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keUexIPb2xtoiLSB9veKDMCCPtcHf0ya443+Y5EptrFUDWa7GBL4WTmIh6g3iIQmPP7P6/WPaOBZnMncWXjDIA==" workbookSaltValue="hF80AXPAep958QeZtuPQpQ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S121" i="22" l="1"/>
  <c r="G26" i="11" l="1"/>
  <c r="H56" i="11"/>
  <c r="H58" i="1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30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5" i="11"/>
  <c r="H57" i="11"/>
  <c r="H61" i="11"/>
  <c r="H62" i="11"/>
  <c r="H63" i="11"/>
  <c r="H10" i="11"/>
  <c r="K10" i="11" l="1"/>
  <c r="L10" i="11"/>
  <c r="R3" i="19" l="1"/>
  <c r="M129" i="22"/>
  <c r="G5" i="22" l="1"/>
  <c r="H5" i="22"/>
  <c r="I5" i="22"/>
  <c r="J5" i="22"/>
  <c r="K5" i="22"/>
  <c r="L5" i="22"/>
  <c r="M5" i="22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11" s="1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O40" i="11" s="1"/>
  <c r="L114" i="22"/>
  <c r="K114" i="22"/>
  <c r="J114" i="22"/>
  <c r="I114" i="22"/>
  <c r="H114" i="22"/>
  <c r="G114" i="22"/>
  <c r="H40" i="11" s="1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O30" i="11" s="1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O19" i="11" s="1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O11" i="11" s="1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N55" i="11" s="1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N40" i="11" s="1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N30" i="11" s="1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J11" i="22"/>
  <c r="H11" i="22"/>
  <c r="S12" i="22"/>
  <c r="T12" i="22" s="1"/>
  <c r="Q11" i="22"/>
  <c r="O11" i="22"/>
  <c r="M11" i="22"/>
  <c r="N11" i="11" s="1"/>
  <c r="K11" i="22"/>
  <c r="K10" i="22" s="1"/>
  <c r="I11" i="22"/>
  <c r="G11" i="22"/>
  <c r="R5" i="22"/>
  <c r="Q5" i="22"/>
  <c r="P5" i="22"/>
  <c r="O5" i="22"/>
  <c r="N5" i="22"/>
  <c r="P103" i="22" l="1"/>
  <c r="M103" i="22"/>
  <c r="O29" i="11" s="1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N10" i="11" s="1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N29" i="11" s="1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H29" i="11" l="1"/>
  <c r="P127" i="22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O54" i="11" s="1"/>
  <c r="O10" i="11"/>
  <c r="L127" i="22"/>
  <c r="L128" i="22" s="1"/>
  <c r="O53" i="22"/>
  <c r="O59" i="22" s="1"/>
  <c r="O64" i="22" s="1"/>
  <c r="O60" i="22" s="1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N54" i="11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J53" i="22"/>
  <c r="N54" i="22"/>
  <c r="A145" i="19"/>
  <c r="A144" i="19"/>
  <c r="A151" i="19"/>
  <c r="A157" i="19"/>
  <c r="A152" i="19"/>
  <c r="A153" i="19"/>
  <c r="G128" i="22" l="1"/>
  <c r="H53" i="11"/>
  <c r="L133" i="22"/>
  <c r="Q128" i="22"/>
  <c r="M133" i="22"/>
  <c r="O53" i="11"/>
  <c r="M59" i="22"/>
  <c r="N53" i="11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H59" i="11" s="1"/>
  <c r="J59" i="22"/>
  <c r="J54" i="22"/>
  <c r="H54" i="11" l="1"/>
  <c r="M138" i="22"/>
  <c r="O59" i="11"/>
  <c r="M64" i="22"/>
  <c r="N59" i="11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H64" i="11" l="1"/>
  <c r="Q59" i="11"/>
  <c r="M134" i="22"/>
  <c r="O60" i="11" s="1"/>
  <c r="O64" i="11"/>
  <c r="G54" i="11"/>
  <c r="M60" i="22"/>
  <c r="N60" i="11" s="1"/>
  <c r="N64" i="11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H60" i="11" s="1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<sst xmlns="http://schemas.openxmlformats.org/spreadsheetml/2006/main" count="1728" uniqueCount="828">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</sst>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jul 2021. godine iznosili su 982,0 mil. € ili 21,2%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na nivou su od 99,6% planiranih. U odnosu na isti period prethodne godine prihodi su veći za 99,9 mil. € ili 11,3%.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jul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1.100,9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23,7%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51,9 mil. € ili 4,5% u odnosu na isti period prethodne godine. U odnosu na planirane, izdaci su manji za 90,0 mil. € ili 7,6%. U periodu januar - jul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118,9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86,4 mil. € ili 42,1% manje od planiranog, odnosno za 151,8 mil. € ili 56,1%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2021-07</v>
      </c>
      <c r="O6" s="143" t="str">
        <f>+CONCATENATE(N6,"p")</f>
        <v>2021-07p</v>
      </c>
      <c r="P6" s="130"/>
      <c r="Q6" s="130"/>
      <c r="R6" s="143" t="str">
        <f>+IF(Master!B3-10&gt;=0,CONCATENATE(Master!B4-1,"-",Master!B3),CONCATENATE(Master!B4-1,"-0",Master!B3))</f>
        <v>2020-07</v>
      </c>
      <c r="S6" s="130"/>
      <c r="T6" s="130"/>
    </row>
    <row r="7" spans="1:20">
      <c r="A7" s="144"/>
      <c r="B7" s="533" t="s">
        <v>692</v>
      </c>
      <c r="C7" s="534"/>
      <c r="D7" s="534"/>
      <c r="E7" s="534"/>
      <c r="F7" s="534"/>
      <c r="G7" s="542" t="s">
        <v>691</v>
      </c>
      <c r="H7" s="543"/>
      <c r="I7" s="543"/>
      <c r="J7" s="543"/>
      <c r="K7" s="543"/>
      <c r="L7" s="543"/>
      <c r="M7" s="544"/>
      <c r="N7" s="545" t="str">
        <f>+Master!G242</f>
        <v>Decembar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145" t="str">
        <f>+Master!G25</f>
        <v>Ostvarenje</v>
      </c>
      <c r="H8" s="145" t="str">
        <f>+Master!G24</f>
        <v>Plan</v>
      </c>
      <c r="I8" s="531" t="str">
        <f>+Master!G260</f>
        <v>Odstupanje</v>
      </c>
      <c r="J8" s="531"/>
      <c r="K8" s="145" t="str">
        <f>+CONCATENATE(Master!G245," ",Master!B4-1)</f>
        <v>Jan - Jul 2020</v>
      </c>
      <c r="L8" s="531" t="str">
        <f>+I8</f>
        <v>Odstupanje</v>
      </c>
      <c r="M8" s="541"/>
      <c r="N8" s="146" t="str">
        <f>+G8</f>
        <v>Ostvarenje</v>
      </c>
      <c r="O8" s="145" t="str">
        <f>+H8</f>
        <v>Plan</v>
      </c>
      <c r="P8" s="531" t="str">
        <f>+I8</f>
        <v>Odstupanje</v>
      </c>
      <c r="Q8" s="531"/>
      <c r="R8" s="145" t="str">
        <f>+CONCATENATE(Master!G244," ",Master!B4-1)</f>
        <v>Jul 2020</v>
      </c>
      <c r="S8" s="531" t="str">
        <f>+P8</f>
        <v>Odstupanje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5" t="e">
        <f>+VLOOKUP($A18,Master!$D$29:$G$225,4,FALSE)</f>
        <v>#N/A</v>
      </c>
      <c r="C18" s="506"/>
      <c r="D18" s="506"/>
      <c r="E18" s="506"/>
      <c r="F18" s="50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5" t="str">
        <f>+VLOOKUP($A19,Master!$D$29:$G$225,4,FALSE)</f>
        <v>Ostali državni porezi</v>
      </c>
      <c r="C19" s="506"/>
      <c r="D19" s="506"/>
      <c r="E19" s="506"/>
      <c r="F19" s="50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09" t="str">
        <f>+VLOOKUP($A20,Master!$D$29:$G$225,4,FALSE)</f>
        <v>Doprinosi</v>
      </c>
      <c r="C20" s="510"/>
      <c r="D20" s="510"/>
      <c r="E20" s="510"/>
      <c r="F20" s="51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5" t="str">
        <f>+VLOOKUP($A21,Master!$D$29:$G$225,4,FALSE)</f>
        <v>Doprinosi za penzijsko i invalidsko osiguranje</v>
      </c>
      <c r="C21" s="506"/>
      <c r="D21" s="506"/>
      <c r="E21" s="506"/>
      <c r="F21" s="50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5" t="str">
        <f>+VLOOKUP($A22,Master!$D$29:$G$225,4,FALSE)</f>
        <v>Doprinosi za zdravstveno osiguranje</v>
      </c>
      <c r="C22" s="506"/>
      <c r="D22" s="506"/>
      <c r="E22" s="506"/>
      <c r="F22" s="50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5" t="str">
        <f>+VLOOKUP($A23,Master!$D$29:$G$225,4,FALSE)</f>
        <v>Doprinosi za osiguranje od nezaposlenosti</v>
      </c>
      <c r="C23" s="506"/>
      <c r="D23" s="506"/>
      <c r="E23" s="506"/>
      <c r="F23" s="50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5" t="str">
        <f>+VLOOKUP($A24,Master!$D$29:$G$225,4,FALSE)</f>
        <v>Ostali doprinosi</v>
      </c>
      <c r="C24" s="506"/>
      <c r="D24" s="506"/>
      <c r="E24" s="506"/>
      <c r="F24" s="50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7" t="str">
        <f>+VLOOKUP($A25,Master!$D$29:$G$225,4,FALSE)</f>
        <v>Takse</v>
      </c>
      <c r="C25" s="508"/>
      <c r="D25" s="508"/>
      <c r="E25" s="508"/>
      <c r="F25" s="50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7" t="str">
        <f>+VLOOKUP($A26,Master!$D$29:$G$225,4,FALSE)</f>
        <v>Naknade</v>
      </c>
      <c r="C26" s="508"/>
      <c r="D26" s="508"/>
      <c r="E26" s="508"/>
      <c r="F26" s="50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7" t="str">
        <f>+VLOOKUP($A27,Master!$D$29:$G$225,4,FALSE)</f>
        <v>Ostali prihodi</v>
      </c>
      <c r="C27" s="508"/>
      <c r="D27" s="508"/>
      <c r="E27" s="508"/>
      <c r="F27" s="50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7" t="str">
        <f>+VLOOKUP($A28,Master!$D$29:$G$225,4,FALSE)</f>
        <v>Primici od otplate kredita i sredstva prenesena iz prethodne godine</v>
      </c>
      <c r="C28" s="508"/>
      <c r="D28" s="508"/>
      <c r="E28" s="508"/>
      <c r="F28" s="50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1" t="str">
        <f>+VLOOKUP($A29,Master!$D$29:$G$225,4,FALSE)</f>
        <v>Donacije i transferi</v>
      </c>
      <c r="C29" s="512"/>
      <c r="D29" s="512"/>
      <c r="E29" s="512"/>
      <c r="F29" s="512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3" t="str">
        <f>+VLOOKUP($A30,Master!$D$29:$G$225,4,FALSE)</f>
        <v>Izdaci budžeta</v>
      </c>
      <c r="C30" s="514"/>
      <c r="D30" s="514"/>
      <c r="E30" s="514"/>
      <c r="F30" s="514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5" t="str">
        <f>+VLOOKUP($A31,Master!$D$29:$G$225,4,FALSE)</f>
        <v>Tekući izdaci</v>
      </c>
      <c r="C31" s="516"/>
      <c r="D31" s="516"/>
      <c r="E31" s="516"/>
      <c r="F31" s="51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7" t="str">
        <f>+VLOOKUP($A32,Master!$D$29:$G$225,4,FALSE)</f>
        <v>Tekuća budžetska potrošnja</v>
      </c>
      <c r="C32" s="518"/>
      <c r="D32" s="518"/>
      <c r="E32" s="518"/>
      <c r="F32" s="51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5" t="str">
        <f>+VLOOKUP($A33,Master!$D$29:$G$225,4,FALSE)</f>
        <v>Bruto zarade i doprinosi na teret poslodavca</v>
      </c>
      <c r="C33" s="506"/>
      <c r="D33" s="506"/>
      <c r="E33" s="506"/>
      <c r="F33" s="50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5" t="str">
        <f>+VLOOKUP($A34,Master!$D$29:$G$225,4,FALSE)</f>
        <v>Ostala lična primanja</v>
      </c>
      <c r="C34" s="506"/>
      <c r="D34" s="506"/>
      <c r="E34" s="506"/>
      <c r="F34" s="50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5" t="str">
        <f>+VLOOKUP($A35,Master!$D$29:$G$225,4,FALSE)</f>
        <v>Rashodi za materijal</v>
      </c>
      <c r="C35" s="506"/>
      <c r="D35" s="506"/>
      <c r="E35" s="506"/>
      <c r="F35" s="50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5" t="str">
        <f>+VLOOKUP($A36,Master!$D$29:$G$225,4,FALSE)</f>
        <v>Rashodi za usluge</v>
      </c>
      <c r="C36" s="506"/>
      <c r="D36" s="506"/>
      <c r="E36" s="506"/>
      <c r="F36" s="50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5" t="str">
        <f>+VLOOKUP($A37,Master!$D$29:$G$225,4,FALSE)</f>
        <v>Rashodi za tekuće održavanje</v>
      </c>
      <c r="C37" s="506"/>
      <c r="D37" s="506"/>
      <c r="E37" s="506"/>
      <c r="F37" s="50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5" t="str">
        <f>+VLOOKUP($A38,Master!$D$29:$G$225,4,FALSE)</f>
        <v>Kamate</v>
      </c>
      <c r="C38" s="506"/>
      <c r="D38" s="506"/>
      <c r="E38" s="506"/>
      <c r="F38" s="50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5" t="str">
        <f>+VLOOKUP($A39,Master!$D$29:$G$225,4,FALSE)</f>
        <v>Renta</v>
      </c>
      <c r="C39" s="506"/>
      <c r="D39" s="506"/>
      <c r="E39" s="506"/>
      <c r="F39" s="50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5" t="str">
        <f>+VLOOKUP($A40,Master!$D$29:$G$225,4,FALSE)</f>
        <v>Subvencije</v>
      </c>
      <c r="C40" s="506"/>
      <c r="D40" s="506"/>
      <c r="E40" s="506"/>
      <c r="F40" s="50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5" t="str">
        <f>+VLOOKUP($A41,Master!$D$29:$G$225,4,FALSE)</f>
        <v>Ostali izdaci</v>
      </c>
      <c r="C41" s="506"/>
      <c r="D41" s="506"/>
      <c r="E41" s="506"/>
      <c r="F41" s="50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5" t="e">
        <f>+VLOOKUP($A42,Master!$D$29:$G$225,4,FALSE)</f>
        <v>#N/A</v>
      </c>
      <c r="C42" s="506"/>
      <c r="D42" s="506"/>
      <c r="E42" s="506"/>
      <c r="F42" s="50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1" t="str">
        <f>+VLOOKUP($A43,Master!$D$29:$G$225,4,FALSE)</f>
        <v>Transferi za socijalnu zaštitu</v>
      </c>
      <c r="C43" s="522"/>
      <c r="D43" s="522"/>
      <c r="E43" s="522"/>
      <c r="F43" s="52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5" t="str">
        <f>+VLOOKUP($A44,Master!$D$29:$G$225,4,FALSE)</f>
        <v>Prava iz oblasti socijalne zaštite</v>
      </c>
      <c r="C44" s="506"/>
      <c r="D44" s="506"/>
      <c r="E44" s="506"/>
      <c r="F44" s="50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5" t="str">
        <f>+VLOOKUP($A45,Master!$D$29:$G$225,4,FALSE)</f>
        <v>Sredstva za tehnološke viškove</v>
      </c>
      <c r="C45" s="506"/>
      <c r="D45" s="506"/>
      <c r="E45" s="506"/>
      <c r="F45" s="50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5" t="str">
        <f>+VLOOKUP($A46,Master!$D$29:$G$225,4,FALSE)</f>
        <v>Prava iz oblasti penzijskog i invalidskog osiguranja</v>
      </c>
      <c r="C46" s="506"/>
      <c r="D46" s="506"/>
      <c r="E46" s="506"/>
      <c r="F46" s="50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5" t="str">
        <f>+VLOOKUP($A47,Master!$D$29:$G$225,4,FALSE)</f>
        <v>Ostala prava iz oblasti zdravstvene zaštite</v>
      </c>
      <c r="C47" s="506"/>
      <c r="D47" s="506"/>
      <c r="E47" s="506"/>
      <c r="F47" s="50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5" t="str">
        <f>+VLOOKUP($A48,Master!$D$29:$G$225,4,FALSE)</f>
        <v>Ostala prava iz zdravstvenog osiguranja</v>
      </c>
      <c r="C48" s="506"/>
      <c r="D48" s="506"/>
      <c r="E48" s="506"/>
      <c r="F48" s="50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9" t="str">
        <f>+VLOOKUP($A49,Master!$D$29:$G$225,4,FALSE)</f>
        <v xml:space="preserve">Transferi institucijama, pojedincima, nevladinom i javnom sektoru </v>
      </c>
      <c r="C49" s="520"/>
      <c r="D49" s="520"/>
      <c r="E49" s="520"/>
      <c r="F49" s="520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9" t="str">
        <f>+VLOOKUP($A50,Master!$D$29:$G$225,4,FALSE)</f>
        <v>Kapitalni izdaci</v>
      </c>
      <c r="C50" s="520"/>
      <c r="D50" s="520"/>
      <c r="E50" s="520"/>
      <c r="F50" s="520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3" t="str">
        <f>+VLOOKUP($A51,Master!$D$29:$G$225,4,FALSE)</f>
        <v>Pozajmice i krediti</v>
      </c>
      <c r="C51" s="524"/>
      <c r="D51" s="524"/>
      <c r="E51" s="524"/>
      <c r="F51" s="52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3" t="str">
        <f>+VLOOKUP($A52,Master!$D$29:$G$225,4,FALSE)</f>
        <v>Rezerve</v>
      </c>
      <c r="C52" s="524"/>
      <c r="D52" s="524"/>
      <c r="E52" s="524"/>
      <c r="F52" s="52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5" t="str">
        <f>+VLOOKUP($A53,Master!$D$29:$G$225,4,FALSE)</f>
        <v>Otplata garancija</v>
      </c>
      <c r="C53" s="526"/>
      <c r="D53" s="526"/>
      <c r="E53" s="526"/>
      <c r="F53" s="52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5" t="str">
        <f>+VLOOKUP($A54,Master!$D$29:$G$225,4,FALSE)</f>
        <v>Otplata obaveza iz prethodnog perioda</v>
      </c>
      <c r="C54" s="526"/>
      <c r="D54" s="526"/>
      <c r="E54" s="526"/>
      <c r="F54" s="52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5" t="str">
        <f>+VLOOKUP($A55,Master!$D$29:$G$227,4,FALSE)</f>
        <v>Neto povećanje obaveza</v>
      </c>
      <c r="C55" s="526"/>
      <c r="D55" s="526"/>
      <c r="E55" s="526"/>
      <c r="F55" s="52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7" t="str">
        <f>+VLOOKUP($A56,Master!$D$29:$G$225,4,FALSE)</f>
        <v>Suficit / deficit</v>
      </c>
      <c r="C56" s="528"/>
      <c r="D56" s="528"/>
      <c r="E56" s="528"/>
      <c r="F56" s="52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29" t="str">
        <f>+VLOOKUP($A57,Master!$D$29:$G$225,4,FALSE)</f>
        <v>Primarni suficit/deficit</v>
      </c>
      <c r="C57" s="530"/>
      <c r="D57" s="530"/>
      <c r="E57" s="530"/>
      <c r="F57" s="53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1" t="str">
        <f>+VLOOKUP($A58,Master!$D$29:$G$225,4,FALSE)</f>
        <v>Otplata dugova</v>
      </c>
      <c r="C58" s="522"/>
      <c r="D58" s="522"/>
      <c r="E58" s="522"/>
      <c r="F58" s="52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7" t="str">
        <f>+VLOOKUP($A59,Master!$D$29:$G$225,4,FALSE)</f>
        <v>Otplata hartija od vrijednosti i kredita rezidentima</v>
      </c>
      <c r="C59" s="548"/>
      <c r="D59" s="548"/>
      <c r="E59" s="548"/>
      <c r="F59" s="548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3" t="str">
        <f>+VLOOKUP($A60,Master!$D$29:$G$225,4,FALSE)</f>
        <v>Otplata hartija od vrijednosti i kredita nerezidentima</v>
      </c>
      <c r="C60" s="524"/>
      <c r="D60" s="524"/>
      <c r="E60" s="524"/>
      <c r="F60" s="52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49" t="str">
        <f>+VLOOKUP($A62,Master!$D$29:$G$225,4,FALSE)</f>
        <v>Nedostajuća sredstva</v>
      </c>
      <c r="C62" s="550"/>
      <c r="D62" s="550"/>
      <c r="E62" s="550"/>
      <c r="F62" s="550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3" t="str">
        <f>+VLOOKUP($A63,Master!$D$29:$G$225,4,FALSE)</f>
        <v>Finansiranje</v>
      </c>
      <c r="C63" s="514"/>
      <c r="D63" s="514"/>
      <c r="E63" s="514"/>
      <c r="F63" s="514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7" t="str">
        <f>+VLOOKUP($A64,Master!$D$29:$G$225,4,FALSE)</f>
        <v>Pozajmice i krediti od domaćih izvora</v>
      </c>
      <c r="C64" s="548"/>
      <c r="D64" s="548"/>
      <c r="E64" s="548"/>
      <c r="F64" s="548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3" t="str">
        <f>+VLOOKUP($A65,Master!$D$29:$G$225,4,FALSE)</f>
        <v>Pozajmice i krediti od inostranih izvora</v>
      </c>
      <c r="C65" s="524"/>
      <c r="D65" s="524"/>
      <c r="E65" s="524"/>
      <c r="F65" s="52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3" t="str">
        <f>+VLOOKUP($A66,Master!$D$29:$G$225,4,FALSE)</f>
        <v>Primici od prodaje imovine</v>
      </c>
      <c r="C66" s="524"/>
      <c r="D66" s="524"/>
      <c r="E66" s="524"/>
      <c r="F66" s="52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6" sqref="H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Jul</v>
      </c>
      <c r="E11" s="135"/>
      <c r="F11" s="135"/>
      <c r="G11" s="137" t="str">
        <f>+Master!G273</f>
        <v>Prihodi za period Januar - Jul</v>
      </c>
      <c r="H11" s="135"/>
      <c r="I11" s="135"/>
      <c r="J11" s="135"/>
      <c r="K11" s="136"/>
    </row>
    <row r="12" spans="3:11">
      <c r="C12" s="134"/>
      <c r="D12" s="138">
        <f>+'Analitika - 2021'!N10</f>
        <v>193961548.62</v>
      </c>
      <c r="E12" s="456">
        <f>+D12/'2021'!T7</f>
        <v>4.1832711171979467E-2</v>
      </c>
      <c r="F12" s="135"/>
      <c r="G12" s="138">
        <f>+'Analitika - 2021'!G10</f>
        <v>982014175.05000007</v>
      </c>
      <c r="H12" s="456">
        <f>+G12/'2021'!T7</f>
        <v>0.21179618147996379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Jul</v>
      </c>
      <c r="E15" s="135"/>
      <c r="F15" s="135"/>
      <c r="G15" s="137" t="str">
        <f>+Master!G274</f>
        <v>Rashodi za period Januar - Jul</v>
      </c>
      <c r="H15" s="135"/>
      <c r="I15" s="135"/>
      <c r="J15" s="135"/>
      <c r="K15" s="136"/>
    </row>
    <row r="16" spans="3:11">
      <c r="C16" s="134"/>
      <c r="D16" s="138">
        <f>+'Analitika - 2021'!N29</f>
        <v>152681993.22</v>
      </c>
      <c r="E16" s="456">
        <f>+D16/'2021'!T7</f>
        <v>3.2929731531725834E-2</v>
      </c>
      <c r="F16" s="135"/>
      <c r="G16" s="138">
        <f>+'Analitika - 2021'!G29</f>
        <v>1100903685.28</v>
      </c>
      <c r="H16" s="456">
        <f>+G16/'2021'!T7</f>
        <v>0.23743770980459819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Jul</v>
      </c>
      <c r="E19" s="135"/>
      <c r="F19" s="135"/>
      <c r="G19" s="137" t="str">
        <f>+Master!G275</f>
        <v>Suficit/Deficit za period Januar - Jul</v>
      </c>
      <c r="H19" s="135"/>
      <c r="I19" s="135"/>
      <c r="J19" s="135"/>
      <c r="K19" s="136"/>
    </row>
    <row r="20" spans="3:12">
      <c r="C20" s="134"/>
      <c r="D20" s="138">
        <f>+'Analitika - 2021'!N53</f>
        <v>41279555.400000006</v>
      </c>
      <c r="E20" s="456">
        <f>+D20/'2021'!T7</f>
        <v>8.9029796402536349E-3</v>
      </c>
      <c r="F20" s="135"/>
      <c r="G20" s="138">
        <f>+'Analitika - 2021'!G53</f>
        <v>-118889510.23000002</v>
      </c>
      <c r="H20" s="456">
        <f>+G20/'2021'!T7</f>
        <v>-2.5641528324634434E-2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t0fyvVE+UHgHNLNQPRznQJgfhmAOhwFODntjHiYbrYl/Nn+zWsvKgHax6A/4WDungCFQXyW1jyhWJE84iepAxg==" saltValue="qZLgZwpyrvzrYwU6ZVKrA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  <c r="P2" s="36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2021-07</v>
      </c>
      <c r="O6" s="143" t="str">
        <f>+CONCATENATE(N6,"p")</f>
        <v>2021-07p</v>
      </c>
      <c r="P6" s="130"/>
      <c r="Q6" s="130"/>
      <c r="R6" s="143" t="str">
        <f>+IF(Master!B3-10&gt;=0,CONCATENATE(Master!B4-1,"-",Master!B3),CONCATENATE(Master!B4-1,"-0",Master!B3))</f>
        <v>2020-07</v>
      </c>
      <c r="S6" s="130"/>
      <c r="T6" s="130"/>
    </row>
    <row r="7" spans="1:20">
      <c r="A7" s="144"/>
      <c r="B7" s="533" t="str">
        <f>+Master!G253</f>
        <v>Analitika za period Jan - Jul</v>
      </c>
      <c r="C7" s="534"/>
      <c r="D7" s="534"/>
      <c r="E7" s="534"/>
      <c r="F7" s="534"/>
      <c r="G7" s="542" t="str">
        <f>+Master!G245</f>
        <v>Jan - Jul</v>
      </c>
      <c r="H7" s="543"/>
      <c r="I7" s="543"/>
      <c r="J7" s="543"/>
      <c r="K7" s="543"/>
      <c r="L7" s="543"/>
      <c r="M7" s="544"/>
      <c r="N7" s="545" t="str">
        <f>+Master!G244</f>
        <v>Jul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358" t="str">
        <f>+Master!G25</f>
        <v>Ostvarenje</v>
      </c>
      <c r="H8" s="145" t="str">
        <f>+Master!G24</f>
        <v>Plan</v>
      </c>
      <c r="I8" s="531" t="str">
        <f>+Master!G260</f>
        <v>Odstupanje</v>
      </c>
      <c r="J8" s="531"/>
      <c r="K8" s="145" t="str">
        <f>+CONCATENATE(Master!G245," ",Master!B4-1)</f>
        <v>Jan - Jul 2020</v>
      </c>
      <c r="L8" s="531" t="str">
        <f>+I8</f>
        <v>Odstupanje</v>
      </c>
      <c r="M8" s="541"/>
      <c r="N8" s="146" t="str">
        <f>+G8</f>
        <v>Ostvarenje</v>
      </c>
      <c r="O8" s="145" t="str">
        <f>+H8</f>
        <v>Plan</v>
      </c>
      <c r="P8" s="531" t="str">
        <f>+I8</f>
        <v>Odstupanje</v>
      </c>
      <c r="Q8" s="531"/>
      <c r="R8" s="145" t="str">
        <f>+CONCATENATE(Master!G244," ",Master!B4-1)</f>
        <v>Jul 2020</v>
      </c>
      <c r="S8" s="531" t="str">
        <f>+P8</f>
        <v>Odstupanje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3" t="str">
        <f>+VLOOKUP($A10,Master!$D$29:$G$225,4,FALSE)</f>
        <v>Prihodi budžeta</v>
      </c>
      <c r="C10" s="514"/>
      <c r="D10" s="514"/>
      <c r="E10" s="514"/>
      <c r="F10" s="514"/>
      <c r="G10" s="151">
        <f>'2021'!S10</f>
        <v>982014175.05000007</v>
      </c>
      <c r="H10" s="151">
        <f>SUM('2021'!G84:M84)</f>
        <v>985558876.38982773</v>
      </c>
      <c r="I10" s="152">
        <f>+G10-H10</f>
        <v>-3544701.3398276567</v>
      </c>
      <c r="J10" s="154">
        <f>IF(+IF(ISERROR(G10/H10),"…",G10/H10-1)&gt;200%,"...",IF(ISERROR(G10/H10),"…",G10/H10-1))</f>
        <v>-3.5966408752891033E-3</v>
      </c>
      <c r="K10" s="151">
        <f>SUM('2020'!G10:M10)</f>
        <v>882085313.59000003</v>
      </c>
      <c r="L10" s="152">
        <f>+G10-K10</f>
        <v>99928861.460000038</v>
      </c>
      <c r="M10" s="154">
        <f>IF(+IF(ISERROR(G10/K10),"…",G10/K10-1)&gt;200%,"...",IF(ISERROR(G10/K10),"…",G10/K10-1))</f>
        <v>0.11328707089941159</v>
      </c>
      <c r="N10" s="151">
        <f>'2021'!M10</f>
        <v>193961548.62</v>
      </c>
      <c r="O10" s="151">
        <f>'2021'!M84</f>
        <v>212180630.96794868</v>
      </c>
      <c r="P10" s="152">
        <f>+N10-O10</f>
        <v>-18219082.34794867</v>
      </c>
      <c r="Q10" s="154">
        <f>IF(+IF(ISERROR(N10/O10),"…",N10/O10-1)&gt;200%,"...",IF(ISERROR(N10/O10),"…",N10/O10-1))</f>
        <v>-8.5865907103937267E-2</v>
      </c>
      <c r="R10" s="151">
        <f>'2020'!M10</f>
        <v>134263972.13999999</v>
      </c>
      <c r="S10" s="152">
        <f>+N10-R10</f>
        <v>59697576.480000019</v>
      </c>
      <c r="T10" s="154">
        <f>IF(+IF(ISERROR(N10/R10),"…",N10/R10-1)&gt;200%,"...",IF(ISERROR(N10/R10),"…",N10/R10-1))</f>
        <v>0.44462841020189736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277">
        <f>'2021'!S11</f>
        <v>616065743.87</v>
      </c>
      <c r="H11" s="277">
        <f>SUM('2021'!G85:M85)</f>
        <v>589900774.83815873</v>
      </c>
      <c r="I11" s="158">
        <f t="shared" ref="I11:I57" si="0">+G11-H11</f>
        <v>26164969.031841278</v>
      </c>
      <c r="J11" s="160">
        <f t="shared" ref="J11:J64" si="1">IF(+IF(ISERROR(G11/H11-1),"…",G11/H11-1)&gt;200%,"...",IF(ISERROR(G11/H11-1),"…",G11/H11-1))</f>
        <v>4.4354864661806381E-2</v>
      </c>
      <c r="K11" s="277">
        <f>SUM('2020'!G11:M11)</f>
        <v>562474465.52999997</v>
      </c>
      <c r="L11" s="158">
        <f>+G11-K11</f>
        <v>53591278.340000033</v>
      </c>
      <c r="M11" s="160">
        <f t="shared" ref="M11:M64" si="2">IF(+IF(ISERROR(G11/K11),"…",G11/K11-1)&gt;200%,"...",IF(ISERROR(G11/K11),"…",G11/K11-1))</f>
        <v>9.5277708810306283E-2</v>
      </c>
      <c r="N11" s="277">
        <f>'2021'!M11</f>
        <v>111713566.28</v>
      </c>
      <c r="O11" s="277">
        <f>'2021'!M85</f>
        <v>114368146.87564762</v>
      </c>
      <c r="P11" s="158">
        <f>+N11-O11</f>
        <v>-2654580.5956476182</v>
      </c>
      <c r="Q11" s="160">
        <f t="shared" ref="Q11:Q64" si="3">IF(+IF(ISERROR(N11/O11),"…",N11/O11-1)&gt;200%,"...",IF(ISERROR(N11/O11),"…",N11/O11-1))</f>
        <v>-2.3210838578454407E-2</v>
      </c>
      <c r="R11" s="277">
        <f>'2020'!M11</f>
        <v>80621752.299999997</v>
      </c>
      <c r="S11" s="158">
        <f t="shared" ref="S11:S57" si="4">+N11-R11</f>
        <v>31091813.980000004</v>
      </c>
      <c r="T11" s="160">
        <f t="shared" ref="T11:T64" si="5">IF(+IF(ISERROR(N11/R11),"…",N11/R11-1)&gt;200%,"...",IF(ISERROR(N11/R11),"…",N11/R11-1))</f>
        <v>0.38565043667501642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f>'2021'!S12</f>
        <v>62917428.809999995</v>
      </c>
      <c r="H12" s="163">
        <f>SUM('2021'!G86:M86)</f>
        <v>71654155.679346576</v>
      </c>
      <c r="I12" s="164">
        <f t="shared" si="0"/>
        <v>-8736726.8693465814</v>
      </c>
      <c r="J12" s="166">
        <f t="shared" si="1"/>
        <v>-0.12192910217857522</v>
      </c>
      <c r="K12" s="163">
        <f>SUM('2020'!G12:M12)</f>
        <v>61102601.990000002</v>
      </c>
      <c r="L12" s="164">
        <f>+G12-K12</f>
        <v>1814826.8199999928</v>
      </c>
      <c r="M12" s="166">
        <f t="shared" si="2"/>
        <v>2.9701301759571752E-2</v>
      </c>
      <c r="N12" s="163">
        <f>'2021'!M12</f>
        <v>9978268.9000000004</v>
      </c>
      <c r="O12" s="163">
        <f>'2021'!M86</f>
        <v>15482458.702687161</v>
      </c>
      <c r="P12" s="164">
        <f t="shared" ref="P12:P57" si="6">+N12-O12</f>
        <v>-5504189.8026871607</v>
      </c>
      <c r="Q12" s="166">
        <f t="shared" si="3"/>
        <v>-0.35551135051513783</v>
      </c>
      <c r="R12" s="163">
        <f>'2020'!M12</f>
        <v>9980163.0299999993</v>
      </c>
      <c r="S12" s="164">
        <f t="shared" si="4"/>
        <v>-1894.1299999989569</v>
      </c>
      <c r="T12" s="166">
        <f t="shared" si="5"/>
        <v>-1.8978948483161506E-4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f>'2021'!S13</f>
        <v>63064537.169999994</v>
      </c>
      <c r="H13" s="163">
        <f>SUM('2021'!G87:M87)</f>
        <v>50052111.86155121</v>
      </c>
      <c r="I13" s="164">
        <f t="shared" si="0"/>
        <v>13012425.308448784</v>
      </c>
      <c r="J13" s="166">
        <f t="shared" si="1"/>
        <v>0.25997754788933514</v>
      </c>
      <c r="K13" s="163">
        <f>SUM('2020'!G13:M13)</f>
        <v>65175401.599999994</v>
      </c>
      <c r="L13" s="164">
        <f t="shared" ref="L13:L57" si="7">+G13-K13</f>
        <v>-2110864.4299999997</v>
      </c>
      <c r="M13" s="166">
        <f t="shared" si="2"/>
        <v>-3.2387440325338912E-2</v>
      </c>
      <c r="N13" s="163">
        <f>'2021'!M13</f>
        <v>6304757.04</v>
      </c>
      <c r="O13" s="163">
        <f>'2021'!M87</f>
        <v>7363949.9343176102</v>
      </c>
      <c r="P13" s="164">
        <f t="shared" si="6"/>
        <v>-1059192.8943176102</v>
      </c>
      <c r="Q13" s="166">
        <f t="shared" si="3"/>
        <v>-0.14383488532174027</v>
      </c>
      <c r="R13" s="163">
        <f>'2020'!M13</f>
        <v>5478270.2599999998</v>
      </c>
      <c r="S13" s="164">
        <f t="shared" si="4"/>
        <v>826486.78000000026</v>
      </c>
      <c r="T13" s="166">
        <f t="shared" si="5"/>
        <v>0.15086637584031859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f>'2021'!S14</f>
        <v>865710.74</v>
      </c>
      <c r="H14" s="163">
        <f>SUM('2021'!G88:M88)</f>
        <v>898125.47263583425</v>
      </c>
      <c r="I14" s="164">
        <f t="shared" si="0"/>
        <v>-32414.732635834254</v>
      </c>
      <c r="J14" s="166">
        <f t="shared" si="1"/>
        <v>-3.6091541353017065E-2</v>
      </c>
      <c r="K14" s="163">
        <f>SUM('2020'!G14:M14)</f>
        <v>841621.11999999988</v>
      </c>
      <c r="L14" s="164">
        <f t="shared" si="7"/>
        <v>24089.620000000112</v>
      </c>
      <c r="M14" s="166">
        <f t="shared" si="2"/>
        <v>2.8622879615948893E-2</v>
      </c>
      <c r="N14" s="163">
        <f>'2021'!M14</f>
        <v>131925.03</v>
      </c>
      <c r="O14" s="163">
        <f>'2021'!M88</f>
        <v>115448.0880394792</v>
      </c>
      <c r="P14" s="164">
        <f t="shared" si="6"/>
        <v>16476.941960520795</v>
      </c>
      <c r="Q14" s="166">
        <f t="shared" si="3"/>
        <v>0.14272165299858641</v>
      </c>
      <c r="R14" s="163">
        <f>'2020'!M14</f>
        <v>98676.45</v>
      </c>
      <c r="S14" s="164">
        <f t="shared" si="4"/>
        <v>33248.58</v>
      </c>
      <c r="T14" s="166">
        <f t="shared" si="5"/>
        <v>0.33694544138951099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f>'2021'!S15</f>
        <v>345337130.08999997</v>
      </c>
      <c r="H15" s="163">
        <f>SUM('2021'!G89:M89)</f>
        <v>330620171.65009665</v>
      </c>
      <c r="I15" s="164">
        <f t="shared" si="0"/>
        <v>14716958.439903319</v>
      </c>
      <c r="J15" s="166">
        <f t="shared" si="1"/>
        <v>4.4513189762295013E-2</v>
      </c>
      <c r="K15" s="163">
        <f>SUM('2020'!G15:M15)</f>
        <v>302529175.11000001</v>
      </c>
      <c r="L15" s="164">
        <f t="shared" si="7"/>
        <v>42807954.979999959</v>
      </c>
      <c r="M15" s="166">
        <f t="shared" si="2"/>
        <v>0.14150025353566287</v>
      </c>
      <c r="N15" s="163">
        <f>'2021'!M15</f>
        <v>66270748.509999998</v>
      </c>
      <c r="O15" s="163">
        <f>'2021'!M89</f>
        <v>62692931.700060099</v>
      </c>
      <c r="P15" s="164">
        <f t="shared" si="6"/>
        <v>3577816.8099398986</v>
      </c>
      <c r="Q15" s="166">
        <f t="shared" si="3"/>
        <v>5.7068902552797063E-2</v>
      </c>
      <c r="R15" s="163">
        <f>'2020'!M15</f>
        <v>43390988.630000003</v>
      </c>
      <c r="S15" s="164">
        <f t="shared" si="4"/>
        <v>22879759.879999995</v>
      </c>
      <c r="T15" s="166">
        <f t="shared" si="5"/>
        <v>0.52729289196654094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f>'2021'!S16</f>
        <v>122624320.53999999</v>
      </c>
      <c r="H16" s="163">
        <f>SUM('2021'!G90:M90)</f>
        <v>116353021.53654754</v>
      </c>
      <c r="I16" s="164">
        <f t="shared" si="0"/>
        <v>6271299.00345245</v>
      </c>
      <c r="J16" s="166">
        <f t="shared" si="1"/>
        <v>5.3898892530973797E-2</v>
      </c>
      <c r="K16" s="163">
        <f>SUM('2020'!G16:M16)</f>
        <v>114025710.35000001</v>
      </c>
      <c r="L16" s="164">
        <f t="shared" si="7"/>
        <v>8598610.1899999827</v>
      </c>
      <c r="M16" s="166">
        <f t="shared" si="2"/>
        <v>7.5409398140179995E-2</v>
      </c>
      <c r="N16" s="163">
        <f>'2021'!M16</f>
        <v>25125271.359999999</v>
      </c>
      <c r="O16" s="163">
        <f>'2021'!M90</f>
        <v>25052818.331463095</v>
      </c>
      <c r="P16" s="164">
        <f t="shared" si="6"/>
        <v>72453.028536904603</v>
      </c>
      <c r="Q16" s="166">
        <f t="shared" si="3"/>
        <v>2.8920110934549381E-3</v>
      </c>
      <c r="R16" s="163">
        <f>'2020'!M16</f>
        <v>18726969.449999999</v>
      </c>
      <c r="S16" s="164">
        <f t="shared" si="4"/>
        <v>6398301.9100000001</v>
      </c>
      <c r="T16" s="166">
        <f t="shared" si="5"/>
        <v>0.3416624311308416</v>
      </c>
    </row>
    <row r="17" spans="1:20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f>'2021'!S17</f>
        <v>15061861.989999998</v>
      </c>
      <c r="H17" s="163">
        <f>SUM('2021'!G91:M91)</f>
        <v>14250054.922306772</v>
      </c>
      <c r="I17" s="164">
        <f t="shared" si="0"/>
        <v>811807.06769322604</v>
      </c>
      <c r="J17" s="166">
        <f t="shared" si="1"/>
        <v>5.6968697462522533E-2</v>
      </c>
      <c r="K17" s="163">
        <f>SUM('2020'!G17:M17)</f>
        <v>13239504.459999999</v>
      </c>
      <c r="L17" s="164">
        <f t="shared" si="7"/>
        <v>1822357.5299999993</v>
      </c>
      <c r="M17" s="166">
        <f t="shared" si="2"/>
        <v>0.13764544855178062</v>
      </c>
      <c r="N17" s="163">
        <f>'2021'!M17</f>
        <v>2891108.46</v>
      </c>
      <c r="O17" s="163">
        <f>'2021'!M91</f>
        <v>2645431.846110316</v>
      </c>
      <c r="P17" s="164">
        <f t="shared" si="6"/>
        <v>245676.61388968397</v>
      </c>
      <c r="Q17" s="166">
        <f t="shared" si="3"/>
        <v>9.2868245406099614E-2</v>
      </c>
      <c r="R17" s="163">
        <f>'2020'!M17</f>
        <v>2027124.74</v>
      </c>
      <c r="S17" s="164">
        <f t="shared" si="4"/>
        <v>863983.72</v>
      </c>
      <c r="T17" s="166">
        <f t="shared" si="5"/>
        <v>0.4262114229832743</v>
      </c>
    </row>
    <row r="18" spans="1:20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f>'2021'!S18</f>
        <v>6194754.5300000012</v>
      </c>
      <c r="H18" s="163">
        <f>SUM('2021'!G92:M92)</f>
        <v>6073133.7156741526</v>
      </c>
      <c r="I18" s="164">
        <f t="shared" si="0"/>
        <v>121620.81432584859</v>
      </c>
      <c r="J18" s="166">
        <f t="shared" si="1"/>
        <v>2.0026039277211583E-2</v>
      </c>
      <c r="K18" s="163">
        <f>SUM('2020'!G18:M18)</f>
        <v>5560450.9000000004</v>
      </c>
      <c r="L18" s="164">
        <f t="shared" si="7"/>
        <v>634303.63000000082</v>
      </c>
      <c r="M18" s="166">
        <f t="shared" si="2"/>
        <v>0.11407413560652091</v>
      </c>
      <c r="N18" s="163">
        <f>'2021'!M18</f>
        <v>1011486.98</v>
      </c>
      <c r="O18" s="163">
        <f>'2021'!M92</f>
        <v>1015108.272969852</v>
      </c>
      <c r="P18" s="164">
        <f t="shared" si="6"/>
        <v>-3621.2929698519874</v>
      </c>
      <c r="Q18" s="166">
        <f t="shared" si="3"/>
        <v>-3.5673957806070522E-3</v>
      </c>
      <c r="R18" s="163">
        <f>'2020'!M18</f>
        <v>919559.74</v>
      </c>
      <c r="S18" s="164">
        <f t="shared" si="4"/>
        <v>91927.239999999991</v>
      </c>
      <c r="T18" s="166">
        <f t="shared" si="5"/>
        <v>9.9968752437987307E-2</v>
      </c>
    </row>
    <row r="19" spans="1:20">
      <c r="A19" s="150">
        <v>712</v>
      </c>
      <c r="B19" s="507" t="str">
        <f>+VLOOKUP($A19,Master!$D$29:$G$225,4,FALSE)</f>
        <v>Doprinosi</v>
      </c>
      <c r="C19" s="508"/>
      <c r="D19" s="508"/>
      <c r="E19" s="508"/>
      <c r="F19" s="508"/>
      <c r="G19" s="169">
        <f>'2021'!S19</f>
        <v>279737115.16000003</v>
      </c>
      <c r="H19" s="169">
        <f>SUM('2021'!G93:M93)</f>
        <v>294976255.3339209</v>
      </c>
      <c r="I19" s="170">
        <f t="shared" si="0"/>
        <v>-15239140.17392087</v>
      </c>
      <c r="J19" s="172">
        <f t="shared" si="1"/>
        <v>-5.1662260600161769E-2</v>
      </c>
      <c r="K19" s="169">
        <f>SUM('2020'!G19:M19)</f>
        <v>265415935.42000002</v>
      </c>
      <c r="L19" s="170">
        <f t="shared" si="7"/>
        <v>14321179.74000001</v>
      </c>
      <c r="M19" s="172">
        <f t="shared" si="2"/>
        <v>5.3957497756635719E-2</v>
      </c>
      <c r="N19" s="169">
        <f>'2021'!M19</f>
        <v>43206185.730000004</v>
      </c>
      <c r="O19" s="169">
        <f>'2021'!M93</f>
        <v>51732542.783543408</v>
      </c>
      <c r="P19" s="170">
        <f t="shared" si="6"/>
        <v>-8526357.0535434037</v>
      </c>
      <c r="Q19" s="172">
        <f t="shared" si="3"/>
        <v>-0.16481612143479862</v>
      </c>
      <c r="R19" s="169">
        <f>'2020'!M19</f>
        <v>45009811.700000003</v>
      </c>
      <c r="S19" s="170">
        <f t="shared" si="4"/>
        <v>-1803625.9699999988</v>
      </c>
      <c r="T19" s="172">
        <f t="shared" si="5"/>
        <v>-4.0071839936179909E-2</v>
      </c>
    </row>
    <row r="20" spans="1:20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f>'2021'!S20</f>
        <v>172542922.42000002</v>
      </c>
      <c r="H20" s="163">
        <f>SUM('2021'!G94:M94)</f>
        <v>179984400.6888954</v>
      </c>
      <c r="I20" s="164">
        <f t="shared" si="0"/>
        <v>-7441478.2688953876</v>
      </c>
      <c r="J20" s="166">
        <f t="shared" si="1"/>
        <v>-4.1345129024587202E-2</v>
      </c>
      <c r="K20" s="163">
        <f>SUM('2020'!G20:M20)</f>
        <v>165028782.22999999</v>
      </c>
      <c r="L20" s="164">
        <f t="shared" si="7"/>
        <v>7514140.1900000274</v>
      </c>
      <c r="M20" s="166">
        <f t="shared" si="2"/>
        <v>4.5532301023269994E-2</v>
      </c>
      <c r="N20" s="163">
        <f>'2021'!M20</f>
        <v>26861277.859999999</v>
      </c>
      <c r="O20" s="163">
        <f>'2021'!M94</f>
        <v>31808515.037481658</v>
      </c>
      <c r="P20" s="164">
        <f t="shared" si="6"/>
        <v>-4947237.1774816588</v>
      </c>
      <c r="Q20" s="166">
        <f t="shared" si="3"/>
        <v>-0.15553184962114919</v>
      </c>
      <c r="R20" s="163">
        <f>'2020'!M20</f>
        <v>27851332.690000001</v>
      </c>
      <c r="S20" s="164">
        <f t="shared" si="4"/>
        <v>-990054.83000000194</v>
      </c>
      <c r="T20" s="166">
        <f t="shared" si="5"/>
        <v>-3.5547844012343455E-2</v>
      </c>
    </row>
    <row r="21" spans="1:20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f>'2021'!S21</f>
        <v>91745801.409999996</v>
      </c>
      <c r="H21" s="163">
        <f>SUM('2021'!G95:M95)</f>
        <v>98666675.233296186</v>
      </c>
      <c r="I21" s="164">
        <f t="shared" si="0"/>
        <v>-6920873.8232961893</v>
      </c>
      <c r="J21" s="166">
        <f t="shared" si="1"/>
        <v>-7.0143985362148498E-2</v>
      </c>
      <c r="K21" s="163">
        <f>SUM('2020'!G21:M21)</f>
        <v>85902649.579999998</v>
      </c>
      <c r="L21" s="164">
        <f t="shared" si="7"/>
        <v>5843151.8299999982</v>
      </c>
      <c r="M21" s="166">
        <f t="shared" si="2"/>
        <v>6.8020624026949861E-2</v>
      </c>
      <c r="N21" s="163">
        <f>'2021'!M21</f>
        <v>13912010.1</v>
      </c>
      <c r="O21" s="163">
        <f>'2021'!M95</f>
        <v>17270896.633232459</v>
      </c>
      <c r="P21" s="164">
        <f t="shared" si="6"/>
        <v>-3358886.5332324598</v>
      </c>
      <c r="Q21" s="166">
        <f t="shared" si="3"/>
        <v>-0.19448246402965141</v>
      </c>
      <c r="R21" s="163">
        <f>'2020'!M21</f>
        <v>14709421.550000001</v>
      </c>
      <c r="S21" s="164">
        <f t="shared" si="4"/>
        <v>-797411.45000000112</v>
      </c>
      <c r="T21" s="166">
        <f t="shared" si="5"/>
        <v>-5.421093190438897E-2</v>
      </c>
    </row>
    <row r="22" spans="1:20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f>'2021'!S22</f>
        <v>8379675.8300000001</v>
      </c>
      <c r="H22" s="163">
        <f>SUM('2021'!G96:M96)</f>
        <v>8786937.2694225647</v>
      </c>
      <c r="I22" s="164">
        <f t="shared" si="0"/>
        <v>-407261.43942256458</v>
      </c>
      <c r="J22" s="166">
        <f t="shared" si="1"/>
        <v>-4.6348508807475319E-2</v>
      </c>
      <c r="K22" s="163">
        <f>SUM('2020'!G22:M22)</f>
        <v>7903942.370000001</v>
      </c>
      <c r="L22" s="164">
        <f t="shared" si="7"/>
        <v>475733.45999999903</v>
      </c>
      <c r="M22" s="166">
        <f t="shared" si="2"/>
        <v>6.0189388754361417E-2</v>
      </c>
      <c r="N22" s="163">
        <f>'2021'!M22</f>
        <v>1293249.31</v>
      </c>
      <c r="O22" s="163">
        <f>'2021'!M96</f>
        <v>1504150.0520120906</v>
      </c>
      <c r="P22" s="164">
        <f t="shared" si="6"/>
        <v>-210900.74201209052</v>
      </c>
      <c r="Q22" s="166">
        <f t="shared" si="3"/>
        <v>-0.1402125683737272</v>
      </c>
      <c r="R22" s="163">
        <f>'2020'!M22</f>
        <v>1318558.31</v>
      </c>
      <c r="S22" s="164">
        <f t="shared" si="4"/>
        <v>-25309</v>
      </c>
      <c r="T22" s="166">
        <f t="shared" si="5"/>
        <v>-1.9194448821910681E-2</v>
      </c>
    </row>
    <row r="23" spans="1:20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f>'2021'!S23</f>
        <v>7068715.5</v>
      </c>
      <c r="H23" s="163">
        <f>SUM('2021'!G97:M97)</f>
        <v>7538242.1423067646</v>
      </c>
      <c r="I23" s="164">
        <f t="shared" si="0"/>
        <v>-469526.64230676461</v>
      </c>
      <c r="J23" s="166">
        <f t="shared" si="1"/>
        <v>-6.2285959172317829E-2</v>
      </c>
      <c r="K23" s="163">
        <f>SUM('2020'!G23:M23)</f>
        <v>6580561.2400000002</v>
      </c>
      <c r="L23" s="164">
        <f t="shared" si="7"/>
        <v>488154.25999999978</v>
      </c>
      <c r="M23" s="166">
        <f t="shared" si="2"/>
        <v>7.4181250230261453E-2</v>
      </c>
      <c r="N23" s="163">
        <f>'2021'!M23</f>
        <v>1139648.46</v>
      </c>
      <c r="O23" s="163">
        <f>'2021'!M97</f>
        <v>1148981.0608172</v>
      </c>
      <c r="P23" s="164">
        <f t="shared" si="6"/>
        <v>-9332.6008172000293</v>
      </c>
      <c r="Q23" s="166">
        <f t="shared" si="3"/>
        <v>-8.1225018718431574E-3</v>
      </c>
      <c r="R23" s="163">
        <f>'2020'!M23</f>
        <v>1130499.1499999999</v>
      </c>
      <c r="S23" s="164">
        <f t="shared" si="4"/>
        <v>9149.3100000000559</v>
      </c>
      <c r="T23" s="166">
        <f t="shared" si="5"/>
        <v>8.0931595569975201E-3</v>
      </c>
    </row>
    <row r="24" spans="1:20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f>'2021'!S24</f>
        <v>6417781.4100000001</v>
      </c>
      <c r="H24" s="175">
        <f>SUM('2021'!G98:M98)</f>
        <v>7133433.8526135534</v>
      </c>
      <c r="I24" s="176">
        <f t="shared" si="0"/>
        <v>-715652.44261355326</v>
      </c>
      <c r="J24" s="178">
        <f t="shared" si="1"/>
        <v>-0.10032369506746763</v>
      </c>
      <c r="K24" s="175">
        <f>SUM('2020'!G24:M24)</f>
        <v>5218613.26</v>
      </c>
      <c r="L24" s="176">
        <f t="shared" si="7"/>
        <v>1199168.1500000004</v>
      </c>
      <c r="M24" s="178">
        <f t="shared" si="2"/>
        <v>0.22978674415126155</v>
      </c>
      <c r="N24" s="175">
        <f>'2021'!M24</f>
        <v>1493538.9300000002</v>
      </c>
      <c r="O24" s="175">
        <f>'2021'!M98</f>
        <v>1547084.7775105708</v>
      </c>
      <c r="P24" s="176">
        <f t="shared" si="6"/>
        <v>-53545.84751057066</v>
      </c>
      <c r="Q24" s="178">
        <f t="shared" si="3"/>
        <v>-3.4610803679893887E-2</v>
      </c>
      <c r="R24" s="175">
        <f>'2020'!M24</f>
        <v>962946.75000000012</v>
      </c>
      <c r="S24" s="176">
        <f t="shared" si="4"/>
        <v>530592.18000000005</v>
      </c>
      <c r="T24" s="178">
        <f t="shared" si="5"/>
        <v>0.55100884862013388</v>
      </c>
    </row>
    <row r="25" spans="1:20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f>'2021'!S25</f>
        <v>21788294.479999997</v>
      </c>
      <c r="H25" s="175">
        <f>SUM('2021'!G99:M99)</f>
        <v>17730354.989542887</v>
      </c>
      <c r="I25" s="176">
        <f t="shared" si="0"/>
        <v>4057939.4904571101</v>
      </c>
      <c r="J25" s="178">
        <f t="shared" si="1"/>
        <v>0.22886961331853906</v>
      </c>
      <c r="K25" s="175">
        <f>SUM('2020'!G25:M25)</f>
        <v>14369961.32</v>
      </c>
      <c r="L25" s="176">
        <f t="shared" si="7"/>
        <v>7418333.1599999964</v>
      </c>
      <c r="M25" s="178">
        <f t="shared" si="2"/>
        <v>0.51623890940299311</v>
      </c>
      <c r="N25" s="175">
        <f>'2021'!M25</f>
        <v>4686227.58</v>
      </c>
      <c r="O25" s="175">
        <f>'2021'!M99</f>
        <v>3228024.1788945282</v>
      </c>
      <c r="P25" s="176">
        <f t="shared" si="6"/>
        <v>1458203.4011054719</v>
      </c>
      <c r="Q25" s="178">
        <f t="shared" si="3"/>
        <v>0.45173249030769314</v>
      </c>
      <c r="R25" s="175">
        <f>'2020'!M25</f>
        <v>2600399.9099999997</v>
      </c>
      <c r="S25" s="176">
        <f t="shared" si="4"/>
        <v>2085827.6700000004</v>
      </c>
      <c r="T25" s="178">
        <f t="shared" si="5"/>
        <v>0.80211803652923552</v>
      </c>
    </row>
    <row r="26" spans="1:20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f>'2021'!S26</f>
        <v>42608558</v>
      </c>
      <c r="H26" s="175">
        <f>SUM('2021'!G100:M100)</f>
        <v>50614728.663845316</v>
      </c>
      <c r="I26" s="176">
        <f t="shared" si="0"/>
        <v>-8006170.6638453156</v>
      </c>
      <c r="J26" s="178">
        <f t="shared" si="1"/>
        <v>-0.15817867397882968</v>
      </c>
      <c r="K26" s="175">
        <f>SUM('2020'!G26:M26)</f>
        <v>15590348.609999999</v>
      </c>
      <c r="L26" s="176">
        <f t="shared" si="7"/>
        <v>27018209.390000001</v>
      </c>
      <c r="M26" s="178">
        <f t="shared" si="2"/>
        <v>1.7330086751665013</v>
      </c>
      <c r="N26" s="175">
        <f>'2021'!M26</f>
        <v>30214924.300000001</v>
      </c>
      <c r="O26" s="175">
        <f>'2021'!M100</f>
        <v>36016804.153743692</v>
      </c>
      <c r="P26" s="176">
        <f t="shared" si="6"/>
        <v>-5801879.853743691</v>
      </c>
      <c r="Q26" s="178">
        <f t="shared" si="3"/>
        <v>-0.16108813622045437</v>
      </c>
      <c r="R26" s="175">
        <f>'2020'!M26</f>
        <v>2459062.7400000002</v>
      </c>
      <c r="S26" s="176">
        <f t="shared" si="4"/>
        <v>27755861.560000002</v>
      </c>
      <c r="T26" s="178" t="str">
        <f t="shared" si="5"/>
        <v>...</v>
      </c>
    </row>
    <row r="27" spans="1:20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f>'2021'!S27</f>
        <v>5046932.2</v>
      </c>
      <c r="H27" s="175">
        <f>SUM('2021'!G101:M101)</f>
        <v>3681211.9182219538</v>
      </c>
      <c r="I27" s="176">
        <f t="shared" si="0"/>
        <v>1365720.2817780464</v>
      </c>
      <c r="J27" s="178">
        <f t="shared" si="1"/>
        <v>0.37099746282406287</v>
      </c>
      <c r="K27" s="175">
        <f>SUM('2020'!G27:M27)</f>
        <v>4177908.9200000004</v>
      </c>
      <c r="L27" s="176">
        <f t="shared" si="7"/>
        <v>869023.2799999998</v>
      </c>
      <c r="M27" s="178">
        <f t="shared" si="2"/>
        <v>0.20800436214392137</v>
      </c>
      <c r="N27" s="175">
        <f>'2021'!M27</f>
        <v>410107.7</v>
      </c>
      <c r="O27" s="175">
        <f>'2021'!M101</f>
        <v>155121.60848222813</v>
      </c>
      <c r="P27" s="176">
        <f t="shared" si="6"/>
        <v>254986.09151777189</v>
      </c>
      <c r="Q27" s="178">
        <f t="shared" si="3"/>
        <v>1.6437818948156728</v>
      </c>
      <c r="R27" s="175">
        <f>'2020'!M27</f>
        <v>53328</v>
      </c>
      <c r="S27" s="176">
        <f t="shared" si="4"/>
        <v>356779.7</v>
      </c>
      <c r="T27" s="178" t="str">
        <f t="shared" si="5"/>
        <v>...</v>
      </c>
    </row>
    <row r="28" spans="1:20" ht="15.7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f>'2021'!S28</f>
        <v>10349749.930000002</v>
      </c>
      <c r="H28" s="175">
        <f>SUM('2021'!G102:M102)</f>
        <v>21522116.793524422</v>
      </c>
      <c r="I28" s="176">
        <f t="shared" si="0"/>
        <v>-11172366.86352442</v>
      </c>
      <c r="J28" s="178">
        <f t="shared" si="1"/>
        <v>-0.51911096713711569</v>
      </c>
      <c r="K28" s="175">
        <f>SUM('2020'!G28:M28)</f>
        <v>14838080.530000001</v>
      </c>
      <c r="L28" s="176">
        <f t="shared" si="7"/>
        <v>-4488330.5999999996</v>
      </c>
      <c r="M28" s="178">
        <f t="shared" si="2"/>
        <v>-0.30248727865611602</v>
      </c>
      <c r="N28" s="175">
        <f>'2021'!M28</f>
        <v>2236998.1</v>
      </c>
      <c r="O28" s="175">
        <f>'2021'!M102</f>
        <v>5132906.5901266653</v>
      </c>
      <c r="P28" s="176">
        <f t="shared" si="6"/>
        <v>-2895908.4901266652</v>
      </c>
      <c r="Q28" s="178">
        <f t="shared" si="3"/>
        <v>-0.56418491926135017</v>
      </c>
      <c r="R28" s="175">
        <f>'2020'!M28</f>
        <v>2556670.7400000002</v>
      </c>
      <c r="S28" s="176">
        <f t="shared" si="4"/>
        <v>-319672.64000000013</v>
      </c>
      <c r="T28" s="178">
        <f t="shared" si="5"/>
        <v>-0.12503473169173129</v>
      </c>
    </row>
    <row r="29" spans="1:20" ht="15.7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>'2021'!S29</f>
        <v>1100903685.28</v>
      </c>
      <c r="H29" s="151">
        <f>SUM('2021'!G103:M103)</f>
        <v>1190889484.8015308</v>
      </c>
      <c r="I29" s="152">
        <f t="shared" si="0"/>
        <v>-89985799.521530867</v>
      </c>
      <c r="J29" s="154">
        <f t="shared" si="1"/>
        <v>-7.5561839003497111E-2</v>
      </c>
      <c r="K29" s="151">
        <f>SUM('2020'!G29:M29)</f>
        <v>1152770056.928</v>
      </c>
      <c r="L29" s="152">
        <f t="shared" si="7"/>
        <v>-51866371.648000002</v>
      </c>
      <c r="M29" s="154">
        <f t="shared" si="2"/>
        <v>-4.4992816508626077E-2</v>
      </c>
      <c r="N29" s="151">
        <f>'2021'!M29</f>
        <v>152681993.22</v>
      </c>
      <c r="O29" s="151">
        <f>'2021'!M103</f>
        <v>166286941.34583092</v>
      </c>
      <c r="P29" s="152">
        <f t="shared" si="6"/>
        <v>-13604948.125830919</v>
      </c>
      <c r="Q29" s="154">
        <f t="shared" si="3"/>
        <v>-8.1816094611641077E-2</v>
      </c>
      <c r="R29" s="151">
        <f>'2020'!M29</f>
        <v>190592917.514</v>
      </c>
      <c r="S29" s="152">
        <f t="shared" si="4"/>
        <v>-37910924.294</v>
      </c>
      <c r="T29" s="154">
        <f t="shared" si="5"/>
        <v>-0.19891045684431197</v>
      </c>
    </row>
    <row r="30" spans="1:20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313">
        <f>'2021'!S30</f>
        <v>477423752.29000002</v>
      </c>
      <c r="H30" s="313">
        <f>SUM('2021'!G104:M104)</f>
        <v>523038412.6303643</v>
      </c>
      <c r="I30" s="188">
        <f t="shared" si="0"/>
        <v>-45614660.340364277</v>
      </c>
      <c r="J30" s="190">
        <f t="shared" si="1"/>
        <v>-8.721091843133999E-2</v>
      </c>
      <c r="K30" s="313">
        <f>SUM('2020'!G30:M30)</f>
        <v>491080266.13</v>
      </c>
      <c r="L30" s="188">
        <f t="shared" si="7"/>
        <v>-13656513.839999974</v>
      </c>
      <c r="M30" s="190">
        <f t="shared" si="2"/>
        <v>-2.7809127716781012E-2</v>
      </c>
      <c r="N30" s="313">
        <f>'2021'!M30</f>
        <v>62574196.029999994</v>
      </c>
      <c r="O30" s="313">
        <f>'2021'!M104</f>
        <v>68725717.528064221</v>
      </c>
      <c r="P30" s="188">
        <f t="shared" si="6"/>
        <v>-6151521.4980642274</v>
      </c>
      <c r="Q30" s="190">
        <f t="shared" si="3"/>
        <v>-8.9508290627191345E-2</v>
      </c>
      <c r="R30" s="313">
        <f>'2020'!M30</f>
        <v>70731758.230000004</v>
      </c>
      <c r="S30" s="188">
        <f t="shared" si="4"/>
        <v>-8157562.2000000104</v>
      </c>
      <c r="T30" s="190">
        <f t="shared" si="5"/>
        <v>-0.11533096877747462</v>
      </c>
    </row>
    <row r="31" spans="1:20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f>'2021'!S31</f>
        <v>315047671.5</v>
      </c>
      <c r="H31" s="163">
        <f>SUM('2021'!G105:M105)</f>
        <v>313677131.03766668</v>
      </c>
      <c r="I31" s="164">
        <f t="shared" si="0"/>
        <v>1370540.4623333216</v>
      </c>
      <c r="J31" s="166">
        <f t="shared" si="1"/>
        <v>4.3692712242027198E-3</v>
      </c>
      <c r="K31" s="163">
        <f>SUM('2020'!G31:M31)</f>
        <v>290366019.67999995</v>
      </c>
      <c r="L31" s="164">
        <f t="shared" si="7"/>
        <v>24681651.820000052</v>
      </c>
      <c r="M31" s="166">
        <f t="shared" si="2"/>
        <v>8.500186022868883E-2</v>
      </c>
      <c r="N31" s="163">
        <f>'2021'!M31</f>
        <v>43807207.079999998</v>
      </c>
      <c r="O31" s="163">
        <f>'2021'!M105</f>
        <v>41853667.688466668</v>
      </c>
      <c r="P31" s="164">
        <f>+N31-O31</f>
        <v>1953539.3915333301</v>
      </c>
      <c r="Q31" s="166">
        <f>IF(+IF(ISERROR(N31/O31),"…",N31/O31-1)&gt;200%,"...",IF(ISERROR(N31/O31),"…",N31/O31-1))</f>
        <v>4.6675464766297026E-2</v>
      </c>
      <c r="R31" s="163">
        <f>'2020'!M31</f>
        <v>41134725.810000002</v>
      </c>
      <c r="S31" s="164">
        <f t="shared" si="4"/>
        <v>2672481.2699999958</v>
      </c>
      <c r="T31" s="166">
        <f t="shared" si="5"/>
        <v>6.4968982225482641E-2</v>
      </c>
    </row>
    <row r="32" spans="1:20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f>'2021'!S32</f>
        <v>5368674.5699999994</v>
      </c>
      <c r="H32" s="163">
        <f>SUM('2021'!G106:M106)</f>
        <v>7539074.8899999978</v>
      </c>
      <c r="I32" s="164">
        <f t="shared" si="0"/>
        <v>-2170400.3199999984</v>
      </c>
      <c r="J32" s="166">
        <f t="shared" si="1"/>
        <v>-0.28788682320676606</v>
      </c>
      <c r="K32" s="163">
        <f>SUM('2020'!G32:M32)</f>
        <v>6286641.8399999999</v>
      </c>
      <c r="L32" s="164">
        <f t="shared" si="7"/>
        <v>-917967.27000000048</v>
      </c>
      <c r="M32" s="166">
        <f t="shared" si="2"/>
        <v>-0.14601870018413532</v>
      </c>
      <c r="N32" s="163">
        <f>'2021'!M32</f>
        <v>750790.47</v>
      </c>
      <c r="O32" s="163">
        <f>'2021'!M106</f>
        <v>992187.80600000045</v>
      </c>
      <c r="P32" s="164">
        <f t="shared" si="6"/>
        <v>-241397.33600000048</v>
      </c>
      <c r="Q32" s="166">
        <f t="shared" si="3"/>
        <v>-0.24329802738978668</v>
      </c>
      <c r="R32" s="163">
        <f>'2020'!M32</f>
        <v>1295373.58</v>
      </c>
      <c r="S32" s="164">
        <f t="shared" si="4"/>
        <v>-544583.1100000001</v>
      </c>
      <c r="T32" s="166">
        <f t="shared" si="5"/>
        <v>-0.42040621980263027</v>
      </c>
    </row>
    <row r="33" spans="1:20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f>'2021'!S33</f>
        <v>14986683.720000001</v>
      </c>
      <c r="H33" s="163">
        <f>SUM('2021'!G107:M107)</f>
        <v>21769399.526083328</v>
      </c>
      <c r="I33" s="164">
        <f t="shared" si="0"/>
        <v>-6782715.8060833272</v>
      </c>
      <c r="J33" s="166">
        <f t="shared" si="1"/>
        <v>-0.31157110226933526</v>
      </c>
      <c r="K33" s="163">
        <f>SUM('2020'!G33:M33)</f>
        <v>18017161.490000002</v>
      </c>
      <c r="L33" s="164">
        <f t="shared" si="7"/>
        <v>-3030477.7700000014</v>
      </c>
      <c r="M33" s="166">
        <f t="shared" si="2"/>
        <v>-0.16819951198650218</v>
      </c>
      <c r="N33" s="163">
        <f>'2021'!M33</f>
        <v>1193812.19</v>
      </c>
      <c r="O33" s="163">
        <f>'2021'!M107</f>
        <v>2038155.2507833347</v>
      </c>
      <c r="P33" s="164">
        <f t="shared" si="6"/>
        <v>-844343.06078333477</v>
      </c>
      <c r="Q33" s="166">
        <f t="shared" si="3"/>
        <v>-0.41426827542152345</v>
      </c>
      <c r="R33" s="163">
        <f>'2020'!M33</f>
        <v>3585494.74</v>
      </c>
      <c r="S33" s="164">
        <f t="shared" si="4"/>
        <v>-2391682.5500000003</v>
      </c>
      <c r="T33" s="166">
        <f t="shared" si="5"/>
        <v>-0.66704394328577377</v>
      </c>
    </row>
    <row r="34" spans="1:20">
      <c r="A34" s="150">
        <v>414</v>
      </c>
      <c r="B34" s="505" t="str">
        <f>+VLOOKUP($A34,Master!$D$29:$G$225,4,FALSE)</f>
        <v>Rashodi za usluge</v>
      </c>
      <c r="C34" s="506"/>
      <c r="D34" s="506"/>
      <c r="E34" s="506"/>
      <c r="F34" s="506"/>
      <c r="G34" s="163">
        <f>'2021'!S34</f>
        <v>28273541.850000001</v>
      </c>
      <c r="H34" s="163">
        <f>SUM('2021'!G108:M108)</f>
        <v>40547342.806416668</v>
      </c>
      <c r="I34" s="164">
        <f t="shared" si="0"/>
        <v>-12273800.956416667</v>
      </c>
      <c r="J34" s="166">
        <f t="shared" si="1"/>
        <v>-0.30270296662878537</v>
      </c>
      <c r="K34" s="163">
        <f>SUM('2020'!G34:M34)</f>
        <v>42052567.089999996</v>
      </c>
      <c r="L34" s="164">
        <f t="shared" si="7"/>
        <v>-13779025.239999995</v>
      </c>
      <c r="M34" s="166">
        <f t="shared" si="2"/>
        <v>-0.32766192871199573</v>
      </c>
      <c r="N34" s="163">
        <f>'2021'!M34</f>
        <v>6185003.9699999997</v>
      </c>
      <c r="O34" s="163">
        <f>'2021'!M108</f>
        <v>4439703.7447166666</v>
      </c>
      <c r="P34" s="164">
        <f t="shared" si="6"/>
        <v>1745300.2252833331</v>
      </c>
      <c r="Q34" s="166">
        <f t="shared" si="3"/>
        <v>0.39311186638529061</v>
      </c>
      <c r="R34" s="163">
        <f>'2020'!M34</f>
        <v>5977676.1900000004</v>
      </c>
      <c r="S34" s="164">
        <f t="shared" si="4"/>
        <v>207327.77999999933</v>
      </c>
      <c r="T34" s="166">
        <f t="shared" si="5"/>
        <v>3.4683675296235617E-2</v>
      </c>
    </row>
    <row r="35" spans="1:20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f>'2021'!S35</f>
        <v>10286285.92</v>
      </c>
      <c r="H35" s="163">
        <f>SUM('2021'!G109:M109)</f>
        <v>12948307.856083333</v>
      </c>
      <c r="I35" s="164">
        <f t="shared" si="0"/>
        <v>-2662021.9360833336</v>
      </c>
      <c r="J35" s="166">
        <f t="shared" si="1"/>
        <v>-0.20558840318526028</v>
      </c>
      <c r="K35" s="163">
        <f>SUM('2020'!G35:M35)</f>
        <v>11998514.780000001</v>
      </c>
      <c r="L35" s="164">
        <f t="shared" si="7"/>
        <v>-1712228.8600000013</v>
      </c>
      <c r="M35" s="166">
        <f t="shared" si="2"/>
        <v>-0.14270340049537378</v>
      </c>
      <c r="N35" s="163">
        <f>'2021'!M35</f>
        <v>1673890.06</v>
      </c>
      <c r="O35" s="163">
        <f>'2021'!M109</f>
        <v>2078633.2887833335</v>
      </c>
      <c r="P35" s="164">
        <f t="shared" si="6"/>
        <v>-404743.22878333344</v>
      </c>
      <c r="Q35" s="166">
        <f t="shared" si="3"/>
        <v>-0.1947160333510477</v>
      </c>
      <c r="R35" s="163">
        <f>'2020'!M35</f>
        <v>2157134.41</v>
      </c>
      <c r="S35" s="164">
        <f t="shared" si="4"/>
        <v>-483244.35000000009</v>
      </c>
      <c r="T35" s="166">
        <f t="shared" si="5"/>
        <v>-0.22402143684685838</v>
      </c>
    </row>
    <row r="36" spans="1:20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f>'2021'!S36</f>
        <v>62903496.470000006</v>
      </c>
      <c r="H36" s="163">
        <f>SUM('2021'!G110:M110)</f>
        <v>67229714.652697563</v>
      </c>
      <c r="I36" s="164">
        <f t="shared" si="0"/>
        <v>-4326218.1826975569</v>
      </c>
      <c r="J36" s="166">
        <f t="shared" si="1"/>
        <v>-6.4349792425066776E-2</v>
      </c>
      <c r="K36" s="163">
        <f>SUM('2020'!G36:M36)</f>
        <v>74373130.469999999</v>
      </c>
      <c r="L36" s="164">
        <f t="shared" si="7"/>
        <v>-11469633.999999993</v>
      </c>
      <c r="M36" s="166">
        <f t="shared" si="2"/>
        <v>-0.15421744287913919</v>
      </c>
      <c r="N36" s="163">
        <f>'2021'!M36</f>
        <v>3814971.22</v>
      </c>
      <c r="O36" s="163">
        <f>'2021'!M110</f>
        <v>7777546.5015975432</v>
      </c>
      <c r="P36" s="164">
        <f t="shared" si="6"/>
        <v>-3962575.281597543</v>
      </c>
      <c r="Q36" s="166">
        <f t="shared" si="3"/>
        <v>-0.50948911469492497</v>
      </c>
      <c r="R36" s="163">
        <f>'2020'!M36</f>
        <v>7776730.1600000001</v>
      </c>
      <c r="S36" s="164">
        <f t="shared" si="4"/>
        <v>-3961758.94</v>
      </c>
      <c r="T36" s="166">
        <f t="shared" si="5"/>
        <v>-0.50943762461728515</v>
      </c>
    </row>
    <row r="37" spans="1:20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f>'2021'!S37</f>
        <v>4981944.7100000009</v>
      </c>
      <c r="H37" s="163">
        <f>SUM('2021'!G111:M111)</f>
        <v>5886742.3122500004</v>
      </c>
      <c r="I37" s="164">
        <f t="shared" si="0"/>
        <v>-904797.60224999953</v>
      </c>
      <c r="J37" s="166">
        <f t="shared" si="1"/>
        <v>-0.15370090183277829</v>
      </c>
      <c r="K37" s="163">
        <f>SUM('2020'!G37:M37)</f>
        <v>6009772.9100000001</v>
      </c>
      <c r="L37" s="164">
        <f t="shared" si="7"/>
        <v>-1027828.1999999993</v>
      </c>
      <c r="M37" s="166">
        <f t="shared" si="2"/>
        <v>-0.17102612950478346</v>
      </c>
      <c r="N37" s="163">
        <f>'2021'!M37</f>
        <v>751439.83</v>
      </c>
      <c r="O37" s="163">
        <f>'2021'!M111</f>
        <v>997721.26954999997</v>
      </c>
      <c r="P37" s="164">
        <f t="shared" si="6"/>
        <v>-246281.43955000001</v>
      </c>
      <c r="Q37" s="166">
        <f t="shared" si="3"/>
        <v>-0.24684393033044172</v>
      </c>
      <c r="R37" s="163">
        <f>'2020'!M37</f>
        <v>1218754.73</v>
      </c>
      <c r="S37" s="164">
        <f t="shared" si="4"/>
        <v>-467314.9</v>
      </c>
      <c r="T37" s="166">
        <f t="shared" si="5"/>
        <v>-0.38343637854024992</v>
      </c>
    </row>
    <row r="38" spans="1:20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f>'2021'!S38</f>
        <v>19047053.379999999</v>
      </c>
      <c r="H38" s="163">
        <f>SUM('2021'!G112:M112)</f>
        <v>27575216.627333332</v>
      </c>
      <c r="I38" s="164">
        <f t="shared" si="0"/>
        <v>-8528163.2473333329</v>
      </c>
      <c r="J38" s="166">
        <f t="shared" si="1"/>
        <v>-0.30926912968944642</v>
      </c>
      <c r="K38" s="163">
        <f>SUM('2020'!G38:M38)</f>
        <v>14121438.940000001</v>
      </c>
      <c r="L38" s="164">
        <f t="shared" si="7"/>
        <v>4925614.4399999976</v>
      </c>
      <c r="M38" s="166">
        <f t="shared" si="2"/>
        <v>0.34880400368037834</v>
      </c>
      <c r="N38" s="163">
        <f>'2021'!M38</f>
        <v>2490496.2400000002</v>
      </c>
      <c r="O38" s="163">
        <f>'2021'!M112</f>
        <v>4639246.2625333332</v>
      </c>
      <c r="P38" s="164">
        <f t="shared" si="6"/>
        <v>-2148750.0225333329</v>
      </c>
      <c r="Q38" s="166">
        <f t="shared" si="3"/>
        <v>-0.46316791585018691</v>
      </c>
      <c r="R38" s="163">
        <f>'2020'!M38</f>
        <v>1918061.81</v>
      </c>
      <c r="S38" s="164">
        <f t="shared" si="4"/>
        <v>572434.43000000017</v>
      </c>
      <c r="T38" s="166">
        <f t="shared" si="5"/>
        <v>0.2984442039435633</v>
      </c>
    </row>
    <row r="39" spans="1:20">
      <c r="A39" s="150">
        <v>419</v>
      </c>
      <c r="B39" s="505" t="str">
        <f>+VLOOKUP($A39,Master!$D$29:$G$225,4,FALSE)</f>
        <v>Ostali izdaci</v>
      </c>
      <c r="C39" s="506"/>
      <c r="D39" s="506"/>
      <c r="E39" s="506"/>
      <c r="F39" s="506"/>
      <c r="G39" s="163">
        <f>'2021'!S39</f>
        <v>16528400.17</v>
      </c>
      <c r="H39" s="163">
        <f>SUM('2021'!G113:M113)</f>
        <v>25865482.921833329</v>
      </c>
      <c r="I39" s="164">
        <f t="shared" si="0"/>
        <v>-9337082.751833329</v>
      </c>
      <c r="J39" s="166">
        <f t="shared" si="1"/>
        <v>-0.36098621394583741</v>
      </c>
      <c r="K39" s="163">
        <f>SUM('2020'!G39:M39)</f>
        <v>27855018.93</v>
      </c>
      <c r="L39" s="164">
        <f t="shared" si="7"/>
        <v>-11326618.76</v>
      </c>
      <c r="M39" s="166">
        <f t="shared" si="2"/>
        <v>-0.40662757359684187</v>
      </c>
      <c r="N39" s="163">
        <f>'2021'!M39</f>
        <v>1906584.97</v>
      </c>
      <c r="O39" s="163">
        <f>'2021'!M113</f>
        <v>3908855.7156333341</v>
      </c>
      <c r="P39" s="164">
        <f t="shared" si="6"/>
        <v>-2002270.7456333342</v>
      </c>
      <c r="Q39" s="166">
        <f t="shared" si="3"/>
        <v>-0.51223961468450252</v>
      </c>
      <c r="R39" s="163">
        <f>'2020'!M39</f>
        <v>5667806.7999999998</v>
      </c>
      <c r="S39" s="164">
        <f t="shared" si="4"/>
        <v>-3761221.83</v>
      </c>
      <c r="T39" s="166">
        <f t="shared" si="5"/>
        <v>-0.66361151018767961</v>
      </c>
    </row>
    <row r="40" spans="1:20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'2021'!S40</f>
        <v>326689425.14999998</v>
      </c>
      <c r="H40" s="193">
        <f>SUM('2021'!G114:M114)</f>
        <v>330350917.36891663</v>
      </c>
      <c r="I40" s="194">
        <f t="shared" si="0"/>
        <v>-3661492.2189166546</v>
      </c>
      <c r="J40" s="196">
        <f t="shared" si="1"/>
        <v>-1.1083644774104617E-2</v>
      </c>
      <c r="K40" s="193">
        <f>SUM('2020'!G40:M40)</f>
        <v>322029093.95799994</v>
      </c>
      <c r="L40" s="194">
        <f t="shared" si="7"/>
        <v>4660331.1920000315</v>
      </c>
      <c r="M40" s="196">
        <f t="shared" si="2"/>
        <v>1.4471770655007488E-2</v>
      </c>
      <c r="N40" s="193">
        <f>'2021'!M40</f>
        <v>46709328.349999994</v>
      </c>
      <c r="O40" s="193">
        <f>'2021'!M114</f>
        <v>48529569.028216675</v>
      </c>
      <c r="P40" s="194">
        <f t="shared" si="6"/>
        <v>-1820240.6782166809</v>
      </c>
      <c r="Q40" s="196">
        <f t="shared" si="3"/>
        <v>-3.7507868185648552E-2</v>
      </c>
      <c r="R40" s="193">
        <f>'2020'!M40</f>
        <v>46548598.713999994</v>
      </c>
      <c r="S40" s="194">
        <f t="shared" si="4"/>
        <v>160729.63599999994</v>
      </c>
      <c r="T40" s="196">
        <f t="shared" si="5"/>
        <v>3.4529425254570256E-3</v>
      </c>
    </row>
    <row r="41" spans="1:20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f>'2021'!S41</f>
        <v>46938250.43</v>
      </c>
      <c r="H41" s="163">
        <f>SUM('2021'!G115:M115)</f>
        <v>47185440.640000001</v>
      </c>
      <c r="I41" s="164">
        <f t="shared" si="0"/>
        <v>-247190.21000000089</v>
      </c>
      <c r="J41" s="166">
        <f t="shared" si="1"/>
        <v>-5.2386966540364233E-3</v>
      </c>
      <c r="K41" s="163">
        <f>SUM('2020'!G41:M41)</f>
        <v>45723103.920000002</v>
      </c>
      <c r="L41" s="164">
        <f t="shared" si="7"/>
        <v>1215146.5099999979</v>
      </c>
      <c r="M41" s="166">
        <f t="shared" si="2"/>
        <v>2.6576203403121834E-2</v>
      </c>
      <c r="N41" s="163">
        <f>'2021'!M41</f>
        <v>6924485.1699999999</v>
      </c>
      <c r="O41" s="163">
        <f>'2021'!M115</f>
        <v>7000000</v>
      </c>
      <c r="P41" s="164">
        <f t="shared" si="6"/>
        <v>-75514.830000000075</v>
      </c>
      <c r="Q41" s="166">
        <f t="shared" si="3"/>
        <v>-1.0787832857142909E-2</v>
      </c>
      <c r="R41" s="163">
        <f>'2020'!M41</f>
        <v>6808115.7000000002</v>
      </c>
      <c r="S41" s="164">
        <f t="shared" si="4"/>
        <v>116369.46999999974</v>
      </c>
      <c r="T41" s="166">
        <f t="shared" si="5"/>
        <v>1.7092757398350367E-2</v>
      </c>
    </row>
    <row r="42" spans="1:20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f>'2021'!S42</f>
        <v>11630675.609999999</v>
      </c>
      <c r="H42" s="163">
        <f>SUM('2021'!G116:M116)</f>
        <v>11903500.399999999</v>
      </c>
      <c r="I42" s="164">
        <f t="shared" si="0"/>
        <v>-272824.78999999911</v>
      </c>
      <c r="J42" s="166">
        <f t="shared" si="1"/>
        <v>-2.2919711079272043E-2</v>
      </c>
      <c r="K42" s="163">
        <f>SUM('2020'!G42:M42)</f>
        <v>9272031.3399999999</v>
      </c>
      <c r="L42" s="164">
        <f t="shared" si="7"/>
        <v>2358644.2699999996</v>
      </c>
      <c r="M42" s="166">
        <f t="shared" si="2"/>
        <v>0.25438268956498145</v>
      </c>
      <c r="N42" s="163">
        <f>'2021'!M42</f>
        <v>1479581.31</v>
      </c>
      <c r="O42" s="163">
        <f>'2021'!M116</f>
        <v>1331215.5080000004</v>
      </c>
      <c r="P42" s="164">
        <f t="shared" si="6"/>
        <v>148365.80199999968</v>
      </c>
      <c r="Q42" s="166">
        <f t="shared" si="3"/>
        <v>0.11145137741288957</v>
      </c>
      <c r="R42" s="163">
        <f>'2020'!M42</f>
        <v>1640040.42</v>
      </c>
      <c r="S42" s="164">
        <f t="shared" si="4"/>
        <v>-160459.10999999987</v>
      </c>
      <c r="T42" s="166">
        <f t="shared" si="5"/>
        <v>-9.7838509370397064E-2</v>
      </c>
    </row>
    <row r="43" spans="1:20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f>'2021'!S43</f>
        <v>251962850.13</v>
      </c>
      <c r="H43" s="163">
        <f>SUM('2021'!G117:M117)</f>
        <v>254837760.95824996</v>
      </c>
      <c r="I43" s="164">
        <f t="shared" si="0"/>
        <v>-2874910.8282499611</v>
      </c>
      <c r="J43" s="166">
        <f t="shared" si="1"/>
        <v>-1.1281337653570755E-2</v>
      </c>
      <c r="K43" s="163">
        <f>SUM('2020'!G43:M43)</f>
        <v>249446975.37799999</v>
      </c>
      <c r="L43" s="164">
        <f t="shared" si="7"/>
        <v>2515874.7520000041</v>
      </c>
      <c r="M43" s="166">
        <f t="shared" si="2"/>
        <v>1.0085809812636848E-2</v>
      </c>
      <c r="N43" s="163">
        <f>'2021'!M43</f>
        <v>35659550.979999997</v>
      </c>
      <c r="O43" s="163">
        <f>'2021'!M117</f>
        <v>38123196.594350003</v>
      </c>
      <c r="P43" s="164">
        <f t="shared" si="6"/>
        <v>-2463645.614350006</v>
      </c>
      <c r="Q43" s="166">
        <f t="shared" si="3"/>
        <v>-6.4623269673958261E-2</v>
      </c>
      <c r="R43" s="163">
        <f>'2020'!M43</f>
        <v>35634994.473999999</v>
      </c>
      <c r="S43" s="164">
        <f t="shared" si="4"/>
        <v>24556.505999997258</v>
      </c>
      <c r="T43" s="166">
        <f t="shared" si="5"/>
        <v>6.8911210349464902E-4</v>
      </c>
    </row>
    <row r="44" spans="1:20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f>'2021'!S44</f>
        <v>10317822.199999999</v>
      </c>
      <c r="H44" s="163">
        <f>SUM('2021'!G118:M118)</f>
        <v>10121858.0145</v>
      </c>
      <c r="I44" s="164">
        <f t="shared" si="0"/>
        <v>195964.18549999967</v>
      </c>
      <c r="J44" s="166">
        <f t="shared" si="1"/>
        <v>1.936049539711715E-2</v>
      </c>
      <c r="K44" s="163">
        <f>SUM('2020'!G44:M44)</f>
        <v>12064094.819999998</v>
      </c>
      <c r="L44" s="164">
        <f t="shared" si="7"/>
        <v>-1746272.6199999992</v>
      </c>
      <c r="M44" s="166">
        <f t="shared" si="2"/>
        <v>-0.1447495768273479</v>
      </c>
      <c r="N44" s="163">
        <f>'2021'!M44</f>
        <v>1892227.84</v>
      </c>
      <c r="O44" s="163">
        <f>'2021'!M118</f>
        <v>1035628.3971000001</v>
      </c>
      <c r="P44" s="164">
        <f t="shared" si="6"/>
        <v>856599.44290000002</v>
      </c>
      <c r="Q44" s="166">
        <f t="shared" si="3"/>
        <v>0.82713012244418693</v>
      </c>
      <c r="R44" s="163">
        <f>'2020'!M44</f>
        <v>1500985.15</v>
      </c>
      <c r="S44" s="164">
        <f t="shared" si="4"/>
        <v>391242.69000000018</v>
      </c>
      <c r="T44" s="166">
        <f t="shared" si="5"/>
        <v>0.26065726899430031</v>
      </c>
    </row>
    <row r="45" spans="1:20">
      <c r="A45" s="150">
        <v>425</v>
      </c>
      <c r="B45" s="505" t="str">
        <f>+VLOOKUP($A45,Master!$D$29:$G$225,4,FALSE)</f>
        <v>Ostala prava iz zdravstvenog osiguranja</v>
      </c>
      <c r="C45" s="506"/>
      <c r="D45" s="506"/>
      <c r="E45" s="506"/>
      <c r="F45" s="506"/>
      <c r="G45" s="163">
        <f>'2021'!S45</f>
        <v>5839826.7800000003</v>
      </c>
      <c r="H45" s="163">
        <f>SUM('2021'!G119:M119)</f>
        <v>6302357.3561666664</v>
      </c>
      <c r="I45" s="164">
        <f t="shared" si="0"/>
        <v>-462530.57616666611</v>
      </c>
      <c r="J45" s="166">
        <f t="shared" si="1"/>
        <v>-7.3390090410232589E-2</v>
      </c>
      <c r="K45" s="163">
        <f>SUM('2020'!G45:M45)</f>
        <v>5522888.5</v>
      </c>
      <c r="L45" s="164">
        <f t="shared" si="7"/>
        <v>316938.28000000026</v>
      </c>
      <c r="M45" s="166">
        <f t="shared" si="2"/>
        <v>5.7386326014005284E-2</v>
      </c>
      <c r="N45" s="163">
        <f>'2021'!M45</f>
        <v>753483.05</v>
      </c>
      <c r="O45" s="163">
        <f>'2021'!M119</f>
        <v>1039528.5287666667</v>
      </c>
      <c r="P45" s="164">
        <f t="shared" si="6"/>
        <v>-286045.47876666661</v>
      </c>
      <c r="Q45" s="166">
        <f t="shared" si="3"/>
        <v>-0.27516847383307608</v>
      </c>
      <c r="R45" s="163">
        <f>'2020'!M45</f>
        <v>964462.97</v>
      </c>
      <c r="S45" s="164">
        <f t="shared" si="4"/>
        <v>-210979.91999999993</v>
      </c>
      <c r="T45" s="166">
        <f t="shared" si="5"/>
        <v>-0.21875377962929976</v>
      </c>
    </row>
    <row r="46" spans="1:20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f>'2021'!S46</f>
        <v>137544399.94999999</v>
      </c>
      <c r="H46" s="175">
        <f>SUM('2021'!G120:M120)</f>
        <v>155250522.75808334</v>
      </c>
      <c r="I46" s="176">
        <f t="shared" si="0"/>
        <v>-17706122.808083355</v>
      </c>
      <c r="J46" s="178">
        <f t="shared" si="1"/>
        <v>-0.11404871618805201</v>
      </c>
      <c r="K46" s="175">
        <f>SUM('2020'!G46:M46)</f>
        <v>166880829.94999999</v>
      </c>
      <c r="L46" s="176">
        <f t="shared" si="7"/>
        <v>-29336430</v>
      </c>
      <c r="M46" s="178">
        <f t="shared" si="2"/>
        <v>-0.17579268996199049</v>
      </c>
      <c r="N46" s="175">
        <f>'2021'!M46</f>
        <v>18907470.68</v>
      </c>
      <c r="O46" s="175">
        <f>'2021'!M120</f>
        <v>20959047.32438333</v>
      </c>
      <c r="P46" s="176">
        <f t="shared" si="6"/>
        <v>-2051576.6443833299</v>
      </c>
      <c r="Q46" s="178">
        <f t="shared" si="3"/>
        <v>-9.7885014172212292E-2</v>
      </c>
      <c r="R46" s="175">
        <f>'2020'!M46</f>
        <v>35655547.57</v>
      </c>
      <c r="S46" s="176">
        <f t="shared" si="4"/>
        <v>-16748076.890000001</v>
      </c>
      <c r="T46" s="178">
        <f t="shared" si="5"/>
        <v>-0.46971868422774021</v>
      </c>
    </row>
    <row r="47" spans="1:20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f>'2021'!S47</f>
        <v>75731678.120000005</v>
      </c>
      <c r="H47" s="175">
        <f>SUM('2021'!G121:M121)</f>
        <v>115189140.71200001</v>
      </c>
      <c r="I47" s="176">
        <f t="shared" si="0"/>
        <v>-39457462.592000008</v>
      </c>
      <c r="J47" s="178">
        <f t="shared" si="1"/>
        <v>-0.34254498599527672</v>
      </c>
      <c r="K47" s="175">
        <f>SUM('2020'!G47:M47)</f>
        <v>109169066.45</v>
      </c>
      <c r="L47" s="176">
        <f t="shared" si="7"/>
        <v>-33437388.329999998</v>
      </c>
      <c r="M47" s="178">
        <f t="shared" si="2"/>
        <v>-0.30628995389746683</v>
      </c>
      <c r="N47" s="175">
        <f>'2021'!M47</f>
        <v>13239995.960000001</v>
      </c>
      <c r="O47" s="175">
        <f>'2021'!M121</f>
        <v>24073116.957600009</v>
      </c>
      <c r="P47" s="176">
        <f t="shared" si="6"/>
        <v>-10833120.997600008</v>
      </c>
      <c r="Q47" s="178">
        <f t="shared" si="3"/>
        <v>-0.45000907097657472</v>
      </c>
      <c r="R47" s="175">
        <f>'2020'!M47</f>
        <v>24763301.23</v>
      </c>
      <c r="S47" s="176">
        <f t="shared" si="4"/>
        <v>-11523305.27</v>
      </c>
      <c r="T47" s="178">
        <f t="shared" si="5"/>
        <v>-0.46533800816669224</v>
      </c>
    </row>
    <row r="48" spans="1:20">
      <c r="A48" s="150">
        <v>451</v>
      </c>
      <c r="B48" s="523" t="str">
        <f>+VLOOKUP($A48,Master!$D$29:$G$225,4,FALSE)</f>
        <v>Pozajmice i krediti</v>
      </c>
      <c r="C48" s="524"/>
      <c r="D48" s="524"/>
      <c r="E48" s="524"/>
      <c r="F48" s="524"/>
      <c r="G48" s="163">
        <f>'2021'!S48</f>
        <v>828780</v>
      </c>
      <c r="H48" s="163">
        <f>SUM('2021'!G122:M122)</f>
        <v>1110068.2246666667</v>
      </c>
      <c r="I48" s="164">
        <f>G48-H48</f>
        <v>-281288.22466666671</v>
      </c>
      <c r="J48" s="282">
        <f t="shared" si="1"/>
        <v>-0.2533972402922644</v>
      </c>
      <c r="K48" s="163">
        <f>SUM('2020'!G48:M48)</f>
        <v>820591</v>
      </c>
      <c r="L48" s="279">
        <f t="shared" si="7"/>
        <v>8189</v>
      </c>
      <c r="M48" s="282">
        <f t="shared" si="2"/>
        <v>9.9793929009701632E-3</v>
      </c>
      <c r="N48" s="163">
        <f>'2021'!M48</f>
        <v>0</v>
      </c>
      <c r="O48" s="163">
        <f>'2021'!M122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'2020'!M48</f>
        <v>97</v>
      </c>
      <c r="S48" s="279">
        <f t="shared" si="4"/>
        <v>-97</v>
      </c>
      <c r="T48" s="282">
        <f t="shared" si="5"/>
        <v>-1</v>
      </c>
    </row>
    <row r="49" spans="1:23">
      <c r="A49" s="150">
        <v>47</v>
      </c>
      <c r="B49" s="523" t="str">
        <f>+VLOOKUP($A49,Master!$D$29:$G$225,4,FALSE)</f>
        <v>Rezerve</v>
      </c>
      <c r="C49" s="524"/>
      <c r="D49" s="524"/>
      <c r="E49" s="524"/>
      <c r="F49" s="524"/>
      <c r="G49" s="163">
        <f>'2021'!S49</f>
        <v>55552346.919999994</v>
      </c>
      <c r="H49" s="163">
        <f>SUM('2021'!G123:M123)</f>
        <v>56005736.183333337</v>
      </c>
      <c r="I49" s="164">
        <f t="shared" ref="I49:I50" si="8">G49-H49</f>
        <v>-453389.26333334297</v>
      </c>
      <c r="J49" s="283">
        <f t="shared" si="1"/>
        <v>-8.0954076176980028E-3</v>
      </c>
      <c r="K49" s="163">
        <f>SUM('2020'!G49:M49)</f>
        <v>51370558.770000003</v>
      </c>
      <c r="L49" s="280">
        <f t="shared" si="7"/>
        <v>4181788.1499999911</v>
      </c>
      <c r="M49" s="283">
        <f t="shared" si="2"/>
        <v>8.1404373441273936E-2</v>
      </c>
      <c r="N49" s="163">
        <f>'2021'!M49</f>
        <v>5897968.25</v>
      </c>
      <c r="O49" s="163">
        <f>'2021'!M123</f>
        <v>3041462.9633333324</v>
      </c>
      <c r="P49" s="164">
        <f t="shared" si="6"/>
        <v>2856505.2866666676</v>
      </c>
      <c r="Q49" s="283">
        <f t="shared" si="3"/>
        <v>0.9391879240692913</v>
      </c>
      <c r="R49" s="163">
        <f>'2020'!M49</f>
        <v>10247185.029999999</v>
      </c>
      <c r="S49" s="280">
        <f t="shared" si="4"/>
        <v>-4349216.7799999993</v>
      </c>
      <c r="T49" s="283">
        <f t="shared" si="5"/>
        <v>-0.42443039403183291</v>
      </c>
      <c r="W49" s="345"/>
    </row>
    <row r="50" spans="1:23" ht="15.7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f>'2021'!S50</f>
        <v>7725284.0199999996</v>
      </c>
      <c r="H50" s="163">
        <f>SUM('2021'!G124:M124)</f>
        <v>3860000</v>
      </c>
      <c r="I50" s="164">
        <f t="shared" si="8"/>
        <v>3865284.0199999996</v>
      </c>
      <c r="J50" s="284">
        <f t="shared" si="1"/>
        <v>1.0013689170984454</v>
      </c>
      <c r="K50" s="163">
        <f>SUM('2020'!G50:M50)</f>
        <v>0</v>
      </c>
      <c r="L50" s="280">
        <f t="shared" si="7"/>
        <v>7725284.0199999996</v>
      </c>
      <c r="M50" s="284" t="str">
        <f t="shared" si="2"/>
        <v>...</v>
      </c>
      <c r="N50" s="163">
        <f>'2021'!M50</f>
        <v>3893787.62</v>
      </c>
      <c r="O50" s="163">
        <f>'2021'!M124</f>
        <v>0</v>
      </c>
      <c r="P50" s="164">
        <f t="shared" si="6"/>
        <v>3893787.62</v>
      </c>
      <c r="Q50" s="284" t="str">
        <f t="shared" si="3"/>
        <v>...</v>
      </c>
      <c r="R50" s="163">
        <f>'2020'!M50</f>
        <v>0</v>
      </c>
      <c r="S50" s="280">
        <f t="shared" si="4"/>
        <v>3893787.62</v>
      </c>
      <c r="T50" s="284" t="str">
        <f t="shared" si="5"/>
        <v>...</v>
      </c>
    </row>
    <row r="51" spans="1:23" ht="15" customHeight="1" thickBot="1">
      <c r="A51" s="144">
        <v>4630</v>
      </c>
      <c r="B51" s="525" t="str">
        <f>+VLOOKUP($A51,Master!$D$29:$G$225,4,FALSE)</f>
        <v>Otplata obaveza iz prethodnog perioda</v>
      </c>
      <c r="C51" s="526"/>
      <c r="D51" s="526"/>
      <c r="E51" s="526"/>
      <c r="F51" s="526"/>
      <c r="G51" s="314">
        <f>'2021'!S51</f>
        <v>19408018.829999998</v>
      </c>
      <c r="H51" s="314">
        <f>SUM('2021'!G125:M125)</f>
        <v>6084686.9241666663</v>
      </c>
      <c r="I51" s="281">
        <f>G51-H51</f>
        <v>13323331.905833332</v>
      </c>
      <c r="J51" s="285" t="str">
        <f t="shared" si="1"/>
        <v>...</v>
      </c>
      <c r="K51" s="314">
        <f>SUM('2020'!G51:M51)</f>
        <v>11419650.67</v>
      </c>
      <c r="L51" s="287">
        <f t="shared" si="7"/>
        <v>7988368.1599999983</v>
      </c>
      <c r="M51" s="285">
        <f t="shared" si="2"/>
        <v>0.69952824222424304</v>
      </c>
      <c r="N51" s="314">
        <f>'2021'!M51</f>
        <v>1459246.33</v>
      </c>
      <c r="O51" s="314">
        <f>'2021'!M125</f>
        <v>869240.98916666664</v>
      </c>
      <c r="P51" s="281">
        <f>N51-O51</f>
        <v>590005.34083333344</v>
      </c>
      <c r="Q51" s="285">
        <f t="shared" si="3"/>
        <v>0.67875922579187864</v>
      </c>
      <c r="R51" s="314">
        <f>'2020'!M51</f>
        <v>2646429.7400000002</v>
      </c>
      <c r="S51" s="287">
        <f>+N51-R51</f>
        <v>-1187183.4100000001</v>
      </c>
      <c r="T51" s="285">
        <f t="shared" si="5"/>
        <v>-0.44859812148271883</v>
      </c>
    </row>
    <row r="52" spans="1:23" ht="15.75" thickBot="1">
      <c r="A52" s="144">
        <v>1005</v>
      </c>
      <c r="B52" s="525" t="str">
        <f>+VLOOKUP($A52,Master!$D$29:$G$227,4,FALSE)</f>
        <v>Neto povećanje obaveza</v>
      </c>
      <c r="C52" s="526"/>
      <c r="D52" s="526"/>
      <c r="E52" s="526"/>
      <c r="F52" s="526"/>
      <c r="G52" s="163">
        <f>'2021'!S52</f>
        <v>0</v>
      </c>
      <c r="H52" s="163">
        <f>SUM('2021'!G126:M126)</f>
        <v>0</v>
      </c>
      <c r="I52" s="281">
        <f>G52-H52</f>
        <v>0</v>
      </c>
      <c r="J52" s="285" t="str">
        <f t="shared" si="1"/>
        <v>...</v>
      </c>
      <c r="K52" s="163">
        <f>SUM('2020'!G52:M52)</f>
        <v>0</v>
      </c>
      <c r="L52" s="287">
        <f t="shared" si="7"/>
        <v>0</v>
      </c>
      <c r="M52" s="285" t="str">
        <f t="shared" si="2"/>
        <v>...</v>
      </c>
      <c r="N52" s="163">
        <f>'2021'!M52</f>
        <v>0</v>
      </c>
      <c r="O52" s="163">
        <f>'2021'!M126</f>
        <v>0</v>
      </c>
      <c r="P52" s="281">
        <f>N52-O52</f>
        <v>0</v>
      </c>
      <c r="Q52" s="285" t="str">
        <f t="shared" si="3"/>
        <v>...</v>
      </c>
      <c r="R52" s="163">
        <f>'2020'!M52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>'2021'!S53</f>
        <v>-118889510.23000002</v>
      </c>
      <c r="H53" s="151">
        <f>SUM('2021'!G127:M127)</f>
        <v>-205330608.41170323</v>
      </c>
      <c r="I53" s="321">
        <f>+G53-H53</f>
        <v>86441098.18170321</v>
      </c>
      <c r="J53" s="286">
        <f t="shared" si="1"/>
        <v>-0.42098496103602023</v>
      </c>
      <c r="K53" s="151">
        <f>SUM('2020'!G53:M53)</f>
        <v>-270684743.338</v>
      </c>
      <c r="L53" s="288">
        <f t="shared" si="7"/>
        <v>151795233.10799998</v>
      </c>
      <c r="M53" s="286">
        <f t="shared" si="2"/>
        <v>-0.5607823744925865</v>
      </c>
      <c r="N53" s="151">
        <f>'2021'!M53</f>
        <v>41279555.400000006</v>
      </c>
      <c r="O53" s="151">
        <f>'2021'!M127</f>
        <v>45893689.622117758</v>
      </c>
      <c r="P53" s="321">
        <f>N53-O53</f>
        <v>-4614134.2221177518</v>
      </c>
      <c r="Q53" s="286">
        <f t="shared" si="3"/>
        <v>-0.10053962233391756</v>
      </c>
      <c r="R53" s="151">
        <f>'2020'!M53</f>
        <v>-56328945.374000013</v>
      </c>
      <c r="S53" s="288">
        <f t="shared" si="4"/>
        <v>97608500.774000019</v>
      </c>
      <c r="T53" s="286">
        <f t="shared" si="5"/>
        <v>-1.732830254959</v>
      </c>
    </row>
    <row r="54" spans="1:23" ht="15.7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151">
        <f>'2021'!S54</f>
        <v>-55986013.75999999</v>
      </c>
      <c r="H54" s="151">
        <f>SUM('2021'!G128:M128)</f>
        <v>-138100893.75900564</v>
      </c>
      <c r="I54" s="206">
        <f t="shared" si="0"/>
        <v>82114879.999005646</v>
      </c>
      <c r="J54" s="208">
        <f t="shared" si="1"/>
        <v>-0.59460064134198176</v>
      </c>
      <c r="K54" s="151">
        <f>SUM('2020'!G54:M54)</f>
        <v>-196311612.868</v>
      </c>
      <c r="L54" s="206">
        <f t="shared" si="7"/>
        <v>140325599.10800001</v>
      </c>
      <c r="M54" s="208">
        <f t="shared" si="2"/>
        <v>-0.71481048450432216</v>
      </c>
      <c r="N54" s="151">
        <f>'2021'!M54</f>
        <v>45094526.620000005</v>
      </c>
      <c r="O54" s="151">
        <f>'2021'!M128</f>
        <v>53671236.123715304</v>
      </c>
      <c r="P54" s="206">
        <f t="shared" si="6"/>
        <v>-8576709.5037152991</v>
      </c>
      <c r="Q54" s="208">
        <f t="shared" si="3"/>
        <v>-0.15980085653226783</v>
      </c>
      <c r="R54" s="151">
        <f>'2020'!M54</f>
        <v>-48552215.214000016</v>
      </c>
      <c r="S54" s="206">
        <f t="shared" si="4"/>
        <v>93646741.834000021</v>
      </c>
      <c r="T54" s="208">
        <f t="shared" si="5"/>
        <v>-1.9287841228508356</v>
      </c>
    </row>
    <row r="55" spans="1:23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492">
        <f>'2021'!S55</f>
        <v>375917411.34000003</v>
      </c>
      <c r="H55" s="492">
        <f>SUM('2021'!G129:M129)</f>
        <v>394995188.76474142</v>
      </c>
      <c r="I55" s="493">
        <f t="shared" si="0"/>
        <v>-19077777.424741387</v>
      </c>
      <c r="J55" s="494">
        <f t="shared" si="1"/>
        <v>-4.8298758990971136E-2</v>
      </c>
      <c r="K55" s="492">
        <f>SUM('2020'!G55:M55)</f>
        <v>479234170.15999997</v>
      </c>
      <c r="L55" s="493">
        <f t="shared" si="7"/>
        <v>-103316758.81999993</v>
      </c>
      <c r="M55" s="494">
        <f t="shared" si="2"/>
        <v>-0.2155872123757494</v>
      </c>
      <c r="N55" s="492">
        <f>'2021'!M55</f>
        <v>25358675.150000002</v>
      </c>
      <c r="O55" s="492">
        <f>'2021'!M129</f>
        <v>25758637.934741426</v>
      </c>
      <c r="P55" s="493">
        <f t="shared" si="6"/>
        <v>-399962.78474142402</v>
      </c>
      <c r="Q55" s="494">
        <f t="shared" si="3"/>
        <v>-1.5527326629409366E-2</v>
      </c>
      <c r="R55" s="492">
        <f>'2020'!M55</f>
        <v>16626649.35</v>
      </c>
      <c r="S55" s="493">
        <f t="shared" si="4"/>
        <v>8732025.8000000026</v>
      </c>
      <c r="T55" s="494">
        <f t="shared" si="5"/>
        <v>0.52518253174082874</v>
      </c>
    </row>
    <row r="56" spans="1:23">
      <c r="A56" s="144">
        <v>4611</v>
      </c>
      <c r="B56" s="523" t="str">
        <f>+VLOOKUP($A56,Master!$D$29:$G$225,4,FALSE)</f>
        <v>Otplata hartija od vrijednosti i kredita rezidentima</v>
      </c>
      <c r="C56" s="524"/>
      <c r="D56" s="524"/>
      <c r="E56" s="524"/>
      <c r="F56" s="524"/>
      <c r="G56" s="163">
        <f>'2021'!S56</f>
        <v>66165496.160000004</v>
      </c>
      <c r="H56" s="163">
        <f>SUM('2021'!G130:M130)</f>
        <v>71568842.350000009</v>
      </c>
      <c r="I56" s="212">
        <f t="shared" si="0"/>
        <v>-5403346.1900000051</v>
      </c>
      <c r="J56" s="214">
        <f t="shared" si="1"/>
        <v>-7.5498583078590253E-2</v>
      </c>
      <c r="K56" s="163">
        <f>SUM('2020'!G56:M56)</f>
        <v>100333871.91</v>
      </c>
      <c r="L56" s="212">
        <f t="shared" si="7"/>
        <v>-34168375.749999993</v>
      </c>
      <c r="M56" s="214">
        <f t="shared" si="2"/>
        <v>-0.34054676750289481</v>
      </c>
      <c r="N56" s="163">
        <f>'2021'!M56</f>
        <v>294018.01</v>
      </c>
      <c r="O56" s="163">
        <f>'2021'!M130</f>
        <v>294018.01</v>
      </c>
      <c r="P56" s="212">
        <f t="shared" si="6"/>
        <v>0</v>
      </c>
      <c r="Q56" s="214">
        <f t="shared" si="3"/>
        <v>0</v>
      </c>
      <c r="R56" s="163">
        <f>'2020'!M56</f>
        <v>14993230.529999999</v>
      </c>
      <c r="S56" s="212">
        <f t="shared" si="4"/>
        <v>-14699212.52</v>
      </c>
      <c r="T56" s="214">
        <f t="shared" si="5"/>
        <v>-0.9803899493566981</v>
      </c>
    </row>
    <row r="57" spans="1:23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163">
        <f>'2021'!S57</f>
        <v>309751915.18000001</v>
      </c>
      <c r="H57" s="163">
        <f>SUM('2021'!G131:M131)</f>
        <v>323426346.4147414</v>
      </c>
      <c r="I57" s="212">
        <f t="shared" si="0"/>
        <v>-13674431.23474139</v>
      </c>
      <c r="J57" s="214">
        <f t="shared" si="1"/>
        <v>-4.2279892737019487E-2</v>
      </c>
      <c r="K57" s="163">
        <f>SUM('2020'!G57:M57)</f>
        <v>378900298.25</v>
      </c>
      <c r="L57" s="212">
        <f t="shared" si="7"/>
        <v>-69148383.069999993</v>
      </c>
      <c r="M57" s="214">
        <f t="shared" si="2"/>
        <v>-0.18249756832963904</v>
      </c>
      <c r="N57" s="163">
        <f>'2021'!M57</f>
        <v>25064657.140000001</v>
      </c>
      <c r="O57" s="163">
        <f>'2021'!M131</f>
        <v>25464619.924741425</v>
      </c>
      <c r="P57" s="212">
        <f t="shared" si="6"/>
        <v>-399962.78474142402</v>
      </c>
      <c r="Q57" s="214">
        <f t="shared" si="3"/>
        <v>-1.5706607281926077E-2</v>
      </c>
      <c r="R57" s="163">
        <f>'2020'!M57</f>
        <v>1633418.82</v>
      </c>
      <c r="S57" s="212">
        <f t="shared" si="4"/>
        <v>23431238.32</v>
      </c>
      <c r="T57" s="214" t="str">
        <f t="shared" si="5"/>
        <v>...</v>
      </c>
    </row>
    <row r="58" spans="1:23" ht="15.75" thickBot="1">
      <c r="A58" s="144">
        <v>4418</v>
      </c>
      <c r="B58" s="521" t="str">
        <f>+VLOOKUP($A58,Master!$D$29:$G$225,4,FALSE)</f>
        <v>Izdaci za kupovinu hartija od vrijednosti</v>
      </c>
      <c r="C58" s="522"/>
      <c r="D58" s="522"/>
      <c r="E58" s="522"/>
      <c r="F58" s="522"/>
      <c r="G58" s="336">
        <f>'2021'!S58</f>
        <v>0</v>
      </c>
      <c r="H58" s="336">
        <f>SUM('2021'!G132:M132)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SUM('2020'!G58:M58)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'2021'!M58</f>
        <v>0</v>
      </c>
      <c r="O58" s="336">
        <f>'2021'!M132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'2020'!M58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320">
        <f>'2021'!S59</f>
        <v>-494806921.57000005</v>
      </c>
      <c r="H59" s="320">
        <f>SUM('2021'!G133:M133)</f>
        <v>-600862581.17644453</v>
      </c>
      <c r="I59" s="322">
        <f t="shared" si="9"/>
        <v>106055659.60644448</v>
      </c>
      <c r="J59" s="323">
        <f t="shared" si="1"/>
        <v>-0.17650568187953286</v>
      </c>
      <c r="K59" s="320">
        <f>SUM('2020'!G59:M59)</f>
        <v>-749918913.49800003</v>
      </c>
      <c r="L59" s="322">
        <f t="shared" si="10"/>
        <v>255111991.92799997</v>
      </c>
      <c r="M59" s="323">
        <f t="shared" si="2"/>
        <v>-0.34018610190537668</v>
      </c>
      <c r="N59" s="320">
        <f>'2021'!M59</f>
        <v>15920880.250000004</v>
      </c>
      <c r="O59" s="320">
        <f>'2021'!M133</f>
        <v>20135051.687376332</v>
      </c>
      <c r="P59" s="322">
        <f t="shared" si="11"/>
        <v>-4214171.4373763278</v>
      </c>
      <c r="Q59" s="323">
        <f t="shared" si="3"/>
        <v>-0.20929528778008566</v>
      </c>
      <c r="R59" s="320">
        <f>'2020'!M59</f>
        <v>-72955594.724000007</v>
      </c>
      <c r="S59" s="322">
        <f t="shared" si="12"/>
        <v>88876474.974000007</v>
      </c>
      <c r="T59" s="323">
        <f t="shared" si="5"/>
        <v>-1.2182269956160408</v>
      </c>
    </row>
    <row r="60" spans="1:23" ht="15.7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'2021'!S60</f>
        <v>494806921.57000005</v>
      </c>
      <c r="H60" s="151">
        <f>SUM('2021'!G134:M134)</f>
        <v>600862581.17644453</v>
      </c>
      <c r="I60" s="321">
        <f t="shared" si="9"/>
        <v>-106055659.60644448</v>
      </c>
      <c r="J60" s="324">
        <f t="shared" si="1"/>
        <v>-0.17650568187953286</v>
      </c>
      <c r="K60" s="151">
        <f>SUM('2020'!G60:M60)</f>
        <v>749918913.49800003</v>
      </c>
      <c r="L60" s="321">
        <f t="shared" si="10"/>
        <v>-255111991.92799997</v>
      </c>
      <c r="M60" s="324">
        <f t="shared" si="2"/>
        <v>-0.34018610190537668</v>
      </c>
      <c r="N60" s="151">
        <f>'2021'!M60</f>
        <v>-15920880.250000002</v>
      </c>
      <c r="O60" s="151">
        <f>'2021'!M134</f>
        <v>-20135051.687376328</v>
      </c>
      <c r="P60" s="321">
        <f t="shared" si="11"/>
        <v>4214171.437376326</v>
      </c>
      <c r="Q60" s="324">
        <f t="shared" si="3"/>
        <v>-0.20929528778008555</v>
      </c>
      <c r="R60" s="151">
        <f>'2020'!M60</f>
        <v>72955594.724000007</v>
      </c>
      <c r="S60" s="321">
        <f t="shared" si="12"/>
        <v>-88876474.974000007</v>
      </c>
      <c r="T60" s="324">
        <f t="shared" si="5"/>
        <v>-1.2182269956160408</v>
      </c>
    </row>
    <row r="61" spans="1:23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484">
        <f>'2021'!S61</f>
        <v>0</v>
      </c>
      <c r="H61" s="484">
        <f>SUM('2021'!G135:M135)</f>
        <v>0</v>
      </c>
      <c r="I61" s="212">
        <f t="shared" si="9"/>
        <v>0</v>
      </c>
      <c r="J61" s="214" t="str">
        <f t="shared" si="1"/>
        <v>...</v>
      </c>
      <c r="K61" s="163">
        <f>SUM('2020'!G61:M61)</f>
        <v>112732059.13</v>
      </c>
      <c r="L61" s="212">
        <f t="shared" si="10"/>
        <v>-112732059.13</v>
      </c>
      <c r="M61" s="214">
        <f t="shared" si="2"/>
        <v>-1</v>
      </c>
      <c r="N61" s="163">
        <f>'2021'!M61</f>
        <v>0</v>
      </c>
      <c r="O61" s="163">
        <f>'2021'!M135</f>
        <v>0</v>
      </c>
      <c r="P61" s="212">
        <f t="shared" si="11"/>
        <v>0</v>
      </c>
      <c r="Q61" s="214" t="str">
        <f t="shared" si="3"/>
        <v>...</v>
      </c>
      <c r="R61" s="163">
        <f>'2020'!M61</f>
        <v>44900000</v>
      </c>
      <c r="S61" s="212">
        <f t="shared" si="12"/>
        <v>-44900000</v>
      </c>
      <c r="T61" s="214">
        <f t="shared" si="5"/>
        <v>-1</v>
      </c>
    </row>
    <row r="62" spans="1:23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163">
        <f>'2021'!S62</f>
        <v>62151638.719999999</v>
      </c>
      <c r="H62" s="163">
        <f>SUM('2021'!G136:M136)</f>
        <v>70500000</v>
      </c>
      <c r="I62" s="212">
        <f t="shared" si="9"/>
        <v>-8348361.2800000012</v>
      </c>
      <c r="J62" s="214">
        <f t="shared" si="1"/>
        <v>-0.11841647205673755</v>
      </c>
      <c r="K62" s="163">
        <f>SUM('2020'!G62:M62)</f>
        <v>362186445.06</v>
      </c>
      <c r="L62" s="212">
        <f t="shared" si="10"/>
        <v>-300034806.34000003</v>
      </c>
      <c r="M62" s="214">
        <f t="shared" si="2"/>
        <v>-0.82839877204762891</v>
      </c>
      <c r="N62" s="163">
        <f>'2021'!M62</f>
        <v>4692428.3099999996</v>
      </c>
      <c r="O62" s="163">
        <f>'2021'!M136</f>
        <v>18900000</v>
      </c>
      <c r="P62" s="212">
        <f t="shared" si="11"/>
        <v>-14207571.690000001</v>
      </c>
      <c r="Q62" s="214">
        <f t="shared" si="3"/>
        <v>-0.75172336984126986</v>
      </c>
      <c r="R62" s="163">
        <f>'2020'!M62</f>
        <v>18425337.739999998</v>
      </c>
      <c r="S62" s="212">
        <f t="shared" si="12"/>
        <v>-13732909.43</v>
      </c>
      <c r="T62" s="214">
        <f t="shared" si="5"/>
        <v>-0.74532741943649172</v>
      </c>
    </row>
    <row r="63" spans="1:23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163">
        <f>'2021'!S63</f>
        <v>852989.6100000001</v>
      </c>
      <c r="H63" s="163">
        <f>SUM('2021'!G137:M137)</f>
        <v>1668985.425</v>
      </c>
      <c r="I63" s="212">
        <f t="shared" si="9"/>
        <v>-815995.81499999994</v>
      </c>
      <c r="J63" s="214">
        <f t="shared" si="1"/>
        <v>-0.48891728038907223</v>
      </c>
      <c r="K63" s="163">
        <f>SUM('2020'!G63:M63)</f>
        <v>5531520.0499999998</v>
      </c>
      <c r="L63" s="212">
        <f t="shared" si="10"/>
        <v>-4678530.4399999995</v>
      </c>
      <c r="M63" s="214">
        <f t="shared" si="2"/>
        <v>-0.84579471785517613</v>
      </c>
      <c r="N63" s="163">
        <f>'2021'!M63</f>
        <v>183425.54</v>
      </c>
      <c r="O63" s="163">
        <f>'2021'!M137</f>
        <v>866202.91500000004</v>
      </c>
      <c r="P63" s="212">
        <f t="shared" si="11"/>
        <v>-682777.375</v>
      </c>
      <c r="Q63" s="214">
        <f t="shared" si="3"/>
        <v>-0.78824183476685716</v>
      </c>
      <c r="R63" s="163">
        <f>'2020'!M63</f>
        <v>3744610.34</v>
      </c>
      <c r="S63" s="212">
        <f t="shared" si="12"/>
        <v>-3561184.8</v>
      </c>
      <c r="T63" s="214">
        <f t="shared" si="5"/>
        <v>-0.95101612094571097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431802293.24000001</v>
      </c>
      <c r="H64" s="318">
        <f>SUM('2021'!G138:M138)</f>
        <v>528693595.75144458</v>
      </c>
      <c r="I64" s="226">
        <f t="shared" si="9"/>
        <v>-96891302.511444569</v>
      </c>
      <c r="J64" s="228">
        <f t="shared" si="1"/>
        <v>-0.18326551199041985</v>
      </c>
      <c r="K64" s="318">
        <f>SUM('2020'!G64:M64)</f>
        <v>269468889.25799996</v>
      </c>
      <c r="L64" s="226">
        <f t="shared" si="10"/>
        <v>162333403.98200005</v>
      </c>
      <c r="M64" s="228">
        <f t="shared" si="2"/>
        <v>0.60241983565893498</v>
      </c>
      <c r="N64" s="318">
        <f>'2021'!M64</f>
        <v>-20796734.100000001</v>
      </c>
      <c r="O64" s="318">
        <f>'2021'!M138</f>
        <v>-39901254.602376327</v>
      </c>
      <c r="P64" s="226">
        <f t="shared" si="11"/>
        <v>19104520.502376325</v>
      </c>
      <c r="Q64" s="228">
        <f t="shared" si="3"/>
        <v>-0.47879498258279207</v>
      </c>
      <c r="R64" s="318">
        <f>'2020'!M64</f>
        <v>5885646.6440000087</v>
      </c>
      <c r="S64" s="226">
        <f t="shared" si="12"/>
        <v>-26682380.74400001</v>
      </c>
      <c r="T64" s="228">
        <f t="shared" si="5"/>
        <v>-4.5334663050492114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3AXb/L5cxei/tXuYEdIi79An+UQuWUI9LGlImMHxxe5smW1if85mMR/Pq3TgCXDtJ+ccYVlU+7zKxCrkcV88Gw==" saltValue="LYd3JzpEW5iooJ9r2nqGw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ignoredErrors>
    <ignoredError sqref="H20:H28 H13:H18 H31:H39 H41:H52 H56:H58 H61:H63 H12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6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3" t="str">
        <f>+Master!G251</f>
        <v>Ostvarenje budžeta</v>
      </c>
      <c r="C7" s="534"/>
      <c r="D7" s="534"/>
      <c r="E7" s="534"/>
      <c r="F7" s="534"/>
      <c r="G7" s="542">
        <v>2021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BDP</v>
      </c>
      <c r="T7" s="236">
        <v>4636600000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136584335.59999999</v>
      </c>
      <c r="L10" s="151">
        <f t="shared" si="1"/>
        <v>158947740.94</v>
      </c>
      <c r="M10" s="151">
        <f t="shared" si="1"/>
        <v>193961548.62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982014175.05000007</v>
      </c>
      <c r="T10" s="463">
        <f>+S10/$T$7*100</f>
        <v>21.179618147996379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616065743.87</v>
      </c>
      <c r="T11" s="464">
        <f t="shared" ref="T11:T64" si="3">+S11/$T$7*100</f>
        <v>13.287015137600827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62917428.809999995</v>
      </c>
      <c r="T12" s="465">
        <f t="shared" si="3"/>
        <v>1.3569734031402321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63064537.169999994</v>
      </c>
      <c r="T13" s="465">
        <f t="shared" si="3"/>
        <v>1.3601461668032608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865710.74</v>
      </c>
      <c r="T14" s="465">
        <f t="shared" si="3"/>
        <v>1.8671240564206531E-2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345337130.08999997</v>
      </c>
      <c r="T15" s="465">
        <f t="shared" si="3"/>
        <v>7.4480681984643917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122624320.53999999</v>
      </c>
      <c r="T16" s="465">
        <f t="shared" si="3"/>
        <v>2.6447034581374278</v>
      </c>
    </row>
    <row r="17" spans="1:23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15061861.989999998</v>
      </c>
      <c r="T17" s="465">
        <f t="shared" si="3"/>
        <v>0.32484712914635722</v>
      </c>
    </row>
    <row r="18" spans="1:23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6194754.5300000012</v>
      </c>
      <c r="T18" s="465">
        <f t="shared" si="3"/>
        <v>0.13360554134495106</v>
      </c>
    </row>
    <row r="19" spans="1:23">
      <c r="A19" s="150">
        <v>712</v>
      </c>
      <c r="B19" s="509" t="str">
        <f>+VLOOKUP($A19,Master!$D$29:$G$225,4,FALSE)</f>
        <v>Doprinosi</v>
      </c>
      <c r="C19" s="510"/>
      <c r="D19" s="510"/>
      <c r="E19" s="510"/>
      <c r="F19" s="51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279737115.16000003</v>
      </c>
      <c r="T19" s="466">
        <f t="shared" si="3"/>
        <v>6.0332380442565681</v>
      </c>
    </row>
    <row r="20" spans="1:23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172542922.42000002</v>
      </c>
      <c r="T20" s="465">
        <f t="shared" si="3"/>
        <v>3.7213242984083168</v>
      </c>
    </row>
    <row r="21" spans="1:23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91745801.409999996</v>
      </c>
      <c r="T21" s="465">
        <f t="shared" si="3"/>
        <v>1.9787301343656989</v>
      </c>
    </row>
    <row r="22" spans="1:23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8379675.8300000001</v>
      </c>
      <c r="T22" s="465">
        <f t="shared" si="3"/>
        <v>0.18072889250744079</v>
      </c>
    </row>
    <row r="23" spans="1:23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7068715.5</v>
      </c>
      <c r="T23" s="465">
        <f t="shared" si="3"/>
        <v>0.15245471897511106</v>
      </c>
      <c r="W23" s="305"/>
    </row>
    <row r="24" spans="1:23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6417781.4100000001</v>
      </c>
      <c r="T24" s="466">
        <f t="shared" si="3"/>
        <v>0.13841567980848035</v>
      </c>
      <c r="W24" s="305"/>
    </row>
    <row r="25" spans="1:23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21788294.479999997</v>
      </c>
      <c r="T25" s="466">
        <f t="shared" si="3"/>
        <v>0.46991964974334632</v>
      </c>
    </row>
    <row r="26" spans="1:23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2267147.4000000004</v>
      </c>
      <c r="M26" s="175">
        <v>30214924.300000001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42608558</v>
      </c>
      <c r="T26" s="466">
        <f t="shared" si="3"/>
        <v>0.91896126471983774</v>
      </c>
    </row>
    <row r="27" spans="1:23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5046932.2</v>
      </c>
      <c r="T27" s="466">
        <f t="shared" si="3"/>
        <v>0.10884985118405728</v>
      </c>
    </row>
    <row r="28" spans="1:23" ht="13.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2475407.79</v>
      </c>
      <c r="M28" s="175">
        <v>2236998.1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10349749.930000002</v>
      </c>
      <c r="T28" s="467">
        <f t="shared" si="3"/>
        <v>0.22321852068325934</v>
      </c>
    </row>
    <row r="29" spans="1:23" ht="13.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155972724.55000001</v>
      </c>
      <c r="M29" s="151">
        <f t="shared" si="6"/>
        <v>152681993.22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1100903685.28</v>
      </c>
      <c r="T29" s="468">
        <f t="shared" si="3"/>
        <v>23.743770980459818</v>
      </c>
    </row>
    <row r="30" spans="1:23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62574196.029999994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477423752.29000002</v>
      </c>
      <c r="T30" s="464">
        <f t="shared" si="3"/>
        <v>10.296850111935472</v>
      </c>
      <c r="U30" s="242"/>
    </row>
    <row r="31" spans="1:23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43807207.079999998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315047671.5</v>
      </c>
      <c r="T31" s="465">
        <f t="shared" si="3"/>
        <v>6.7947994543415433</v>
      </c>
      <c r="U31" s="242"/>
    </row>
    <row r="32" spans="1:23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750790.47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5368674.5699999994</v>
      </c>
      <c r="T32" s="465">
        <f t="shared" si="3"/>
        <v>0.11578903873528015</v>
      </c>
      <c r="U32" s="458"/>
    </row>
    <row r="33" spans="1:21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14986683.720000001</v>
      </c>
      <c r="T33" s="465">
        <f t="shared" si="3"/>
        <v>0.32322571970840708</v>
      </c>
      <c r="U33" s="458"/>
    </row>
    <row r="34" spans="1:21" s="362" customFormat="1">
      <c r="A34" s="361">
        <v>414</v>
      </c>
      <c r="B34" s="554" t="str">
        <f>+VLOOKUP($A34,Master!$D$29:$G$225,4,FALSE)</f>
        <v>Rashodi za usluge</v>
      </c>
      <c r="C34" s="555"/>
      <c r="D34" s="555"/>
      <c r="E34" s="555"/>
      <c r="F34" s="555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6185003.9699999997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28273541.850000001</v>
      </c>
      <c r="T34" s="465">
        <f t="shared" si="3"/>
        <v>0.6097904035284476</v>
      </c>
      <c r="U34" s="458"/>
    </row>
    <row r="35" spans="1:21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1673890.06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10286285.92</v>
      </c>
      <c r="T35" s="465">
        <f t="shared" si="3"/>
        <v>0.22184975887503772</v>
      </c>
      <c r="U35" s="458"/>
    </row>
    <row r="36" spans="1:21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62903496.470000006</v>
      </c>
      <c r="T36" s="465">
        <f t="shared" si="3"/>
        <v>1.3566729170081526</v>
      </c>
      <c r="U36" s="458"/>
    </row>
    <row r="37" spans="1:21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751439.83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4981944.7100000009</v>
      </c>
      <c r="T37" s="465">
        <f t="shared" si="3"/>
        <v>0.10744823167838503</v>
      </c>
      <c r="U37" s="458"/>
    </row>
    <row r="38" spans="1:21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19047053.379999999</v>
      </c>
      <c r="T38" s="465">
        <f t="shared" si="3"/>
        <v>0.41079785575637323</v>
      </c>
      <c r="U38" s="458"/>
    </row>
    <row r="39" spans="1:21" s="362" customFormat="1">
      <c r="A39" s="361">
        <v>419</v>
      </c>
      <c r="B39" s="554" t="str">
        <f>+VLOOKUP($A39,Master!$D$29:$G$225,4,FALSE)</f>
        <v>Ostali izdaci</v>
      </c>
      <c r="C39" s="555"/>
      <c r="D39" s="555"/>
      <c r="E39" s="555"/>
      <c r="F39" s="555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1906584.97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16528400.17</v>
      </c>
      <c r="T39" s="465">
        <f t="shared" si="3"/>
        <v>0.3564767323038433</v>
      </c>
      <c r="U39" s="458"/>
    </row>
    <row r="40" spans="1:21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47719015.670000009</v>
      </c>
      <c r="M40" s="193">
        <f t="shared" si="8"/>
        <v>46709328.349999994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326689425.14999998</v>
      </c>
      <c r="T40" s="491">
        <f t="shared" si="3"/>
        <v>7.0458833013415001</v>
      </c>
      <c r="U40" s="242"/>
    </row>
    <row r="41" spans="1:21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46938250.43</v>
      </c>
      <c r="T41" s="465">
        <f t="shared" si="3"/>
        <v>1.0123420271319501</v>
      </c>
      <c r="U41" s="458"/>
    </row>
    <row r="42" spans="1:21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11630675.609999999</v>
      </c>
      <c r="T42" s="465">
        <f t="shared" si="3"/>
        <v>0.25084492106284778</v>
      </c>
      <c r="U42" s="458"/>
    </row>
    <row r="43" spans="1:21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35696766.840000004</v>
      </c>
      <c r="M43" s="163">
        <v>35659550.979999997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251962850.13</v>
      </c>
      <c r="T43" s="465">
        <f t="shared" si="3"/>
        <v>5.4342158074882452</v>
      </c>
      <c r="U43" s="458"/>
    </row>
    <row r="44" spans="1:21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10317822.199999999</v>
      </c>
      <c r="T44" s="465">
        <f t="shared" si="3"/>
        <v>0.2225299184747444</v>
      </c>
      <c r="U44" s="458"/>
    </row>
    <row r="45" spans="1:21" s="362" customFormat="1">
      <c r="A45" s="361">
        <v>425</v>
      </c>
      <c r="B45" s="556" t="str">
        <f>+VLOOKUP($A45,Master!$D$29:$G$225,4,FALSE)</f>
        <v>Ostala prava iz zdravstvenog osiguranja</v>
      </c>
      <c r="C45" s="557"/>
      <c r="D45" s="557"/>
      <c r="E45" s="557"/>
      <c r="F45" s="557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5839826.7800000003</v>
      </c>
      <c r="T45" s="465">
        <f t="shared" si="3"/>
        <v>0.12595062718371222</v>
      </c>
      <c r="U45" s="458"/>
    </row>
    <row r="46" spans="1:21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137544399.94999999</v>
      </c>
      <c r="T46" s="466">
        <f t="shared" si="3"/>
        <v>2.9664926875296551</v>
      </c>
      <c r="U46" s="482"/>
    </row>
    <row r="47" spans="1:21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13239995.960000001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75731678.120000005</v>
      </c>
      <c r="T47" s="466">
        <f t="shared" si="3"/>
        <v>1.6333450830349827</v>
      </c>
      <c r="U47" s="482"/>
    </row>
    <row r="48" spans="1:21">
      <c r="A48" s="150">
        <v>451</v>
      </c>
      <c r="B48" s="558" t="str">
        <f>+VLOOKUP($A48,Master!$D$29:$G$225,4,FALSE)</f>
        <v>Pozajmice i krediti</v>
      </c>
      <c r="C48" s="559"/>
      <c r="D48" s="559"/>
      <c r="E48" s="559"/>
      <c r="F48" s="559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63" t="str">
        <f>+VLOOKUP($A49,Master!$D$29:$G$225,4,FALSE)</f>
        <v>Rezerve</v>
      </c>
      <c r="C49" s="564"/>
      <c r="D49" s="564"/>
      <c r="E49" s="564"/>
      <c r="F49" s="564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55552346.919999994</v>
      </c>
      <c r="T49" s="465">
        <f t="shared" si="3"/>
        <v>1.1981267937712978</v>
      </c>
      <c r="U49" s="482"/>
    </row>
    <row r="50" spans="1:21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3893787.62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7725284.0199999996</v>
      </c>
      <c r="T50" s="465">
        <f t="shared" si="3"/>
        <v>0.16661527886813612</v>
      </c>
      <c r="U50" s="482"/>
    </row>
    <row r="51" spans="1:21" ht="13.5" thickBot="1">
      <c r="A51" s="144">
        <v>4630</v>
      </c>
      <c r="B51" s="565" t="str">
        <f>+VLOOKUP($A51,Master!$D$29:$G$225,4,TRUE)</f>
        <v>Otplata obaveza iz prethodnog perioda</v>
      </c>
      <c r="C51" s="566"/>
      <c r="D51" s="566"/>
      <c r="E51" s="566"/>
      <c r="F51" s="566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1459246.33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19408018.829999998</v>
      </c>
      <c r="T51" s="469">
        <f t="shared" si="3"/>
        <v>0.41858298818099465</v>
      </c>
      <c r="U51" s="482"/>
    </row>
    <row r="52" spans="1:21" ht="13.5" thickBot="1">
      <c r="A52" s="70">
        <v>1005</v>
      </c>
      <c r="B52" s="567" t="str">
        <f>+VLOOKUP($A52,Master!$D$29:$G$227,4,FALSE)</f>
        <v>Neto povećanje obaveza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-19586811.710000008</v>
      </c>
      <c r="L53" s="151">
        <f t="shared" si="9"/>
        <v>2975016.3899999857</v>
      </c>
      <c r="M53" s="151">
        <f t="shared" si="9"/>
        <v>41279555.400000006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-118889510.23000002</v>
      </c>
      <c r="T53" s="471">
        <f t="shared" si="3"/>
        <v>-2.5641528324634435</v>
      </c>
    </row>
    <row r="54" spans="1:21" ht="13.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-12886510.870000008</v>
      </c>
      <c r="L54" s="205">
        <f t="shared" si="10"/>
        <v>8265070.8199999854</v>
      </c>
      <c r="M54" s="205">
        <f t="shared" si="10"/>
        <v>45094526.620000005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-55986013.75999999</v>
      </c>
      <c r="T54" s="471">
        <f t="shared" si="3"/>
        <v>-1.2074799154552902</v>
      </c>
    </row>
    <row r="55" spans="1:21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375917411.34000003</v>
      </c>
      <c r="T55" s="472">
        <f t="shared" si="3"/>
        <v>8.1076092684294547</v>
      </c>
    </row>
    <row r="56" spans="1:21">
      <c r="A56" s="144">
        <v>4611</v>
      </c>
      <c r="B56" s="547" t="str">
        <f>+VLOOKUP($A56,Master!$D$29:$G$225,4,FALSE)</f>
        <v>Otplata hartija od vrijednosti i kredita rezidentima</v>
      </c>
      <c r="C56" s="548"/>
      <c r="D56" s="548"/>
      <c r="E56" s="548"/>
      <c r="F56" s="548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66165496.160000004</v>
      </c>
      <c r="T56" s="473">
        <f t="shared" si="3"/>
        <v>1.4270261864297116</v>
      </c>
    </row>
    <row r="57" spans="1:21" ht="13.5" thickBot="1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309751915.18000001</v>
      </c>
      <c r="T57" s="473">
        <f t="shared" si="3"/>
        <v>6.6805830819997416</v>
      </c>
    </row>
    <row r="58" spans="1:21" ht="13.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-35869639.63000001</v>
      </c>
      <c r="L59" s="217">
        <f t="shared" si="12"/>
        <v>-12077867.210000016</v>
      </c>
      <c r="M59" s="217">
        <f t="shared" si="12"/>
        <v>15920880.250000004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-494806921.57000005</v>
      </c>
      <c r="T59" s="475">
        <f t="shared" si="3"/>
        <v>-10.671762100892897</v>
      </c>
    </row>
    <row r="60" spans="1:21" ht="13.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35869639.63000001</v>
      </c>
      <c r="L60" s="151">
        <f t="shared" si="13"/>
        <v>12077867.210000016</v>
      </c>
      <c r="M60" s="151">
        <f t="shared" si="13"/>
        <v>-15920880.250000002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494806921.57000005</v>
      </c>
      <c r="T60" s="476">
        <f t="shared" si="3"/>
        <v>10.671762100892897</v>
      </c>
    </row>
    <row r="61" spans="1:21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211">
        <v>7388647.9800000004</v>
      </c>
      <c r="H62" s="211">
        <v>2794027.91</v>
      </c>
      <c r="I62" s="211">
        <v>392627.11</v>
      </c>
      <c r="J62" s="211">
        <v>12943736.949999999</v>
      </c>
      <c r="K62" s="211">
        <v>1156634.1200000001</v>
      </c>
      <c r="L62" s="211">
        <v>32783536.34</v>
      </c>
      <c r="M62" s="489">
        <v>4692428.3099999996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62151638.719999999</v>
      </c>
      <c r="T62" s="473">
        <f t="shared" si="3"/>
        <v>1.3404572039856792</v>
      </c>
    </row>
    <row r="63" spans="1:21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852989.6100000001</v>
      </c>
      <c r="T63" s="473">
        <f t="shared" si="3"/>
        <v>1.8396877237631025E-2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54658767.159999989</v>
      </c>
      <c r="H64" s="225">
        <f t="shared" ref="H64:R64" si="14">-H59-SUM(H61:H63)</f>
        <v>75729624.38000004</v>
      </c>
      <c r="I64" s="225">
        <f t="shared" si="14"/>
        <v>248708618.60000002</v>
      </c>
      <c r="J64" s="225">
        <f t="shared" si="14"/>
        <v>60008511.589999959</v>
      </c>
      <c r="K64" s="225">
        <f t="shared" si="14"/>
        <v>34415853.940000013</v>
      </c>
      <c r="L64" s="225">
        <f t="shared" si="14"/>
        <v>-20922348.329999983</v>
      </c>
      <c r="M64" s="225">
        <f t="shared" si="14"/>
        <v>-20796734.100000001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431802293.24000001</v>
      </c>
      <c r="T64" s="477">
        <f t="shared" si="3"/>
        <v>9.3129080196695853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5" t="str">
        <f>+Master!G252</f>
        <v>Plan ostvarenja budžeta</v>
      </c>
      <c r="C81" s="576"/>
      <c r="D81" s="576"/>
      <c r="E81" s="576"/>
      <c r="F81" s="576"/>
      <c r="G81" s="560">
        <v>2021</v>
      </c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2"/>
      <c r="S81" s="107" t="str">
        <f>+S7</f>
        <v>BDP</v>
      </c>
      <c r="T81" s="108">
        <v>4636600000</v>
      </c>
    </row>
    <row r="82" spans="1:21" ht="15.75" customHeight="1">
      <c r="B82" s="577"/>
      <c r="C82" s="578"/>
      <c r="D82" s="578"/>
      <c r="E82" s="578"/>
      <c r="F82" s="57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60" t="str">
        <f>+Master!G246</f>
        <v>Jan - Dec</v>
      </c>
      <c r="T82" s="562">
        <f>+T8</f>
        <v>0</v>
      </c>
    </row>
    <row r="83" spans="1:21" ht="13.5" thickBot="1">
      <c r="B83" s="580"/>
      <c r="C83" s="581"/>
      <c r="D83" s="581"/>
      <c r="E83" s="581"/>
      <c r="F83" s="58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69" t="str">
        <f>+VLOOKUP(LEFT($A84,LEN(A84)-1)*1,Master!$D$29:$G$225,4,FALSE)</f>
        <v>Prihodi budžeta</v>
      </c>
      <c r="C84" s="570"/>
      <c r="D84" s="570"/>
      <c r="E84" s="570"/>
      <c r="F84" s="57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71" t="str">
        <f>+VLOOKUP(LEFT($A85,LEN(A85)-1)*1,Master!$D$29:$G$225,4,FALSE)</f>
        <v>Porezi</v>
      </c>
      <c r="C85" s="572"/>
      <c r="D85" s="572"/>
      <c r="E85" s="572"/>
      <c r="F85" s="57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3" t="str">
        <f>+VLOOKUP(LEFT($A86,LEN(A86)-1)*1,Master!$D$29:$G$228,4,FALSE)</f>
        <v>Porez na dohodak fizičkih lica</v>
      </c>
      <c r="C86" s="574"/>
      <c r="D86" s="574"/>
      <c r="E86" s="574"/>
      <c r="F86" s="574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3" t="str">
        <f>+VLOOKUP(LEFT($A87,LEN(A87)-1)*1,Master!$D$29:$G$228,4,FALSE)</f>
        <v>Porez na dobit pravnih lica</v>
      </c>
      <c r="C87" s="574"/>
      <c r="D87" s="574"/>
      <c r="E87" s="574"/>
      <c r="F87" s="574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3" t="str">
        <f>+VLOOKUP(LEFT($A88,LEN(A88)-1)*1,Master!$D$29:$G$228,4,FALSE)</f>
        <v>Porez na promet nepokretnosti</v>
      </c>
      <c r="C88" s="574"/>
      <c r="D88" s="574"/>
      <c r="E88" s="574"/>
      <c r="F88" s="574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3" t="str">
        <f>+VLOOKUP(LEFT($A89,LEN(A89)-1)*1,Master!$D$29:$G$228,4,FALSE)</f>
        <v>Porez na dodatu vrijednost</v>
      </c>
      <c r="C89" s="574"/>
      <c r="D89" s="574"/>
      <c r="E89" s="574"/>
      <c r="F89" s="574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3" t="str">
        <f>+VLOOKUP(LEFT($A90,LEN(A90)-1)*1,Master!$D$29:$G$228,4,FALSE)</f>
        <v>Akcize</v>
      </c>
      <c r="C90" s="574"/>
      <c r="D90" s="574"/>
      <c r="E90" s="574"/>
      <c r="F90" s="574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3" t="str">
        <f>+VLOOKUP(LEFT($A91,LEN(A91)-1)*1,Master!$D$29:$G$228,4,FALSE)</f>
        <v>Porez na međunarodnu trgovinu i transakcije</v>
      </c>
      <c r="C91" s="574"/>
      <c r="D91" s="574"/>
      <c r="E91" s="574"/>
      <c r="F91" s="574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3" t="str">
        <f>+VLOOKUP(LEFT($A92,LEN(A92)-1)*1,Master!$D$29:$G$228,4,FALSE)</f>
        <v>Ostali državni porezi</v>
      </c>
      <c r="C92" s="574"/>
      <c r="D92" s="574"/>
      <c r="E92" s="574"/>
      <c r="F92" s="574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85" t="str">
        <f>+VLOOKUP(LEFT($A93,LEN(A93)-1)*1,Master!$D$29:$G$228,4,FALSE)</f>
        <v>Doprinosi</v>
      </c>
      <c r="C93" s="586"/>
      <c r="D93" s="586"/>
      <c r="E93" s="586"/>
      <c r="F93" s="586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3" t="str">
        <f>+VLOOKUP(LEFT($A94,LEN(A94)-1)*1,Master!$D$29:$G$228,4,FALSE)</f>
        <v>Doprinosi za penzijsko i invalidsko osiguranje</v>
      </c>
      <c r="C94" s="574"/>
      <c r="D94" s="574"/>
      <c r="E94" s="574"/>
      <c r="F94" s="574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3" t="str">
        <f>+VLOOKUP(LEFT($A95,LEN(A95)-1)*1,Master!$D$29:$G$228,4,FALSE)</f>
        <v>Doprinosi za zdravstveno osiguranje</v>
      </c>
      <c r="C95" s="574"/>
      <c r="D95" s="574"/>
      <c r="E95" s="574"/>
      <c r="F95" s="574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3" t="str">
        <f>+VLOOKUP(LEFT($A96,LEN(A96)-1)*1,Master!$D$29:$G$228,4,FALSE)</f>
        <v>Doprinosi za osiguranje od nezaposlenosti</v>
      </c>
      <c r="C96" s="574"/>
      <c r="D96" s="574"/>
      <c r="E96" s="574"/>
      <c r="F96" s="574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3" t="str">
        <f>+VLOOKUP(LEFT($A97,LEN(A97)-1)*1,Master!$D$29:$G$228,4,FALSE)</f>
        <v>Ostali doprinosi</v>
      </c>
      <c r="C97" s="574"/>
      <c r="D97" s="574"/>
      <c r="E97" s="574"/>
      <c r="F97" s="574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83" t="str">
        <f>+VLOOKUP(LEFT($A98,LEN(A98)-1)*1,Master!$D$29:$G$228,4,FALSE)</f>
        <v>Takse</v>
      </c>
      <c r="C98" s="584"/>
      <c r="D98" s="584"/>
      <c r="E98" s="584"/>
      <c r="F98" s="58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83" t="str">
        <f>+VLOOKUP(LEFT($A99,LEN(A99)-1)*1,Master!$D$29:$G$228,4,FALSE)</f>
        <v>Naknade</v>
      </c>
      <c r="C99" s="584"/>
      <c r="D99" s="584"/>
      <c r="E99" s="584"/>
      <c r="F99" s="58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83" t="str">
        <f>+VLOOKUP(LEFT($A100,LEN(A100)-1)*1,Master!$D$29:$G$228,4,FALSE)</f>
        <v>Ostali prihodi</v>
      </c>
      <c r="C100" s="584"/>
      <c r="D100" s="584"/>
      <c r="E100" s="584"/>
      <c r="F100" s="58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83" t="str">
        <f>+VLOOKUP(LEFT($A101,LEN(A101)-1)*1,Master!$D$29:$G$228,4,FALSE)</f>
        <v>Primici od otplate kredita i sredstva prenesena iz prethodne godine</v>
      </c>
      <c r="C101" s="584"/>
      <c r="D101" s="584"/>
      <c r="E101" s="584"/>
      <c r="F101" s="58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87" t="str">
        <f>+VLOOKUP(LEFT($A102,LEN(A102)-1)*1,Master!$D$29:$G$228,4,FALSE)</f>
        <v>Donacije i transferi</v>
      </c>
      <c r="C102" s="588"/>
      <c r="D102" s="588"/>
      <c r="E102" s="588"/>
      <c r="F102" s="588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89" t="str">
        <f>+VLOOKUP(LEFT($A103,LEN(A103)-1)*1,Master!$D$29:$G$228,4,FALSE)</f>
        <v>Izdaci budžeta</v>
      </c>
      <c r="C103" s="590"/>
      <c r="D103" s="590"/>
      <c r="E103" s="590"/>
      <c r="F103" s="590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1" t="str">
        <f>+VLOOKUP(LEFT($A104,LEN(A104)-1)*1,Master!$D$29:$G$228,4,FALSE)</f>
        <v>Tekući izdaci</v>
      </c>
      <c r="C104" s="592"/>
      <c r="D104" s="592"/>
      <c r="E104" s="592"/>
      <c r="F104" s="59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3" t="str">
        <f>+VLOOKUP(LEFT($A105,LEN(A105)-1)*1,Master!$D$29:$G$228,4,FALSE)</f>
        <v>Bruto zarade i doprinosi na teret poslodavca</v>
      </c>
      <c r="C105" s="574"/>
      <c r="D105" s="574"/>
      <c r="E105" s="574"/>
      <c r="F105" s="574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3" t="str">
        <f>+VLOOKUP(LEFT($A106,LEN(A106)-1)*1,Master!$D$29:$G$228,4,FALSE)</f>
        <v>Ostala lična primanja</v>
      </c>
      <c r="C106" s="574"/>
      <c r="D106" s="574"/>
      <c r="E106" s="574"/>
      <c r="F106" s="574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3" t="str">
        <f>+VLOOKUP(LEFT($A107,LEN(A107)-1)*1,Master!$D$29:$G$228,4,FALSE)</f>
        <v>Rashodi za materijal</v>
      </c>
      <c r="C107" s="574"/>
      <c r="D107" s="574"/>
      <c r="E107" s="574"/>
      <c r="F107" s="574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3" t="str">
        <f>+VLOOKUP(LEFT($A108,LEN(A108)-1)*1,Master!$D$29:$G$228,4,FALSE)</f>
        <v>Rashodi za usluge</v>
      </c>
      <c r="C108" s="574"/>
      <c r="D108" s="574"/>
      <c r="E108" s="574"/>
      <c r="F108" s="574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3" t="str">
        <f>+VLOOKUP(LEFT($A109,LEN(A109)-1)*1,Master!$D$29:$G$228,4,FALSE)</f>
        <v>Rashodi za tekuće održavanje</v>
      </c>
      <c r="C109" s="574"/>
      <c r="D109" s="574"/>
      <c r="E109" s="574"/>
      <c r="F109" s="574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3" t="str">
        <f>+VLOOKUP(LEFT($A110,LEN(A110)-1)*1,Master!$D$29:$G$228,4,FALSE)</f>
        <v>Kamate</v>
      </c>
      <c r="C110" s="574"/>
      <c r="D110" s="574"/>
      <c r="E110" s="574"/>
      <c r="F110" s="574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3" t="str">
        <f>+VLOOKUP(LEFT($A111,LEN(A111)-1)*1,Master!$D$29:$G$228,4,FALSE)</f>
        <v>Renta</v>
      </c>
      <c r="C111" s="574"/>
      <c r="D111" s="574"/>
      <c r="E111" s="574"/>
      <c r="F111" s="574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3" t="str">
        <f>+VLOOKUP(LEFT($A112,LEN(A112)-1)*1,Master!$D$29:$G$228,4,FALSE)</f>
        <v>Subvencije</v>
      </c>
      <c r="C112" s="574"/>
      <c r="D112" s="574"/>
      <c r="E112" s="574"/>
      <c r="F112" s="574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3" t="str">
        <f>+VLOOKUP(LEFT($A113,LEN(A113)-1)*1,Master!$D$29:$G$228,4,FALSE)</f>
        <v>Ostali izdaci</v>
      </c>
      <c r="C113" s="574"/>
      <c r="D113" s="574"/>
      <c r="E113" s="574"/>
      <c r="F113" s="574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97" t="str">
        <f>+VLOOKUP(LEFT($A114,LEN(A114)-1)*1,Master!$D$29:$G$228,4,FALSE)</f>
        <v>Transferi za socijalnu zaštitu</v>
      </c>
      <c r="C114" s="598"/>
      <c r="D114" s="598"/>
      <c r="E114" s="598"/>
      <c r="F114" s="59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3" t="str">
        <f>+VLOOKUP(LEFT($A115,LEN(A115)-1)*1,Master!$D$29:$G$228,4,FALSE)</f>
        <v>Prava iz oblasti socijalne zaštite</v>
      </c>
      <c r="C115" s="574"/>
      <c r="D115" s="574"/>
      <c r="E115" s="574"/>
      <c r="F115" s="574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3" t="str">
        <f>+VLOOKUP(LEFT($A116,LEN(A116)-1)*1,Master!$D$29:$G$228,4,FALSE)</f>
        <v>Sredstva za tehnološke viškove</v>
      </c>
      <c r="C116" s="574"/>
      <c r="D116" s="574"/>
      <c r="E116" s="574"/>
      <c r="F116" s="574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3" t="str">
        <f>+VLOOKUP(LEFT($A117,LEN(A117)-1)*1,Master!$D$29:$G$228,4,FALSE)</f>
        <v>Prava iz oblasti penzijskog i invalidskog osiguranja</v>
      </c>
      <c r="C117" s="574"/>
      <c r="D117" s="574"/>
      <c r="E117" s="574"/>
      <c r="F117" s="574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3" t="str">
        <f>+VLOOKUP(LEFT($A118,LEN(A118)-1)*1,Master!$D$29:$G$228,4,FALSE)</f>
        <v>Ostala prava iz oblasti zdravstvene zaštite</v>
      </c>
      <c r="C118" s="574"/>
      <c r="D118" s="574"/>
      <c r="E118" s="574"/>
      <c r="F118" s="574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3" t="str">
        <f>+VLOOKUP(LEFT($A119,LEN(A119)-1)*1,Master!$D$29:$G$228,4,FALSE)</f>
        <v>Ostala prava iz zdravstvenog osiguranja</v>
      </c>
      <c r="C119" s="574"/>
      <c r="D119" s="574"/>
      <c r="E119" s="574"/>
      <c r="F119" s="574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93" t="str">
        <f>+VLOOKUP(LEFT($A120,LEN(A120)-1)*1,Master!$D$29:$G$228,4,FALSE)</f>
        <v xml:space="preserve">Transferi institucijama, pojedincima, nevladinom i javnom sektoru </v>
      </c>
      <c r="C120" s="594"/>
      <c r="D120" s="594"/>
      <c r="E120" s="594"/>
      <c r="F120" s="594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93" t="str">
        <f>+VLOOKUP(LEFT($A121,LEN(A121)-1)*1,Master!$D$29:$G$228,4,FALSE)</f>
        <v>Kapitalni izdaci</v>
      </c>
      <c r="C121" s="594"/>
      <c r="D121" s="594"/>
      <c r="E121" s="594"/>
      <c r="F121" s="594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95" t="str">
        <f>+VLOOKUP(LEFT($A122,LEN(A122)-1)*1,Master!$D$29:$G$228,4,FALSE)</f>
        <v>Pozajmice i krediti</v>
      </c>
      <c r="C122" s="596"/>
      <c r="D122" s="596"/>
      <c r="E122" s="596"/>
      <c r="F122" s="596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95" t="str">
        <f>+VLOOKUP(LEFT($A123,LEN(A123)-1)*1,Master!$D$29:$G$228,4,FALSE)</f>
        <v>Rezerve</v>
      </c>
      <c r="C123" s="596"/>
      <c r="D123" s="596"/>
      <c r="E123" s="596"/>
      <c r="F123" s="596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95" t="str">
        <f>+VLOOKUP(LEFT($A124,LEN(A124)-1)*1,Master!$D$29:$G$228,4,FALSE)</f>
        <v>Otplata garancija</v>
      </c>
      <c r="C124" s="596"/>
      <c r="D124" s="596"/>
      <c r="E124" s="596"/>
      <c r="F124" s="596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95" t="str">
        <f>+VLOOKUP(LEFT($A125,LEN(A125)-1)*1,Master!$D$29:$G$228,4,FALSE)</f>
        <v>Otplata obaveza iz prethodnog perioda</v>
      </c>
      <c r="C125" s="596"/>
      <c r="D125" s="596"/>
      <c r="E125" s="596"/>
      <c r="F125" s="596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5" t="str">
        <f>+VLOOKUP(LEFT($A126,LEN(A126)-1)*1,Master!$D$29:$G$228,4,FALSE)</f>
        <v>Neto povećanje obaveza</v>
      </c>
      <c r="C126" s="596"/>
      <c r="D126" s="596"/>
      <c r="E126" s="596"/>
      <c r="F126" s="59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603" t="str">
        <f>+VLOOKUP(LEFT($A127,LEN(A127)-1)*1,Master!$D$29:$G$225,4,FALSE)</f>
        <v>Suficit / deficit</v>
      </c>
      <c r="C127" s="604"/>
      <c r="D127" s="604"/>
      <c r="E127" s="604"/>
      <c r="F127" s="604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5" t="str">
        <f>+VLOOKUP(LEFT($A128,LEN(A128)-1)*1,Master!$D$29:$G$225,4,FALSE)</f>
        <v>Primarni suficit/deficit</v>
      </c>
      <c r="C128" s="606"/>
      <c r="D128" s="606"/>
      <c r="E128" s="606"/>
      <c r="F128" s="606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97" t="str">
        <f>+VLOOKUP(LEFT($A129,LEN(A129)-1)*1,Master!$D$29:$G$225,4,FALSE)</f>
        <v>Otplata dugova</v>
      </c>
      <c r="C129" s="598"/>
      <c r="D129" s="598"/>
      <c r="E129" s="598"/>
      <c r="F129" s="59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601" t="str">
        <f>+VLOOKUP(LEFT($A130,LEN(A130)-1)*1,Master!$D$29:$G$225,4,FALSE)</f>
        <v>Otplata hartija od vrijednosti i kredita rezidentima</v>
      </c>
      <c r="C130" s="602"/>
      <c r="D130" s="602"/>
      <c r="E130" s="602"/>
      <c r="F130" s="602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95" t="str">
        <f>+VLOOKUP(LEFT($A131,LEN(A131)-1)*1,Master!$D$29:$G$225,4,FALSE)</f>
        <v>Otplata hartija od vrijednosti i kredita nerezidentima</v>
      </c>
      <c r="C131" s="596"/>
      <c r="D131" s="596"/>
      <c r="E131" s="596"/>
      <c r="F131" s="596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9" t="str">
        <f>+VLOOKUP(LEFT($A132,LEN(A132)-1)*1,Master!$D$29:$G$225,4,FALSE)</f>
        <v>Izdaci za kupovinu hartija od vrijednosti</v>
      </c>
      <c r="C132" s="590"/>
      <c r="D132" s="590"/>
      <c r="E132" s="590"/>
      <c r="F132" s="590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99" t="str">
        <f>+VLOOKUP(LEFT($A133,LEN(A133)-1)*1,Master!$D$29:$G$225,4,FALSE)</f>
        <v>Nedostajuća sredstva</v>
      </c>
      <c r="C133" s="600"/>
      <c r="D133" s="600"/>
      <c r="E133" s="600"/>
      <c r="F133" s="600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89" t="str">
        <f>+VLOOKUP(LEFT($A134,LEN(A134)-1)*1,Master!$D$29:$G$225,4,FALSE)</f>
        <v>Finansiranje</v>
      </c>
      <c r="C134" s="590"/>
      <c r="D134" s="590"/>
      <c r="E134" s="590"/>
      <c r="F134" s="590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601" t="str">
        <f>+VLOOKUP(LEFT($A135,LEN(A135)-1)*1,Master!$D$29:$G$225,4,FALSE)</f>
        <v>Pozajmice i krediti od domaćih izvora</v>
      </c>
      <c r="C135" s="602"/>
      <c r="D135" s="602"/>
      <c r="E135" s="602"/>
      <c r="F135" s="60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95" t="str">
        <f>+VLOOKUP(LEFT($A136,LEN(A136)-1)*1,Master!$D$29:$G$225,4,FALSE)</f>
        <v>Pozajmice i krediti od inostranih izvora</v>
      </c>
      <c r="C136" s="596"/>
      <c r="D136" s="596"/>
      <c r="E136" s="596"/>
      <c r="F136" s="596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95" t="str">
        <f>+VLOOKUP(LEFT($A137,LEN(A137)-1)*1,Master!$D$29:$G$225,4,FALSE)</f>
        <v>Primici od prodaje imovine</v>
      </c>
      <c r="C137" s="596"/>
      <c r="D137" s="596"/>
      <c r="E137" s="596"/>
      <c r="F137" s="596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aGaueC992RolH88gLUrSL4y9LBb+5kBEjYM9MsNLi41fF8jl2i9wXe3d/Z8rp/w4TTJu6NOUe1NyJr7++zHMOA==" saltValue="qD+HCZm8qhu3SN0Vq2JoJA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topLeftCell="B1" zoomScaleNormal="100" workbookViewId="0">
      <pane ySplit="1" topLeftCell="A2" activePane="bottomLeft" state="frozen"/>
      <selection pane="bottomLeft" activeCell="M12" sqref="M1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>
        <f>194-134.3</f>
        <v>59.699999999999989</v>
      </c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3" t="str">
        <f>+Master!G251</f>
        <v>Ostvarenje budžeta</v>
      </c>
      <c r="C7" s="534"/>
      <c r="D7" s="534"/>
      <c r="E7" s="534"/>
      <c r="F7" s="534"/>
      <c r="G7" s="542">
        <v>2020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BDP</v>
      </c>
      <c r="T7" s="236">
        <v>4193200000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09" t="str">
        <f>+VLOOKUP($A19,Master!$D$29:$G$225,4,FALSE)</f>
        <v>Doprinosi</v>
      </c>
      <c r="C19" s="510"/>
      <c r="D19" s="510"/>
      <c r="E19" s="510"/>
      <c r="F19" s="51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54" t="str">
        <f>+VLOOKUP($A34,Master!$D$29:$G$225,4,FALSE)</f>
        <v>Rashodi za usluge</v>
      </c>
      <c r="C34" s="555"/>
      <c r="D34" s="555"/>
      <c r="E34" s="555"/>
      <c r="F34" s="55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54" t="str">
        <f>+VLOOKUP($A39,Master!$D$29:$G$225,4,FALSE)</f>
        <v>Ostali izdaci</v>
      </c>
      <c r="C39" s="555"/>
      <c r="D39" s="555"/>
      <c r="E39" s="555"/>
      <c r="F39" s="55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56" t="str">
        <f>+VLOOKUP($A45,Master!$D$29:$G$225,4,FALSE)</f>
        <v>Ostala prava iz zdravstvenog osiguranja</v>
      </c>
      <c r="C45" s="557"/>
      <c r="D45" s="557"/>
      <c r="E45" s="557"/>
      <c r="F45" s="557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558" t="str">
        <f>+VLOOKUP($A48,Master!$D$29:$G$225,4,FALSE)</f>
        <v>Pozajmice i krediti</v>
      </c>
      <c r="C48" s="559"/>
      <c r="D48" s="559"/>
      <c r="E48" s="559"/>
      <c r="F48" s="559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63" t="str">
        <f>+VLOOKUP($A49,Master!$D$29:$G$225,4,FALSE)</f>
        <v>Rezerve</v>
      </c>
      <c r="C49" s="564"/>
      <c r="D49" s="564"/>
      <c r="E49" s="564"/>
      <c r="F49" s="56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65" t="str">
        <f>+VLOOKUP($A51,Master!$D$29:$G$225,4,TRUE)</f>
        <v>Otplata obaveza iz prethodnog perioda</v>
      </c>
      <c r="C51" s="566"/>
      <c r="D51" s="566"/>
      <c r="E51" s="566"/>
      <c r="F51" s="56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67" t="str">
        <f>+VLOOKUP($A52,Master!$D$29:$G$227,4,FALSE)</f>
        <v>Neto povećanje obaveza</v>
      </c>
      <c r="C52" s="568"/>
      <c r="D52" s="568"/>
      <c r="E52" s="568"/>
      <c r="F52" s="56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47" t="str">
        <f>+VLOOKUP($A56,Master!$D$29:$G$225,4,FALSE)</f>
        <v>Otplata hartija od vrijednosti i kredita rezidentima</v>
      </c>
      <c r="C56" s="548"/>
      <c r="D56" s="548"/>
      <c r="E56" s="548"/>
      <c r="F56" s="548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5" t="str">
        <f>+Master!G252</f>
        <v>Plan ostvarenja budžeta</v>
      </c>
      <c r="C100" s="576"/>
      <c r="D100" s="576"/>
      <c r="E100" s="576"/>
      <c r="F100" s="576"/>
      <c r="G100" s="560">
        <v>2020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BDP</v>
      </c>
      <c r="T100" s="108">
        <v>4607300000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0" t="str">
        <f>+Master!G246</f>
        <v>Jan - Dec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69" t="str">
        <f>+VLOOKUP(LEFT($A103,LEN(A103)-1)*1,Master!$D$29:$G$225,4,FALSE)</f>
        <v>Prihodi budžeta</v>
      </c>
      <c r="C103" s="570"/>
      <c r="D103" s="570"/>
      <c r="E103" s="570"/>
      <c r="F103" s="57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71" t="str">
        <f>+VLOOKUP(LEFT($A104,LEN(A104)-1)*1,Master!$D$29:$G$225,4,FALSE)</f>
        <v>Porezi</v>
      </c>
      <c r="C104" s="572"/>
      <c r="D104" s="572"/>
      <c r="E104" s="572"/>
      <c r="F104" s="57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3" t="str">
        <f>+VLOOKUP(LEFT($A105,LEN(A105)-1)*1,Master!$D$29:$G$228,4,FALSE)</f>
        <v>Porez na dohodak fizičkih lica</v>
      </c>
      <c r="C105" s="574"/>
      <c r="D105" s="574"/>
      <c r="E105" s="574"/>
      <c r="F105" s="57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3" t="str">
        <f>+VLOOKUP(LEFT($A106,LEN(A106)-1)*1,Master!$D$29:$G$228,4,FALSE)</f>
        <v>Porez na dobit pravnih lica</v>
      </c>
      <c r="C106" s="574"/>
      <c r="D106" s="574"/>
      <c r="E106" s="574"/>
      <c r="F106" s="57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3" t="str">
        <f>+VLOOKUP(LEFT($A107,LEN(A107)-1)*1,Master!$D$29:$G$228,4,FALSE)</f>
        <v>Porez na promet nepokretnosti</v>
      </c>
      <c r="C107" s="574"/>
      <c r="D107" s="574"/>
      <c r="E107" s="574"/>
      <c r="F107" s="57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3" t="str">
        <f>+VLOOKUP(LEFT($A108,LEN(A108)-1)*1,Master!$D$29:$G$228,4,FALSE)</f>
        <v>Porez na dodatu vrijednost</v>
      </c>
      <c r="C108" s="574"/>
      <c r="D108" s="574"/>
      <c r="E108" s="574"/>
      <c r="F108" s="57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3" t="str">
        <f>+VLOOKUP(LEFT($A109,LEN(A109)-1)*1,Master!$D$29:$G$228,4,FALSE)</f>
        <v>Akcize</v>
      </c>
      <c r="C109" s="574"/>
      <c r="D109" s="574"/>
      <c r="E109" s="574"/>
      <c r="F109" s="57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3" t="str">
        <f>+VLOOKUP(LEFT($A110,LEN(A110)-1)*1,Master!$D$29:$G$228,4,FALSE)</f>
        <v>Porez na međunarodnu trgovinu i transakcije</v>
      </c>
      <c r="C110" s="574"/>
      <c r="D110" s="574"/>
      <c r="E110" s="574"/>
      <c r="F110" s="57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3" t="str">
        <f>+VLOOKUP(LEFT($A111,LEN(A111)-1)*1,Master!$D$29:$G$228,4,FALSE)</f>
        <v>Ostali državni porezi</v>
      </c>
      <c r="C111" s="574"/>
      <c r="D111" s="574"/>
      <c r="E111" s="574"/>
      <c r="F111" s="57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85" t="str">
        <f>+VLOOKUP(LEFT($A112,LEN(A112)-1)*1,Master!$D$29:$G$228,4,FALSE)</f>
        <v>Doprinosi</v>
      </c>
      <c r="C112" s="586"/>
      <c r="D112" s="586"/>
      <c r="E112" s="586"/>
      <c r="F112" s="586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3" t="str">
        <f>+VLOOKUP(LEFT($A113,LEN(A113)-1)*1,Master!$D$29:$G$228,4,FALSE)</f>
        <v>Doprinosi za penzijsko i invalidsko osiguranje</v>
      </c>
      <c r="C113" s="574"/>
      <c r="D113" s="574"/>
      <c r="E113" s="574"/>
      <c r="F113" s="57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3" t="str">
        <f>+VLOOKUP(LEFT($A114,LEN(A114)-1)*1,Master!$D$29:$G$228,4,FALSE)</f>
        <v>Doprinosi za zdravstveno osiguranje</v>
      </c>
      <c r="C114" s="574"/>
      <c r="D114" s="574"/>
      <c r="E114" s="574"/>
      <c r="F114" s="57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3" t="str">
        <f>+VLOOKUP(LEFT($A115,LEN(A115)-1)*1,Master!$D$29:$G$228,4,FALSE)</f>
        <v>Doprinosi za osiguranje od nezaposlenosti</v>
      </c>
      <c r="C115" s="574"/>
      <c r="D115" s="574"/>
      <c r="E115" s="574"/>
      <c r="F115" s="57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3" t="str">
        <f>+VLOOKUP(LEFT($A116,LEN(A116)-1)*1,Master!$D$29:$G$228,4,FALSE)</f>
        <v>Ostali doprinosi</v>
      </c>
      <c r="C116" s="574"/>
      <c r="D116" s="574"/>
      <c r="E116" s="574"/>
      <c r="F116" s="57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83" t="str">
        <f>+VLOOKUP(LEFT($A117,LEN(A117)-1)*1,Master!$D$29:$G$228,4,FALSE)</f>
        <v>Takse</v>
      </c>
      <c r="C117" s="584"/>
      <c r="D117" s="584"/>
      <c r="E117" s="584"/>
      <c r="F117" s="58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83" t="str">
        <f>+VLOOKUP(LEFT($A118,LEN(A118)-1)*1,Master!$D$29:$G$228,4,FALSE)</f>
        <v>Naknade</v>
      </c>
      <c r="C118" s="584"/>
      <c r="D118" s="584"/>
      <c r="E118" s="584"/>
      <c r="F118" s="58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83" t="str">
        <f>+VLOOKUP(LEFT($A119,LEN(A119)-1)*1,Master!$D$29:$G$228,4,FALSE)</f>
        <v>Ostali prihodi</v>
      </c>
      <c r="C119" s="584"/>
      <c r="D119" s="584"/>
      <c r="E119" s="584"/>
      <c r="F119" s="58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83" t="str">
        <f>+VLOOKUP(LEFT($A120,LEN(A120)-1)*1,Master!$D$29:$G$228,4,FALSE)</f>
        <v>Primici od otplate kredita i sredstva prenesena iz prethodne godine</v>
      </c>
      <c r="C120" s="584"/>
      <c r="D120" s="584"/>
      <c r="E120" s="584"/>
      <c r="F120" s="58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87" t="str">
        <f>+VLOOKUP(LEFT($A121,LEN(A121)-1)*1,Master!$D$29:$G$228,4,FALSE)</f>
        <v>Donacije i transferi</v>
      </c>
      <c r="C121" s="588"/>
      <c r="D121" s="588"/>
      <c r="E121" s="588"/>
      <c r="F121" s="588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89" t="str">
        <f>+VLOOKUP(LEFT($A122,LEN(A122)-1)*1,Master!$D$29:$G$228,4,FALSE)</f>
        <v>Izdaci budžeta</v>
      </c>
      <c r="C122" s="590"/>
      <c r="D122" s="590"/>
      <c r="E122" s="590"/>
      <c r="F122" s="59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91" t="str">
        <f>+VLOOKUP(LEFT($A123,LEN(A123)-1)*1,Master!$D$29:$G$228,4,FALSE)</f>
        <v>Tekući izdaci</v>
      </c>
      <c r="C123" s="592"/>
      <c r="D123" s="592"/>
      <c r="E123" s="592"/>
      <c r="F123" s="59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3" t="str">
        <f>+VLOOKUP(LEFT($A124,LEN(A124)-1)*1,Master!$D$29:$G$228,4,FALSE)</f>
        <v>Bruto zarade i doprinosi na teret poslodavca</v>
      </c>
      <c r="C124" s="574"/>
      <c r="D124" s="574"/>
      <c r="E124" s="574"/>
      <c r="F124" s="57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3" t="str">
        <f>+VLOOKUP(LEFT($A125,LEN(A125)-1)*1,Master!$D$29:$G$228,4,FALSE)</f>
        <v>Ostala lična primanja</v>
      </c>
      <c r="C125" s="574"/>
      <c r="D125" s="574"/>
      <c r="E125" s="574"/>
      <c r="F125" s="57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3" t="str">
        <f>+VLOOKUP(LEFT($A126,LEN(A126)-1)*1,Master!$D$29:$G$228,4,FALSE)</f>
        <v>Rashodi za materijal</v>
      </c>
      <c r="C126" s="574"/>
      <c r="D126" s="574"/>
      <c r="E126" s="574"/>
      <c r="F126" s="57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3" t="str">
        <f>+VLOOKUP(LEFT($A127,LEN(A127)-1)*1,Master!$D$29:$G$228,4,FALSE)</f>
        <v>Rashodi za usluge</v>
      </c>
      <c r="C127" s="574"/>
      <c r="D127" s="574"/>
      <c r="E127" s="574"/>
      <c r="F127" s="57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3" t="str">
        <f>+VLOOKUP(LEFT($A128,LEN(A128)-1)*1,Master!$D$29:$G$228,4,FALSE)</f>
        <v>Rashodi za tekuće održavanje</v>
      </c>
      <c r="C128" s="574"/>
      <c r="D128" s="574"/>
      <c r="E128" s="574"/>
      <c r="F128" s="57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3" t="str">
        <f>+VLOOKUP(LEFT($A129,LEN(A129)-1)*1,Master!$D$29:$G$228,4,FALSE)</f>
        <v>Kamate</v>
      </c>
      <c r="C129" s="574"/>
      <c r="D129" s="574"/>
      <c r="E129" s="574"/>
      <c r="F129" s="57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3" t="str">
        <f>+VLOOKUP(LEFT($A130,LEN(A130)-1)*1,Master!$D$29:$G$228,4,FALSE)</f>
        <v>Renta</v>
      </c>
      <c r="C130" s="574"/>
      <c r="D130" s="574"/>
      <c r="E130" s="574"/>
      <c r="F130" s="57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3" t="str">
        <f>+VLOOKUP(LEFT($A131,LEN(A131)-1)*1,Master!$D$29:$G$228,4,FALSE)</f>
        <v>Subvencije</v>
      </c>
      <c r="C131" s="574"/>
      <c r="D131" s="574"/>
      <c r="E131" s="574"/>
      <c r="F131" s="57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3" t="str">
        <f>+VLOOKUP(LEFT($A132,LEN(A132)-1)*1,Master!$D$29:$G$228,4,FALSE)</f>
        <v>Ostali izdaci</v>
      </c>
      <c r="C132" s="574"/>
      <c r="D132" s="574"/>
      <c r="E132" s="574"/>
      <c r="F132" s="57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97" t="str">
        <f>+VLOOKUP(LEFT($A133,LEN(A133)-1)*1,Master!$D$29:$G$228,4,FALSE)</f>
        <v>Transferi za socijalnu zaštitu</v>
      </c>
      <c r="C133" s="598"/>
      <c r="D133" s="598"/>
      <c r="E133" s="598"/>
      <c r="F133" s="59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3" t="str">
        <f>+VLOOKUP(LEFT($A134,LEN(A134)-1)*1,Master!$D$29:$G$228,4,FALSE)</f>
        <v>Prava iz oblasti socijalne zaštite</v>
      </c>
      <c r="C134" s="574"/>
      <c r="D134" s="574"/>
      <c r="E134" s="574"/>
      <c r="F134" s="57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3" t="str">
        <f>+VLOOKUP(LEFT($A135,LEN(A135)-1)*1,Master!$D$29:$G$228,4,FALSE)</f>
        <v>Sredstva za tehnološke viškove</v>
      </c>
      <c r="C135" s="574"/>
      <c r="D135" s="574"/>
      <c r="E135" s="574"/>
      <c r="F135" s="57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3" t="str">
        <f>+VLOOKUP(LEFT($A136,LEN(A136)-1)*1,Master!$D$29:$G$228,4,FALSE)</f>
        <v>Prava iz oblasti penzijskog i invalidskog osiguranja</v>
      </c>
      <c r="C136" s="574"/>
      <c r="D136" s="574"/>
      <c r="E136" s="574"/>
      <c r="F136" s="57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3" t="str">
        <f>+VLOOKUP(LEFT($A137,LEN(A137)-1)*1,Master!$D$29:$G$228,4,FALSE)</f>
        <v>Ostala prava iz oblasti zdravstvene zaštite</v>
      </c>
      <c r="C137" s="574"/>
      <c r="D137" s="574"/>
      <c r="E137" s="574"/>
      <c r="F137" s="57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3" t="str">
        <f>+VLOOKUP(LEFT($A138,LEN(A138)-1)*1,Master!$D$29:$G$228,4,FALSE)</f>
        <v>Ostala prava iz zdravstvenog osiguranja</v>
      </c>
      <c r="C138" s="574"/>
      <c r="D138" s="574"/>
      <c r="E138" s="574"/>
      <c r="F138" s="57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93" t="str">
        <f>+VLOOKUP(LEFT($A139,LEN(A139)-1)*1,Master!$D$29:$G$228,4,FALSE)</f>
        <v xml:space="preserve">Transferi institucijama, pojedincima, nevladinom i javnom sektoru </v>
      </c>
      <c r="C139" s="594"/>
      <c r="D139" s="594"/>
      <c r="E139" s="594"/>
      <c r="F139" s="59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93" t="str">
        <f>+VLOOKUP(LEFT($A140,LEN(A140)-1)*1,Master!$D$29:$G$228,4,FALSE)</f>
        <v>Kapitalni izdaci</v>
      </c>
      <c r="C140" s="594"/>
      <c r="D140" s="594"/>
      <c r="E140" s="594"/>
      <c r="F140" s="59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95" t="str">
        <f>+VLOOKUP(LEFT($A141,LEN(A141)-1)*1,Master!$D$29:$G$228,4,FALSE)</f>
        <v>Pozajmice i krediti</v>
      </c>
      <c r="C141" s="596"/>
      <c r="D141" s="596"/>
      <c r="E141" s="596"/>
      <c r="F141" s="59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95" t="str">
        <f>+VLOOKUP(LEFT($A142,LEN(A142)-1)*1,Master!$D$29:$G$228,4,FALSE)</f>
        <v>Rezerve</v>
      </c>
      <c r="C142" s="596"/>
      <c r="D142" s="596"/>
      <c r="E142" s="596"/>
      <c r="F142" s="59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95" t="str">
        <f>+VLOOKUP(LEFT($A143,LEN(A143)-1)*1,Master!$D$29:$G$228,4,FALSE)</f>
        <v>Otplata garancija</v>
      </c>
      <c r="C143" s="596"/>
      <c r="D143" s="596"/>
      <c r="E143" s="596"/>
      <c r="F143" s="59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95" t="str">
        <f>+VLOOKUP(LEFT($A144,LEN(A144)-1)*1,Master!$D$29:$G$228,4,FALSE)</f>
        <v>Otplata obaveza iz prethodnog perioda</v>
      </c>
      <c r="C144" s="596"/>
      <c r="D144" s="596"/>
      <c r="E144" s="596"/>
      <c r="F144" s="59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5" t="str">
        <f>+VLOOKUP(LEFT($A145,LEN(A145)-1)*1,Master!$D$29:$G$228,4,FALSE)</f>
        <v>Neto povećanje obaveza</v>
      </c>
      <c r="C145" s="596"/>
      <c r="D145" s="596"/>
      <c r="E145" s="596"/>
      <c r="F145" s="59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603" t="str">
        <f>+VLOOKUP(LEFT($A146,LEN(A146)-1)*1,Master!$D$29:$G$225,4,FALSE)</f>
        <v>Suficit / deficit</v>
      </c>
      <c r="C146" s="604"/>
      <c r="D146" s="604"/>
      <c r="E146" s="604"/>
      <c r="F146" s="60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5" t="str">
        <f>+VLOOKUP(LEFT($A147,LEN(A147)-1)*1,Master!$D$29:$G$225,4,FALSE)</f>
        <v>Primarni suficit/deficit</v>
      </c>
      <c r="C147" s="606"/>
      <c r="D147" s="606"/>
      <c r="E147" s="606"/>
      <c r="F147" s="60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97" t="str">
        <f>+VLOOKUP(LEFT($A148,LEN(A148)-1)*1,Master!$D$29:$G$225,4,FALSE)</f>
        <v>Otplata dugova</v>
      </c>
      <c r="C148" s="598"/>
      <c r="D148" s="598"/>
      <c r="E148" s="598"/>
      <c r="F148" s="59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601" t="str">
        <f>+VLOOKUP(LEFT($A149,LEN(A149)-1)*1,Master!$D$29:$G$225,4,FALSE)</f>
        <v>Otplata hartija od vrijednosti i kredita rezidentima</v>
      </c>
      <c r="C149" s="602"/>
      <c r="D149" s="602"/>
      <c r="E149" s="602"/>
      <c r="F149" s="60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95" t="str">
        <f>+VLOOKUP(LEFT($A150,LEN(A150)-1)*1,Master!$D$29:$G$225,4,FALSE)</f>
        <v>Otplata hartija od vrijednosti i kredita nerezidentima</v>
      </c>
      <c r="C150" s="596"/>
      <c r="D150" s="596"/>
      <c r="E150" s="596"/>
      <c r="F150" s="59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89" t="str">
        <f>+VLOOKUP(LEFT($A151,LEN(A151)-1)*1,Master!$D$29:$G$225,4,FALSE)</f>
        <v>Izdaci za kupovinu hartija od vrijednosti</v>
      </c>
      <c r="C151" s="590"/>
      <c r="D151" s="590"/>
      <c r="E151" s="590"/>
      <c r="F151" s="59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99" t="str">
        <f>+VLOOKUP(LEFT($A152,LEN(A152)-1)*1,Master!$D$29:$G$225,4,FALSE)</f>
        <v>Nedostajuća sredstva</v>
      </c>
      <c r="C152" s="600"/>
      <c r="D152" s="600"/>
      <c r="E152" s="600"/>
      <c r="F152" s="60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89" t="str">
        <f>+VLOOKUP(LEFT($A153,LEN(A153)-1)*1,Master!$D$29:$G$225,4,FALSE)</f>
        <v>Finansiranje</v>
      </c>
      <c r="C153" s="590"/>
      <c r="D153" s="590"/>
      <c r="E153" s="590"/>
      <c r="F153" s="59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601" t="str">
        <f>+VLOOKUP(LEFT($A154,LEN(A154)-1)*1,Master!$D$29:$G$225,4,FALSE)</f>
        <v>Pozajmice i krediti od domaćih izvora</v>
      </c>
      <c r="C154" s="602"/>
      <c r="D154" s="602"/>
      <c r="E154" s="602"/>
      <c r="F154" s="60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95" t="str">
        <f>+VLOOKUP(LEFT($A155,LEN(A155)-1)*1,Master!$D$29:$G$225,4,FALSE)</f>
        <v>Pozajmice i krediti od inostranih izvora</v>
      </c>
      <c r="C155" s="596"/>
      <c r="D155" s="596"/>
      <c r="E155" s="596"/>
      <c r="F155" s="59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95" t="str">
        <f>+VLOOKUP(LEFT($A156,LEN(A156)-1)*1,Master!$D$29:$G$225,4,FALSE)</f>
        <v>Primici od prodaje imovine</v>
      </c>
      <c r="C156" s="596"/>
      <c r="D156" s="596"/>
      <c r="E156" s="596"/>
      <c r="F156" s="59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F1" zoomScaleNormal="100" workbookViewId="0">
      <pane ySplit="1" topLeftCell="A2" activePane="bottomLeft" state="frozen"/>
      <selection pane="bottomLeft" activeCell="W10" sqref="W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2019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4951000000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3" t="s">
        <v>681</v>
      </c>
      <c r="C10" s="514"/>
      <c r="D10" s="514"/>
      <c r="E10" s="514"/>
      <c r="F10" s="514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15" t="s">
        <v>120</v>
      </c>
      <c r="C30" s="516"/>
      <c r="D30" s="516"/>
      <c r="E30" s="516"/>
      <c r="F30" s="51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05" t="s">
        <v>122</v>
      </c>
      <c r="C31" s="506"/>
      <c r="D31" s="506"/>
      <c r="E31" s="506"/>
      <c r="F31" s="50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05" t="s">
        <v>133</v>
      </c>
      <c r="C32" s="506"/>
      <c r="D32" s="506"/>
      <c r="E32" s="506"/>
      <c r="F32" s="50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05" t="s">
        <v>148</v>
      </c>
      <c r="C33" s="506"/>
      <c r="D33" s="506"/>
      <c r="E33" s="506"/>
      <c r="F33" s="50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05" t="s">
        <v>162</v>
      </c>
      <c r="C34" s="506"/>
      <c r="D34" s="506"/>
      <c r="E34" s="506"/>
      <c r="F34" s="50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54" t="s">
        <v>182</v>
      </c>
      <c r="C35" s="555"/>
      <c r="D35" s="555"/>
      <c r="E35" s="555"/>
      <c r="F35" s="55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05" t="s">
        <v>190</v>
      </c>
      <c r="C36" s="506"/>
      <c r="D36" s="506"/>
      <c r="E36" s="506"/>
      <c r="F36" s="50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05" t="s">
        <v>196</v>
      </c>
      <c r="C37" s="506"/>
      <c r="D37" s="506"/>
      <c r="E37" s="506"/>
      <c r="F37" s="50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05" t="s">
        <v>204</v>
      </c>
      <c r="C38" s="506"/>
      <c r="D38" s="506"/>
      <c r="E38" s="506"/>
      <c r="F38" s="50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05" t="s">
        <v>212</v>
      </c>
      <c r="C39" s="506"/>
      <c r="D39" s="506"/>
      <c r="E39" s="506"/>
      <c r="F39" s="50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21" t="s">
        <v>230</v>
      </c>
      <c r="C40" s="522"/>
      <c r="D40" s="522"/>
      <c r="E40" s="522"/>
      <c r="F40" s="52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05" t="s">
        <v>232</v>
      </c>
      <c r="C41" s="506"/>
      <c r="D41" s="506"/>
      <c r="E41" s="506"/>
      <c r="F41" s="50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05" t="s">
        <v>248</v>
      </c>
      <c r="C42" s="506"/>
      <c r="D42" s="506"/>
      <c r="E42" s="506"/>
      <c r="F42" s="50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05" t="s">
        <v>259</v>
      </c>
      <c r="C43" s="506"/>
      <c r="D43" s="506"/>
      <c r="E43" s="506"/>
      <c r="F43" s="50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05" t="s">
        <v>274</v>
      </c>
      <c r="C44" s="506"/>
      <c r="D44" s="506"/>
      <c r="E44" s="506"/>
      <c r="F44" s="50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05" t="s">
        <v>278</v>
      </c>
      <c r="C45" s="506"/>
      <c r="D45" s="506"/>
      <c r="E45" s="506"/>
      <c r="F45" s="50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19" t="s">
        <v>286</v>
      </c>
      <c r="C46" s="520"/>
      <c r="D46" s="520"/>
      <c r="E46" s="520"/>
      <c r="F46" s="520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19" t="s">
        <v>320</v>
      </c>
      <c r="C47" s="520"/>
      <c r="D47" s="520"/>
      <c r="E47" s="520"/>
      <c r="F47" s="520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58" t="s">
        <v>113</v>
      </c>
      <c r="C48" s="559"/>
      <c r="D48" s="559"/>
      <c r="E48" s="559"/>
      <c r="F48" s="559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63" t="s">
        <v>366</v>
      </c>
      <c r="C49" s="564"/>
      <c r="D49" s="564"/>
      <c r="E49" s="564"/>
      <c r="F49" s="56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5" t="s">
        <v>359</v>
      </c>
      <c r="C50" s="526"/>
      <c r="D50" s="526"/>
      <c r="E50" s="526"/>
      <c r="F50" s="52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65" t="s">
        <v>795</v>
      </c>
      <c r="C51" s="566"/>
      <c r="D51" s="566"/>
      <c r="E51" s="566"/>
      <c r="F51" s="56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67" t="s">
        <v>685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7" t="s">
        <v>545</v>
      </c>
      <c r="C53" s="528"/>
      <c r="D53" s="528"/>
      <c r="E53" s="528"/>
      <c r="F53" s="52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29" t="s">
        <v>793</v>
      </c>
      <c r="C54" s="530"/>
      <c r="D54" s="530"/>
      <c r="E54" s="530"/>
      <c r="F54" s="53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1" t="s">
        <v>352</v>
      </c>
      <c r="C55" s="552"/>
      <c r="D55" s="552"/>
      <c r="E55" s="552"/>
      <c r="F55" s="55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47" t="s">
        <v>355</v>
      </c>
      <c r="C56" s="548"/>
      <c r="D56" s="548"/>
      <c r="E56" s="548"/>
      <c r="F56" s="548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23" t="s">
        <v>357</v>
      </c>
      <c r="C57" s="524"/>
      <c r="D57" s="524"/>
      <c r="E57" s="524"/>
      <c r="F57" s="52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7" t="s">
        <v>336</v>
      </c>
      <c r="C58" s="608"/>
      <c r="D58" s="608"/>
      <c r="E58" s="608"/>
      <c r="F58" s="608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49" t="s">
        <v>543</v>
      </c>
      <c r="C59" s="550"/>
      <c r="D59" s="550"/>
      <c r="E59" s="550"/>
      <c r="F59" s="550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13" t="s">
        <v>544</v>
      </c>
      <c r="C60" s="514"/>
      <c r="D60" s="514"/>
      <c r="E60" s="514"/>
      <c r="F60" s="514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47" t="s">
        <v>114</v>
      </c>
      <c r="C61" s="548"/>
      <c r="D61" s="548"/>
      <c r="E61" s="548"/>
      <c r="F61" s="548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23" t="s">
        <v>116</v>
      </c>
      <c r="C62" s="524"/>
      <c r="D62" s="524"/>
      <c r="E62" s="524"/>
      <c r="F62" s="52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23" t="s">
        <v>93</v>
      </c>
      <c r="C63" s="524"/>
      <c r="D63" s="524"/>
      <c r="E63" s="524"/>
      <c r="F63" s="52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5" t="s">
        <v>552</v>
      </c>
      <c r="C100" s="576"/>
      <c r="D100" s="576"/>
      <c r="E100" s="576"/>
      <c r="F100" s="576"/>
      <c r="G100" s="560">
        <v>2019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BDP</v>
      </c>
      <c r="T100" s="108">
        <f>+T7</f>
        <v>4951000000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0" t="s">
        <v>809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9" t="s">
        <v>681</v>
      </c>
      <c r="C103" s="570"/>
      <c r="D103" s="570"/>
      <c r="E103" s="570"/>
      <c r="F103" s="57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71" t="s">
        <v>21</v>
      </c>
      <c r="C104" s="572"/>
      <c r="D104" s="572"/>
      <c r="E104" s="572"/>
      <c r="F104" s="57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3" t="s">
        <v>23</v>
      </c>
      <c r="C105" s="574"/>
      <c r="D105" s="574"/>
      <c r="E105" s="574"/>
      <c r="F105" s="57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3" t="s">
        <v>25</v>
      </c>
      <c r="C106" s="574"/>
      <c r="D106" s="574"/>
      <c r="E106" s="574"/>
      <c r="F106" s="57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3" t="s">
        <v>27</v>
      </c>
      <c r="C107" s="574"/>
      <c r="D107" s="574"/>
      <c r="E107" s="574"/>
      <c r="F107" s="57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3" t="s">
        <v>29</v>
      </c>
      <c r="C108" s="574"/>
      <c r="D108" s="574"/>
      <c r="E108" s="574"/>
      <c r="F108" s="57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3" t="s">
        <v>31</v>
      </c>
      <c r="C109" s="574"/>
      <c r="D109" s="574"/>
      <c r="E109" s="574"/>
      <c r="F109" s="57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3" t="s">
        <v>33</v>
      </c>
      <c r="C110" s="574"/>
      <c r="D110" s="574"/>
      <c r="E110" s="574"/>
      <c r="F110" s="57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3" t="s">
        <v>722</v>
      </c>
      <c r="C111" s="574"/>
      <c r="D111" s="574"/>
      <c r="E111" s="574"/>
      <c r="F111" s="57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85" t="s">
        <v>37</v>
      </c>
      <c r="C112" s="586"/>
      <c r="D112" s="586"/>
      <c r="E112" s="586"/>
      <c r="F112" s="586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3" t="s">
        <v>39</v>
      </c>
      <c r="C113" s="574"/>
      <c r="D113" s="574"/>
      <c r="E113" s="574"/>
      <c r="F113" s="57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3" t="s">
        <v>41</v>
      </c>
      <c r="C114" s="574"/>
      <c r="D114" s="574"/>
      <c r="E114" s="574"/>
      <c r="F114" s="57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3" t="s">
        <v>43</v>
      </c>
      <c r="C115" s="574"/>
      <c r="D115" s="574"/>
      <c r="E115" s="574"/>
      <c r="F115" s="57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3" t="s">
        <v>45</v>
      </c>
      <c r="C116" s="574"/>
      <c r="D116" s="574"/>
      <c r="E116" s="574"/>
      <c r="F116" s="57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83" t="s">
        <v>47</v>
      </c>
      <c r="C117" s="584"/>
      <c r="D117" s="584"/>
      <c r="E117" s="584"/>
      <c r="F117" s="58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83" t="s">
        <v>61</v>
      </c>
      <c r="C118" s="584"/>
      <c r="D118" s="584"/>
      <c r="E118" s="584"/>
      <c r="F118" s="58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83" t="s">
        <v>81</v>
      </c>
      <c r="C119" s="584"/>
      <c r="D119" s="584"/>
      <c r="E119" s="584"/>
      <c r="F119" s="58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83" t="s">
        <v>99</v>
      </c>
      <c r="C120" s="584"/>
      <c r="D120" s="584"/>
      <c r="E120" s="584"/>
      <c r="F120" s="58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87" t="s">
        <v>105</v>
      </c>
      <c r="C121" s="588"/>
      <c r="D121" s="588"/>
      <c r="E121" s="588"/>
      <c r="F121" s="588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89" t="s">
        <v>811</v>
      </c>
      <c r="C122" s="590"/>
      <c r="D122" s="590"/>
      <c r="E122" s="590"/>
      <c r="F122" s="590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09" t="s">
        <v>774</v>
      </c>
      <c r="C123" s="610"/>
      <c r="D123" s="610"/>
      <c r="E123" s="610"/>
      <c r="F123" s="610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91" t="e">
        <v>#REF!</v>
      </c>
      <c r="C124" s="592"/>
      <c r="D124" s="592"/>
      <c r="E124" s="592"/>
      <c r="F124" s="592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3" t="s">
        <v>122</v>
      </c>
      <c r="C125" s="574"/>
      <c r="D125" s="574"/>
      <c r="E125" s="574"/>
      <c r="F125" s="57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3" t="s">
        <v>133</v>
      </c>
      <c r="C126" s="574"/>
      <c r="D126" s="574"/>
      <c r="E126" s="574"/>
      <c r="F126" s="57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3" t="s">
        <v>148</v>
      </c>
      <c r="C127" s="574"/>
      <c r="D127" s="574"/>
      <c r="E127" s="574"/>
      <c r="F127" s="57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3" t="s">
        <v>162</v>
      </c>
      <c r="C128" s="574"/>
      <c r="D128" s="574"/>
      <c r="E128" s="574"/>
      <c r="F128" s="57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3" t="s">
        <v>182</v>
      </c>
      <c r="C129" s="574"/>
      <c r="D129" s="574"/>
      <c r="E129" s="574"/>
      <c r="F129" s="57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3" t="s">
        <v>190</v>
      </c>
      <c r="C130" s="574"/>
      <c r="D130" s="574"/>
      <c r="E130" s="574"/>
      <c r="F130" s="57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3" t="s">
        <v>196</v>
      </c>
      <c r="C131" s="574"/>
      <c r="D131" s="574"/>
      <c r="E131" s="574"/>
      <c r="F131" s="57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3" t="s">
        <v>204</v>
      </c>
      <c r="C132" s="574"/>
      <c r="D132" s="574"/>
      <c r="E132" s="574"/>
      <c r="F132" s="57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3" t="s">
        <v>212</v>
      </c>
      <c r="C133" s="574"/>
      <c r="D133" s="574"/>
      <c r="E133" s="574"/>
      <c r="F133" s="57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3" t="e">
        <v>#REF!</v>
      </c>
      <c r="C134" s="574"/>
      <c r="D134" s="574"/>
      <c r="E134" s="574"/>
      <c r="F134" s="57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7" t="s">
        <v>230</v>
      </c>
      <c r="C135" s="598"/>
      <c r="D135" s="598"/>
      <c r="E135" s="598"/>
      <c r="F135" s="59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3" t="s">
        <v>232</v>
      </c>
      <c r="C136" s="574"/>
      <c r="D136" s="574"/>
      <c r="E136" s="574"/>
      <c r="F136" s="57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3" t="s">
        <v>248</v>
      </c>
      <c r="C137" s="574"/>
      <c r="D137" s="574"/>
      <c r="E137" s="574"/>
      <c r="F137" s="57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3" t="s">
        <v>259</v>
      </c>
      <c r="C138" s="574"/>
      <c r="D138" s="574"/>
      <c r="E138" s="574"/>
      <c r="F138" s="57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3" t="s">
        <v>274</v>
      </c>
      <c r="C139" s="574"/>
      <c r="D139" s="574"/>
      <c r="E139" s="574"/>
      <c r="F139" s="57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3" t="s">
        <v>278</v>
      </c>
      <c r="C140" s="574"/>
      <c r="D140" s="574"/>
      <c r="E140" s="574"/>
      <c r="F140" s="57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93" t="s">
        <v>286</v>
      </c>
      <c r="C141" s="594"/>
      <c r="D141" s="594"/>
      <c r="E141" s="594"/>
      <c r="F141" s="59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93" t="s">
        <v>812</v>
      </c>
      <c r="C142" s="594"/>
      <c r="D142" s="594"/>
      <c r="E142" s="594"/>
      <c r="F142" s="59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5" t="s">
        <v>113</v>
      </c>
      <c r="C143" s="596"/>
      <c r="D143" s="596"/>
      <c r="E143" s="596"/>
      <c r="F143" s="59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95" t="s">
        <v>366</v>
      </c>
      <c r="C144" s="596"/>
      <c r="D144" s="596"/>
      <c r="E144" s="596"/>
      <c r="F144" s="59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95" t="s">
        <v>359</v>
      </c>
      <c r="C145" s="596"/>
      <c r="D145" s="596"/>
      <c r="E145" s="596"/>
      <c r="F145" s="59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95" t="s">
        <v>365</v>
      </c>
      <c r="C146" s="596"/>
      <c r="D146" s="596"/>
      <c r="E146" s="596"/>
      <c r="F146" s="59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1" t="s">
        <v>686</v>
      </c>
      <c r="C147" s="612"/>
      <c r="D147" s="612"/>
      <c r="E147" s="612"/>
      <c r="F147" s="61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603" t="s">
        <v>545</v>
      </c>
      <c r="C148" s="604"/>
      <c r="D148" s="604"/>
      <c r="E148" s="604"/>
      <c r="F148" s="60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605" t="s">
        <v>813</v>
      </c>
      <c r="C149" s="606"/>
      <c r="D149" s="606"/>
      <c r="E149" s="606"/>
      <c r="F149" s="60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97" t="s">
        <v>352</v>
      </c>
      <c r="C150" s="598"/>
      <c r="D150" s="598"/>
      <c r="E150" s="598"/>
      <c r="F150" s="59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601" t="s">
        <v>355</v>
      </c>
      <c r="C151" s="602"/>
      <c r="D151" s="602"/>
      <c r="E151" s="602"/>
      <c r="F151" s="60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95" t="s">
        <v>357</v>
      </c>
      <c r="C152" s="596"/>
      <c r="D152" s="596"/>
      <c r="E152" s="596"/>
      <c r="F152" s="59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7" t="s">
        <v>336</v>
      </c>
      <c r="C153" s="608"/>
      <c r="D153" s="608"/>
      <c r="E153" s="608"/>
      <c r="F153" s="608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99" t="s">
        <v>543</v>
      </c>
      <c r="C154" s="600"/>
      <c r="D154" s="600"/>
      <c r="E154" s="600"/>
      <c r="F154" s="600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89" t="s">
        <v>544</v>
      </c>
      <c r="C155" s="590"/>
      <c r="D155" s="590"/>
      <c r="E155" s="590"/>
      <c r="F155" s="590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601" t="s">
        <v>114</v>
      </c>
      <c r="C156" s="602"/>
      <c r="D156" s="602"/>
      <c r="E156" s="602"/>
      <c r="F156" s="60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95" t="s">
        <v>116</v>
      </c>
      <c r="C157" s="596"/>
      <c r="D157" s="596"/>
      <c r="E157" s="596"/>
      <c r="F157" s="59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95" t="s">
        <v>93</v>
      </c>
      <c r="C158" s="596"/>
      <c r="D158" s="596"/>
      <c r="E158" s="596"/>
      <c r="F158" s="59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41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2018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4663130000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1" t="s">
        <v>681</v>
      </c>
      <c r="C10" s="502"/>
      <c r="D10" s="502"/>
      <c r="E10" s="502"/>
      <c r="F10" s="50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15" t="s">
        <v>774</v>
      </c>
      <c r="C30" s="516"/>
      <c r="D30" s="516"/>
      <c r="E30" s="516"/>
      <c r="F30" s="51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17" t="s">
        <v>120</v>
      </c>
      <c r="C31" s="518"/>
      <c r="D31" s="518"/>
      <c r="E31" s="518"/>
      <c r="F31" s="51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05" t="s">
        <v>122</v>
      </c>
      <c r="C32" s="506"/>
      <c r="D32" s="506"/>
      <c r="E32" s="506"/>
      <c r="F32" s="50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05" t="s">
        <v>133</v>
      </c>
      <c r="C33" s="506"/>
      <c r="D33" s="506"/>
      <c r="E33" s="506"/>
      <c r="F33" s="50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05" t="s">
        <v>148</v>
      </c>
      <c r="C34" s="506"/>
      <c r="D34" s="506"/>
      <c r="E34" s="506"/>
      <c r="F34" s="50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05" t="s">
        <v>162</v>
      </c>
      <c r="C35" s="506"/>
      <c r="D35" s="506"/>
      <c r="E35" s="506"/>
      <c r="F35" s="50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05" t="s">
        <v>182</v>
      </c>
      <c r="C36" s="506"/>
      <c r="D36" s="506"/>
      <c r="E36" s="506"/>
      <c r="F36" s="50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05" t="s">
        <v>190</v>
      </c>
      <c r="C37" s="506"/>
      <c r="D37" s="506"/>
      <c r="E37" s="506"/>
      <c r="F37" s="50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05" t="s">
        <v>196</v>
      </c>
      <c r="C38" s="506"/>
      <c r="D38" s="506"/>
      <c r="E38" s="506"/>
      <c r="F38" s="50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05" t="s">
        <v>204</v>
      </c>
      <c r="C39" s="506"/>
      <c r="D39" s="506"/>
      <c r="E39" s="506"/>
      <c r="F39" s="50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05" t="s">
        <v>212</v>
      </c>
      <c r="C40" s="506"/>
      <c r="D40" s="506"/>
      <c r="E40" s="506"/>
      <c r="F40" s="50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05" t="s">
        <v>803</v>
      </c>
      <c r="C41" s="506"/>
      <c r="D41" s="506"/>
      <c r="E41" s="506"/>
      <c r="F41" s="50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21" t="s">
        <v>230</v>
      </c>
      <c r="C42" s="522"/>
      <c r="D42" s="522"/>
      <c r="E42" s="522"/>
      <c r="F42" s="52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05" t="s">
        <v>232</v>
      </c>
      <c r="C43" s="506"/>
      <c r="D43" s="506"/>
      <c r="E43" s="506"/>
      <c r="F43" s="50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05" t="s">
        <v>248</v>
      </c>
      <c r="C44" s="506"/>
      <c r="D44" s="506"/>
      <c r="E44" s="506"/>
      <c r="F44" s="50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05" t="s">
        <v>259</v>
      </c>
      <c r="C45" s="506"/>
      <c r="D45" s="506"/>
      <c r="E45" s="506"/>
      <c r="F45" s="50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05" t="s">
        <v>274</v>
      </c>
      <c r="C46" s="506"/>
      <c r="D46" s="506"/>
      <c r="E46" s="506"/>
      <c r="F46" s="50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3" t="s">
        <v>278</v>
      </c>
      <c r="C47" s="614"/>
      <c r="D47" s="614"/>
      <c r="E47" s="614"/>
      <c r="F47" s="614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19" t="s">
        <v>286</v>
      </c>
      <c r="C48" s="520"/>
      <c r="D48" s="520"/>
      <c r="E48" s="520"/>
      <c r="F48" s="520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19" t="s">
        <v>320</v>
      </c>
      <c r="C49" s="520"/>
      <c r="D49" s="520"/>
      <c r="E49" s="520"/>
      <c r="F49" s="520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58" t="s">
        <v>113</v>
      </c>
      <c r="C50" s="559"/>
      <c r="D50" s="559"/>
      <c r="E50" s="559"/>
      <c r="F50" s="559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23" t="s">
        <v>366</v>
      </c>
      <c r="C51" s="524"/>
      <c r="D51" s="524"/>
      <c r="E51" s="524"/>
      <c r="F51" s="52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5" t="s">
        <v>359</v>
      </c>
      <c r="C52" s="526"/>
      <c r="D52" s="526"/>
      <c r="E52" s="526"/>
      <c r="F52" s="52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65" t="s">
        <v>795</v>
      </c>
      <c r="C53" s="566"/>
      <c r="D53" s="566"/>
      <c r="E53" s="566"/>
      <c r="F53" s="56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67" t="s">
        <v>685</v>
      </c>
      <c r="C54" s="568"/>
      <c r="D54" s="568"/>
      <c r="E54" s="568"/>
      <c r="F54" s="56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7" t="s">
        <v>545</v>
      </c>
      <c r="C55" s="528"/>
      <c r="D55" s="528"/>
      <c r="E55" s="528"/>
      <c r="F55" s="52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29" t="s">
        <v>794</v>
      </c>
      <c r="C57" s="530"/>
      <c r="D57" s="530"/>
      <c r="E57" s="530"/>
      <c r="F57" s="53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1" t="s">
        <v>352</v>
      </c>
      <c r="C58" s="552"/>
      <c r="D58" s="552"/>
      <c r="E58" s="552"/>
      <c r="F58" s="55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47" t="s">
        <v>355</v>
      </c>
      <c r="C59" s="548"/>
      <c r="D59" s="548"/>
      <c r="E59" s="548"/>
      <c r="F59" s="548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23" t="s">
        <v>357</v>
      </c>
      <c r="C60" s="524"/>
      <c r="D60" s="524"/>
      <c r="E60" s="524"/>
      <c r="F60" s="52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5" t="s">
        <v>336</v>
      </c>
      <c r="C61" s="616"/>
      <c r="D61" s="616"/>
      <c r="E61" s="616"/>
      <c r="F61" s="61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49" t="s">
        <v>543</v>
      </c>
      <c r="C62" s="550"/>
      <c r="D62" s="550"/>
      <c r="E62" s="550"/>
      <c r="F62" s="550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13" t="s">
        <v>544</v>
      </c>
      <c r="C63" s="514"/>
      <c r="D63" s="514"/>
      <c r="E63" s="514"/>
      <c r="F63" s="514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47" t="s">
        <v>114</v>
      </c>
      <c r="C64" s="548"/>
      <c r="D64" s="548"/>
      <c r="E64" s="548"/>
      <c r="F64" s="548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23" t="s">
        <v>116</v>
      </c>
      <c r="C65" s="524"/>
      <c r="D65" s="524"/>
      <c r="E65" s="524"/>
      <c r="F65" s="52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23" t="s">
        <v>93</v>
      </c>
      <c r="C66" s="524"/>
      <c r="D66" s="524"/>
      <c r="E66" s="524"/>
      <c r="F66" s="52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5" t="s">
        <v>552</v>
      </c>
      <c r="C103" s="576"/>
      <c r="D103" s="576"/>
      <c r="E103" s="576"/>
      <c r="F103" s="576"/>
      <c r="G103" s="560">
        <v>2018</v>
      </c>
      <c r="H103" s="561"/>
      <c r="I103" s="561"/>
      <c r="J103" s="561"/>
      <c r="K103" s="561"/>
      <c r="L103" s="561"/>
      <c r="M103" s="561"/>
      <c r="N103" s="561"/>
      <c r="O103" s="561"/>
      <c r="P103" s="561"/>
      <c r="Q103" s="561"/>
      <c r="R103" s="562"/>
      <c r="S103" s="107" t="str">
        <f>+S7</f>
        <v>BDP</v>
      </c>
      <c r="T103" s="108">
        <f>+T7</f>
        <v>4663130000</v>
      </c>
    </row>
    <row r="104" spans="1:21" ht="15.75" customHeight="1">
      <c r="B104" s="577"/>
      <c r="C104" s="578"/>
      <c r="D104" s="578"/>
      <c r="E104" s="578"/>
      <c r="F104" s="57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0" t="s">
        <v>809</v>
      </c>
      <c r="T104" s="562">
        <f>+T8</f>
        <v>0</v>
      </c>
    </row>
    <row r="105" spans="1:21" ht="13.5" thickBot="1">
      <c r="B105" s="580"/>
      <c r="C105" s="581"/>
      <c r="D105" s="581"/>
      <c r="E105" s="581"/>
      <c r="F105" s="58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9" t="s">
        <v>681</v>
      </c>
      <c r="C106" s="570"/>
      <c r="D106" s="570"/>
      <c r="E106" s="570"/>
      <c r="F106" s="57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71" t="s">
        <v>21</v>
      </c>
      <c r="C107" s="572"/>
      <c r="D107" s="572"/>
      <c r="E107" s="572"/>
      <c r="F107" s="57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3" t="s">
        <v>23</v>
      </c>
      <c r="C108" s="574"/>
      <c r="D108" s="574"/>
      <c r="E108" s="574"/>
      <c r="F108" s="57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3" t="s">
        <v>25</v>
      </c>
      <c r="C109" s="574"/>
      <c r="D109" s="574"/>
      <c r="E109" s="574"/>
      <c r="F109" s="57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3" t="s">
        <v>27</v>
      </c>
      <c r="C110" s="574"/>
      <c r="D110" s="574"/>
      <c r="E110" s="574"/>
      <c r="F110" s="57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3" t="s">
        <v>29</v>
      </c>
      <c r="C111" s="574"/>
      <c r="D111" s="574"/>
      <c r="E111" s="574"/>
      <c r="F111" s="57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3" t="s">
        <v>31</v>
      </c>
      <c r="C112" s="574"/>
      <c r="D112" s="574"/>
      <c r="E112" s="574"/>
      <c r="F112" s="57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3" t="s">
        <v>33</v>
      </c>
      <c r="C113" s="574"/>
      <c r="D113" s="574"/>
      <c r="E113" s="574"/>
      <c r="F113" s="57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3" t="s">
        <v>722</v>
      </c>
      <c r="C114" s="574"/>
      <c r="D114" s="574"/>
      <c r="E114" s="574"/>
      <c r="F114" s="57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85" t="s">
        <v>37</v>
      </c>
      <c r="C115" s="586"/>
      <c r="D115" s="586"/>
      <c r="E115" s="586"/>
      <c r="F115" s="586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3" t="s">
        <v>39</v>
      </c>
      <c r="C116" s="574"/>
      <c r="D116" s="574"/>
      <c r="E116" s="574"/>
      <c r="F116" s="57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3" t="s">
        <v>41</v>
      </c>
      <c r="C117" s="574"/>
      <c r="D117" s="574"/>
      <c r="E117" s="574"/>
      <c r="F117" s="57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3" t="s">
        <v>43</v>
      </c>
      <c r="C118" s="574"/>
      <c r="D118" s="574"/>
      <c r="E118" s="574"/>
      <c r="F118" s="57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3" t="s">
        <v>45</v>
      </c>
      <c r="C119" s="574"/>
      <c r="D119" s="574"/>
      <c r="E119" s="574"/>
      <c r="F119" s="57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83" t="s">
        <v>47</v>
      </c>
      <c r="C120" s="584"/>
      <c r="D120" s="584"/>
      <c r="E120" s="584"/>
      <c r="F120" s="58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83" t="s">
        <v>61</v>
      </c>
      <c r="C121" s="584"/>
      <c r="D121" s="584"/>
      <c r="E121" s="584"/>
      <c r="F121" s="58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83" t="s">
        <v>81</v>
      </c>
      <c r="C122" s="584"/>
      <c r="D122" s="584"/>
      <c r="E122" s="584"/>
      <c r="F122" s="58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83" t="s">
        <v>99</v>
      </c>
      <c r="C123" s="584"/>
      <c r="D123" s="584"/>
      <c r="E123" s="584"/>
      <c r="F123" s="58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87" t="s">
        <v>105</v>
      </c>
      <c r="C124" s="588"/>
      <c r="D124" s="588"/>
      <c r="E124" s="588"/>
      <c r="F124" s="588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89" t="s">
        <v>811</v>
      </c>
      <c r="C125" s="590"/>
      <c r="D125" s="590"/>
      <c r="E125" s="590"/>
      <c r="F125" s="59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09" t="s">
        <v>774</v>
      </c>
      <c r="C126" s="610"/>
      <c r="D126" s="610"/>
      <c r="E126" s="610"/>
      <c r="F126" s="610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91" t="s">
        <v>120</v>
      </c>
      <c r="C127" s="592"/>
      <c r="D127" s="592"/>
      <c r="E127" s="592"/>
      <c r="F127" s="59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3" t="s">
        <v>122</v>
      </c>
      <c r="C128" s="574"/>
      <c r="D128" s="574"/>
      <c r="E128" s="574"/>
      <c r="F128" s="57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3" t="s">
        <v>133</v>
      </c>
      <c r="C129" s="574"/>
      <c r="D129" s="574"/>
      <c r="E129" s="574"/>
      <c r="F129" s="57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3" t="s">
        <v>148</v>
      </c>
      <c r="C130" s="574"/>
      <c r="D130" s="574"/>
      <c r="E130" s="574"/>
      <c r="F130" s="57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3" t="s">
        <v>162</v>
      </c>
      <c r="C131" s="574"/>
      <c r="D131" s="574"/>
      <c r="E131" s="574"/>
      <c r="F131" s="57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3" t="s">
        <v>182</v>
      </c>
      <c r="C132" s="574"/>
      <c r="D132" s="574"/>
      <c r="E132" s="574"/>
      <c r="F132" s="57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3" t="s">
        <v>190</v>
      </c>
      <c r="C133" s="574"/>
      <c r="D133" s="574"/>
      <c r="E133" s="574"/>
      <c r="F133" s="57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3" t="s">
        <v>196</v>
      </c>
      <c r="C134" s="574"/>
      <c r="D134" s="574"/>
      <c r="E134" s="574"/>
      <c r="F134" s="57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3" t="s">
        <v>204</v>
      </c>
      <c r="C135" s="574"/>
      <c r="D135" s="574"/>
      <c r="E135" s="574"/>
      <c r="F135" s="57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3" t="s">
        <v>212</v>
      </c>
      <c r="C136" s="574"/>
      <c r="D136" s="574"/>
      <c r="E136" s="574"/>
      <c r="F136" s="57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3" t="s">
        <v>803</v>
      </c>
      <c r="C137" s="574"/>
      <c r="D137" s="574"/>
      <c r="E137" s="574"/>
      <c r="F137" s="57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97" t="s">
        <v>230</v>
      </c>
      <c r="C138" s="598"/>
      <c r="D138" s="598"/>
      <c r="E138" s="598"/>
      <c r="F138" s="59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3" t="s">
        <v>232</v>
      </c>
      <c r="C139" s="574"/>
      <c r="D139" s="574"/>
      <c r="E139" s="574"/>
      <c r="F139" s="57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3" t="s">
        <v>248</v>
      </c>
      <c r="C140" s="574"/>
      <c r="D140" s="574"/>
      <c r="E140" s="574"/>
      <c r="F140" s="57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3" t="s">
        <v>259</v>
      </c>
      <c r="C141" s="574"/>
      <c r="D141" s="574"/>
      <c r="E141" s="574"/>
      <c r="F141" s="57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3" t="s">
        <v>274</v>
      </c>
      <c r="C142" s="574"/>
      <c r="D142" s="574"/>
      <c r="E142" s="574"/>
      <c r="F142" s="57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3" t="s">
        <v>278</v>
      </c>
      <c r="C143" s="574"/>
      <c r="D143" s="574"/>
      <c r="E143" s="574"/>
      <c r="F143" s="57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93" t="s">
        <v>286</v>
      </c>
      <c r="C144" s="594"/>
      <c r="D144" s="594"/>
      <c r="E144" s="594"/>
      <c r="F144" s="59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93" t="s">
        <v>812</v>
      </c>
      <c r="C145" s="594"/>
      <c r="D145" s="594"/>
      <c r="E145" s="594"/>
      <c r="F145" s="59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95" t="s">
        <v>113</v>
      </c>
      <c r="C146" s="596"/>
      <c r="D146" s="596"/>
      <c r="E146" s="596"/>
      <c r="F146" s="59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95" t="s">
        <v>366</v>
      </c>
      <c r="C147" s="596"/>
      <c r="D147" s="596"/>
      <c r="E147" s="596"/>
      <c r="F147" s="59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95" t="s">
        <v>359</v>
      </c>
      <c r="C148" s="596"/>
      <c r="D148" s="596"/>
      <c r="E148" s="596"/>
      <c r="F148" s="59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603" t="s">
        <v>545</v>
      </c>
      <c r="C150" s="604"/>
      <c r="D150" s="604"/>
      <c r="E150" s="604"/>
      <c r="F150" s="60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605" t="s">
        <v>813</v>
      </c>
      <c r="C151" s="606"/>
      <c r="D151" s="606"/>
      <c r="E151" s="606"/>
      <c r="F151" s="60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97" t="s">
        <v>352</v>
      </c>
      <c r="C152" s="598"/>
      <c r="D152" s="598"/>
      <c r="E152" s="598"/>
      <c r="F152" s="59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601" t="s">
        <v>355</v>
      </c>
      <c r="C153" s="602"/>
      <c r="D153" s="602"/>
      <c r="E153" s="602"/>
      <c r="F153" s="60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95" t="s">
        <v>357</v>
      </c>
      <c r="C154" s="596"/>
      <c r="D154" s="596"/>
      <c r="E154" s="596"/>
      <c r="F154" s="59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95" t="s">
        <v>365</v>
      </c>
      <c r="C155" s="596"/>
      <c r="D155" s="596"/>
      <c r="E155" s="596"/>
      <c r="F155" s="59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99" t="s">
        <v>543</v>
      </c>
      <c r="C157" s="600"/>
      <c r="D157" s="600"/>
      <c r="E157" s="600"/>
      <c r="F157" s="60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89" t="s">
        <v>544</v>
      </c>
      <c r="C158" s="590"/>
      <c r="D158" s="590"/>
      <c r="E158" s="590"/>
      <c r="F158" s="59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601" t="s">
        <v>114</v>
      </c>
      <c r="C159" s="602"/>
      <c r="D159" s="602"/>
      <c r="E159" s="602"/>
      <c r="F159" s="60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95" t="s">
        <v>116</v>
      </c>
      <c r="C160" s="596"/>
      <c r="D160" s="596"/>
      <c r="E160" s="596"/>
      <c r="F160" s="59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95" t="s">
        <v>93</v>
      </c>
      <c r="C161" s="596"/>
      <c r="D161" s="596"/>
      <c r="E161" s="596"/>
      <c r="F161" s="59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0" t="s">
        <v>555</v>
      </c>
      <c r="F6" s="618">
        <v>2006</v>
      </c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9"/>
      <c r="R6" s="618">
        <v>2007</v>
      </c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9"/>
      <c r="AD6" s="618">
        <v>2008</v>
      </c>
      <c r="AE6" s="617"/>
      <c r="AF6" s="617"/>
      <c r="AG6" s="617"/>
      <c r="AH6" s="617"/>
      <c r="AI6" s="617"/>
      <c r="AJ6" s="617"/>
      <c r="AK6" s="617"/>
      <c r="AL6" s="617"/>
      <c r="AM6" s="617"/>
      <c r="AN6" s="617"/>
      <c r="AO6" s="619"/>
      <c r="AP6" s="618">
        <v>2009</v>
      </c>
      <c r="AQ6" s="617"/>
      <c r="AR6" s="617"/>
      <c r="AS6" s="617"/>
      <c r="AT6" s="617"/>
      <c r="AU6" s="617"/>
      <c r="AV6" s="617"/>
      <c r="AW6" s="617"/>
      <c r="AX6" s="617"/>
      <c r="AY6" s="617"/>
      <c r="AZ6" s="617"/>
      <c r="BA6" s="619"/>
      <c r="BB6" s="618">
        <v>2010</v>
      </c>
      <c r="BC6" s="617"/>
      <c r="BD6" s="617"/>
      <c r="BE6" s="617"/>
      <c r="BF6" s="617"/>
      <c r="BG6" s="617"/>
      <c r="BH6" s="617"/>
      <c r="BI6" s="617"/>
      <c r="BJ6" s="617"/>
      <c r="BK6" s="617"/>
      <c r="BL6" s="617"/>
      <c r="BM6" s="619"/>
      <c r="BN6" s="618">
        <v>2011</v>
      </c>
      <c r="BO6" s="617"/>
      <c r="BP6" s="617"/>
      <c r="BQ6" s="617"/>
      <c r="BR6" s="617"/>
      <c r="BS6" s="617"/>
      <c r="BT6" s="617"/>
      <c r="BU6" s="617"/>
      <c r="BV6" s="617"/>
      <c r="BW6" s="617"/>
      <c r="BX6" s="617"/>
      <c r="BY6" s="619"/>
      <c r="BZ6" s="617">
        <v>2012</v>
      </c>
      <c r="CA6" s="617"/>
      <c r="CB6" s="617"/>
      <c r="CC6" s="617"/>
      <c r="CD6" s="617"/>
      <c r="CE6" s="617"/>
      <c r="CF6" s="617"/>
      <c r="CG6" s="617"/>
      <c r="CH6" s="617"/>
      <c r="CI6" s="617"/>
      <c r="CJ6" s="617"/>
      <c r="CK6" s="617"/>
      <c r="CL6" s="618">
        <v>2013</v>
      </c>
      <c r="CM6" s="617"/>
      <c r="CN6" s="617"/>
      <c r="CO6" s="617"/>
      <c r="CP6" s="617"/>
      <c r="CQ6" s="617"/>
      <c r="CR6" s="617"/>
      <c r="CS6" s="617"/>
      <c r="CT6" s="617"/>
      <c r="CU6" s="617"/>
      <c r="CV6" s="617"/>
      <c r="CW6" s="619"/>
      <c r="CX6" s="618">
        <v>2014</v>
      </c>
      <c r="CY6" s="617"/>
      <c r="CZ6" s="617"/>
      <c r="DA6" s="617"/>
      <c r="DB6" s="617"/>
      <c r="DC6" s="617"/>
      <c r="DD6" s="617"/>
      <c r="DE6" s="617"/>
      <c r="DF6" s="617"/>
      <c r="DG6" s="617"/>
      <c r="DH6" s="617"/>
      <c r="DI6" s="619"/>
      <c r="DJ6" s="618">
        <v>2015</v>
      </c>
      <c r="DK6" s="617"/>
      <c r="DL6" s="617"/>
      <c r="DM6" s="617"/>
      <c r="DN6" s="617"/>
      <c r="DO6" s="617"/>
      <c r="DP6" s="617"/>
      <c r="DQ6" s="617"/>
      <c r="DR6" s="617"/>
      <c r="DS6" s="617"/>
      <c r="DT6" s="617"/>
      <c r="DU6" s="619"/>
    </row>
    <row r="7" spans="1:321">
      <c r="E7" s="62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0" t="s">
        <v>676</v>
      </c>
      <c r="F214" s="618">
        <v>2006</v>
      </c>
      <c r="G214" s="617"/>
      <c r="H214" s="617"/>
      <c r="I214" s="617"/>
      <c r="J214" s="617"/>
      <c r="K214" s="617"/>
      <c r="L214" s="617"/>
      <c r="M214" s="617"/>
      <c r="N214" s="617"/>
      <c r="O214" s="617"/>
      <c r="P214" s="617"/>
      <c r="Q214" s="619"/>
      <c r="R214" s="618">
        <v>2007</v>
      </c>
      <c r="S214" s="617"/>
      <c r="T214" s="617"/>
      <c r="U214" s="617"/>
      <c r="V214" s="617"/>
      <c r="W214" s="617"/>
      <c r="X214" s="617"/>
      <c r="Y214" s="617"/>
      <c r="Z214" s="617"/>
      <c r="AA214" s="617"/>
      <c r="AB214" s="617"/>
      <c r="AC214" s="619"/>
      <c r="AD214" s="618">
        <v>2008</v>
      </c>
      <c r="AE214" s="617"/>
      <c r="AF214" s="617"/>
      <c r="AG214" s="617"/>
      <c r="AH214" s="617"/>
      <c r="AI214" s="617"/>
      <c r="AJ214" s="617"/>
      <c r="AK214" s="617"/>
      <c r="AL214" s="617"/>
      <c r="AM214" s="617"/>
      <c r="AN214" s="617"/>
      <c r="AO214" s="619"/>
      <c r="AP214" s="618">
        <v>2009</v>
      </c>
      <c r="AQ214" s="617"/>
      <c r="AR214" s="617"/>
      <c r="AS214" s="617"/>
      <c r="AT214" s="617"/>
      <c r="AU214" s="617"/>
      <c r="AV214" s="617"/>
      <c r="AW214" s="617"/>
      <c r="AX214" s="617"/>
      <c r="AY214" s="617"/>
      <c r="AZ214" s="617"/>
      <c r="BA214" s="619"/>
      <c r="BB214" s="618">
        <v>2010</v>
      </c>
      <c r="BC214" s="617"/>
      <c r="BD214" s="617"/>
      <c r="BE214" s="617"/>
      <c r="BF214" s="617"/>
      <c r="BG214" s="617"/>
      <c r="BH214" s="617"/>
      <c r="BI214" s="617"/>
      <c r="BJ214" s="617"/>
      <c r="BK214" s="617"/>
      <c r="BL214" s="617"/>
      <c r="BM214" s="619"/>
      <c r="BN214" s="618">
        <v>2011</v>
      </c>
      <c r="BO214" s="617"/>
      <c r="BP214" s="617"/>
      <c r="BQ214" s="617"/>
      <c r="BR214" s="617"/>
      <c r="BS214" s="617"/>
      <c r="BT214" s="617"/>
      <c r="BU214" s="617"/>
      <c r="BV214" s="617"/>
      <c r="BW214" s="617"/>
      <c r="BX214" s="617"/>
      <c r="BY214" s="619"/>
      <c r="BZ214" s="617">
        <v>2012</v>
      </c>
      <c r="CA214" s="617"/>
      <c r="CB214" s="617"/>
      <c r="CC214" s="617"/>
      <c r="CD214" s="617"/>
      <c r="CE214" s="617"/>
      <c r="CF214" s="617"/>
      <c r="CG214" s="617"/>
      <c r="CH214" s="617"/>
      <c r="CI214" s="617"/>
      <c r="CJ214" s="617"/>
      <c r="CK214" s="617"/>
      <c r="CL214" s="618">
        <v>2013</v>
      </c>
      <c r="CM214" s="617"/>
      <c r="CN214" s="617"/>
      <c r="CO214" s="617"/>
      <c r="CP214" s="617"/>
      <c r="CQ214" s="617"/>
      <c r="CR214" s="617"/>
      <c r="CS214" s="617"/>
      <c r="CT214" s="617"/>
      <c r="CU214" s="617"/>
      <c r="CV214" s="617"/>
      <c r="CW214" s="619"/>
      <c r="CX214" s="618">
        <v>2014</v>
      </c>
      <c r="CY214" s="617"/>
      <c r="CZ214" s="617"/>
      <c r="DA214" s="617"/>
      <c r="DB214" s="617"/>
      <c r="DC214" s="617"/>
      <c r="DD214" s="617"/>
      <c r="DE214" s="617"/>
      <c r="DF214" s="617"/>
      <c r="DG214" s="617"/>
      <c r="DH214" s="617"/>
      <c r="DI214" s="619"/>
      <c r="DJ214" s="618">
        <v>2015</v>
      </c>
      <c r="DK214" s="617"/>
      <c r="DL214" s="617"/>
      <c r="DM214" s="617"/>
      <c r="DN214" s="617"/>
      <c r="DO214" s="617"/>
      <c r="DP214" s="617"/>
      <c r="DQ214" s="617"/>
      <c r="DR214" s="617"/>
      <c r="DS214" s="617"/>
      <c r="DT214" s="617"/>
      <c r="DU214" s="619"/>
    </row>
    <row r="215" spans="1:187">
      <c r="E215" s="62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Jul</v>
      </c>
    </row>
    <row r="245" spans="4:7">
      <c r="D245" s="49"/>
      <c r="E245" s="9"/>
      <c r="F245" s="10"/>
      <c r="G245" s="52" t="str">
        <f>+CONCATENATE("Jan - ",LEFT(G244,3))</f>
        <v>Jan - Jul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Jul</v>
      </c>
      <c r="F253" s="10" t="str">
        <f>+CONCATENATE("Analytics for period ",G245)</f>
        <v>Analytics for period Jan - Jul</v>
      </c>
      <c r="G253" s="52" t="str">
        <f>+IF(ISBLANK(IF($B$2=1,E253,F253)),"",IF($B$2=1,E253,F253))</f>
        <v>Analitika za period Jan - Jul</v>
      </c>
    </row>
    <row r="254" spans="4:7">
      <c r="D254" s="46"/>
      <c r="E254" s="9" t="str">
        <f>+CONCATENATE("Analitika za period ",G244)</f>
        <v>Analitika za period Jul</v>
      </c>
      <c r="F254" s="10" t="str">
        <f>+CONCATENATE("Analytics for period ",G244)</f>
        <v>Analytics for period Jul</v>
      </c>
      <c r="G254" s="52" t="str">
        <f>+IF(ISBLANK(IF($B$2=1,E254,F254)),"",IF($B$2=1,E254,F254))</f>
        <v>Analitika za period Jul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Jul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Jul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Jul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Jul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Jul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Jul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2021-08-31T05:35:04Z</dcterms:modified>
</cp:coreProperties>
</file>