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ena.milovic\Desktop\GDDS Mart\"/>
    </mc:Choice>
  </mc:AlternateContent>
  <xr:revisionPtr revIDLastSave="0" documentId="13_ncr:1_{9C31707C-E149-4F68-A2F0-A854318BE784}" xr6:coauthVersionLast="36" xr6:coauthVersionMax="36" xr10:uidLastSave="{00000000-0000-0000-0000-000000000000}"/>
  <workbookProtection workbookAlgorithmName="SHA-512" workbookHashValue="MJwkXbJotClL0xcCjNzikVldq4ui3YEBSxi6A38HSIdNMlYOR6whLP052wuAqcI+fmREsgfDhKYalKK8afV1Qg==" workbookSaltValue="OZlmjzTCJXg4QbINulBgVg==" workbookSpinCount="100000" lockStructure="1"/>
  <bookViews>
    <workbookView xWindow="0" yWindow="0" windowWidth="9585" windowHeight="595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'2022'!$A$81:$A$138</definedName>
    <definedName name="_2015plan" localSheetId="3">'2023'!$A$81:$A$138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E13" i="1" l="1"/>
  <c r="E17" i="1" s="1"/>
  <c r="E21" i="1" s="1"/>
  <c r="D17" i="1"/>
  <c r="D21" i="1" s="1"/>
  <c r="R40" i="25" l="1"/>
  <c r="G245" i="2" l="1"/>
  <c r="R121" i="26" l="1"/>
  <c r="Q121" i="26"/>
  <c r="P121" i="26"/>
  <c r="O121" i="26"/>
  <c r="N121" i="26"/>
  <c r="M121" i="26"/>
  <c r="L121" i="26"/>
  <c r="K121" i="26"/>
  <c r="J121" i="26"/>
  <c r="I121" i="26"/>
  <c r="H121" i="26"/>
  <c r="G121" i="26"/>
  <c r="R123" i="26"/>
  <c r="R120" i="26"/>
  <c r="R111" i="26"/>
  <c r="R113" i="26"/>
  <c r="R108" i="26"/>
  <c r="R107" i="26"/>
  <c r="R105" i="26"/>
  <c r="R40" i="26" l="1"/>
  <c r="A138" i="26"/>
  <c r="S137" i="26"/>
  <c r="T137" i="26" s="1"/>
  <c r="A137" i="26"/>
  <c r="S136" i="26"/>
  <c r="T136" i="26" s="1"/>
  <c r="A136" i="26"/>
  <c r="S135" i="26"/>
  <c r="T135" i="26" s="1"/>
  <c r="A135" i="26"/>
  <c r="A134" i="26"/>
  <c r="A133" i="26"/>
  <c r="S132" i="26"/>
  <c r="T132" i="26" s="1"/>
  <c r="A132" i="26"/>
  <c r="S131" i="26"/>
  <c r="T131" i="26" s="1"/>
  <c r="A131" i="26"/>
  <c r="S130" i="26"/>
  <c r="T130" i="26" s="1"/>
  <c r="A130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A129" i="26"/>
  <c r="A128" i="26"/>
  <c r="A127" i="26"/>
  <c r="S126" i="26"/>
  <c r="T126" i="26" s="1"/>
  <c r="A126" i="26"/>
  <c r="S125" i="26"/>
  <c r="T125" i="26" s="1"/>
  <c r="A125" i="26"/>
  <c r="S124" i="26"/>
  <c r="T124" i="26" s="1"/>
  <c r="A124" i="26"/>
  <c r="S123" i="26"/>
  <c r="A123" i="26"/>
  <c r="S122" i="26"/>
  <c r="T122" i="26" s="1"/>
  <c r="A122" i="26"/>
  <c r="S121" i="26"/>
  <c r="A121" i="26"/>
  <c r="S120" i="26"/>
  <c r="A120" i="26"/>
  <c r="S119" i="26"/>
  <c r="T119" i="26" s="1"/>
  <c r="A119" i="26"/>
  <c r="S118" i="26"/>
  <c r="T118" i="26" s="1"/>
  <c r="A118" i="26"/>
  <c r="S117" i="26"/>
  <c r="T117" i="26" s="1"/>
  <c r="A117" i="26"/>
  <c r="S116" i="26"/>
  <c r="T116" i="26" s="1"/>
  <c r="A116" i="26"/>
  <c r="S115" i="26"/>
  <c r="T115" i="26" s="1"/>
  <c r="A115" i="26"/>
  <c r="R114" i="26"/>
  <c r="Q114" i="26"/>
  <c r="P114" i="26"/>
  <c r="O114" i="26"/>
  <c r="N114" i="26"/>
  <c r="N103" i="26" s="1"/>
  <c r="M114" i="26"/>
  <c r="L114" i="26"/>
  <c r="K114" i="26"/>
  <c r="J114" i="26"/>
  <c r="I114" i="26"/>
  <c r="H114" i="26"/>
  <c r="G114" i="26"/>
  <c r="A114" i="26"/>
  <c r="S113" i="26"/>
  <c r="A113" i="26"/>
  <c r="S112" i="26"/>
  <c r="T112" i="26" s="1"/>
  <c r="A112" i="26"/>
  <c r="S111" i="26"/>
  <c r="A111" i="26"/>
  <c r="S110" i="26"/>
  <c r="T110" i="26" s="1"/>
  <c r="A110" i="26"/>
  <c r="S109" i="26"/>
  <c r="T109" i="26" s="1"/>
  <c r="A109" i="26"/>
  <c r="S108" i="26"/>
  <c r="A108" i="26"/>
  <c r="S107" i="26"/>
  <c r="A107" i="26"/>
  <c r="S106" i="26"/>
  <c r="T106" i="26" s="1"/>
  <c r="A106" i="26"/>
  <c r="S105" i="26"/>
  <c r="A105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A104" i="26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S95" i="26"/>
  <c r="T95" i="26" s="1"/>
  <c r="A95" i="26"/>
  <c r="S94" i="26"/>
  <c r="T94" i="26" s="1"/>
  <c r="A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S87" i="26"/>
  <c r="T87" i="26" s="1"/>
  <c r="A87" i="26"/>
  <c r="S86" i="26"/>
  <c r="T86" i="26" s="1"/>
  <c r="A86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A85" i="26"/>
  <c r="A84" i="26"/>
  <c r="T82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S63" i="26"/>
  <c r="S62" i="26"/>
  <c r="S61" i="26"/>
  <c r="S58" i="26"/>
  <c r="S57" i="26"/>
  <c r="S56" i="26"/>
  <c r="R55" i="26"/>
  <c r="Q55" i="26"/>
  <c r="P55" i="26"/>
  <c r="O55" i="26"/>
  <c r="N55" i="26"/>
  <c r="M55" i="26"/>
  <c r="L55" i="26"/>
  <c r="K55" i="26"/>
  <c r="J55" i="26"/>
  <c r="I55" i="26"/>
  <c r="N55" i="11" s="1"/>
  <c r="H55" i="26"/>
  <c r="G55" i="26"/>
  <c r="S52" i="26"/>
  <c r="S51" i="26"/>
  <c r="S50" i="26"/>
  <c r="S49" i="26"/>
  <c r="S48" i="26"/>
  <c r="S47" i="26"/>
  <c r="S46" i="26"/>
  <c r="S45" i="26"/>
  <c r="S44" i="26"/>
  <c r="S43" i="26"/>
  <c r="S42" i="26"/>
  <c r="S41" i="26"/>
  <c r="Q40" i="26"/>
  <c r="P40" i="26"/>
  <c r="O40" i="26"/>
  <c r="N40" i="26"/>
  <c r="M40" i="26"/>
  <c r="L40" i="26"/>
  <c r="L29" i="26" s="1"/>
  <c r="K40" i="26"/>
  <c r="J40" i="26"/>
  <c r="I40" i="26"/>
  <c r="N40" i="11" s="1"/>
  <c r="H40" i="26"/>
  <c r="G40" i="26"/>
  <c r="S39" i="26"/>
  <c r="S38" i="26"/>
  <c r="S37" i="26"/>
  <c r="S36" i="26"/>
  <c r="S35" i="26"/>
  <c r="S34" i="26"/>
  <c r="S33" i="26"/>
  <c r="S32" i="26"/>
  <c r="S31" i="26"/>
  <c r="R30" i="26"/>
  <c r="Q30" i="26"/>
  <c r="Q29" i="26" s="1"/>
  <c r="P30" i="26"/>
  <c r="O30" i="26"/>
  <c r="N30" i="26"/>
  <c r="N29" i="26" s="1"/>
  <c r="M30" i="26"/>
  <c r="M29" i="26" s="1"/>
  <c r="L30" i="26"/>
  <c r="K30" i="26"/>
  <c r="J30" i="26"/>
  <c r="J29" i="26" s="1"/>
  <c r="I30" i="26"/>
  <c r="H30" i="26"/>
  <c r="G30" i="26"/>
  <c r="S28" i="26"/>
  <c r="S27" i="26"/>
  <c r="S26" i="26"/>
  <c r="S25" i="26"/>
  <c r="S24" i="26"/>
  <c r="S23" i="26"/>
  <c r="S22" i="26"/>
  <c r="S21" i="26"/>
  <c r="S20" i="26"/>
  <c r="R19" i="26"/>
  <c r="Q19" i="26"/>
  <c r="Q10" i="26" s="1"/>
  <c r="P19" i="26"/>
  <c r="O19" i="26"/>
  <c r="N19" i="26"/>
  <c r="M19" i="26"/>
  <c r="L19" i="26"/>
  <c r="K19" i="26"/>
  <c r="J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L11" i="26"/>
  <c r="K11" i="26"/>
  <c r="J11" i="26"/>
  <c r="I11" i="26"/>
  <c r="N11" i="11" s="1"/>
  <c r="H11" i="26"/>
  <c r="G11" i="26"/>
  <c r="R5" i="26"/>
  <c r="Q5" i="26"/>
  <c r="P5" i="26"/>
  <c r="O5" i="26"/>
  <c r="N5" i="26"/>
  <c r="M5" i="26"/>
  <c r="L5" i="26"/>
  <c r="K5" i="26"/>
  <c r="J5" i="26"/>
  <c r="I5" i="26"/>
  <c r="H5" i="26"/>
  <c r="G5" i="26"/>
  <c r="T58" i="26" l="1"/>
  <c r="G58" i="11"/>
  <c r="T52" i="26"/>
  <c r="G52" i="11"/>
  <c r="T63" i="26"/>
  <c r="G63" i="11"/>
  <c r="T62" i="26"/>
  <c r="G62" i="11"/>
  <c r="T61" i="26"/>
  <c r="G61" i="11"/>
  <c r="T57" i="26"/>
  <c r="G57" i="11"/>
  <c r="T56" i="26"/>
  <c r="G56" i="11"/>
  <c r="T51" i="26"/>
  <c r="G51" i="11"/>
  <c r="T50" i="26"/>
  <c r="G50" i="11"/>
  <c r="T49" i="26"/>
  <c r="G49" i="11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I29" i="26"/>
  <c r="N29" i="11" s="1"/>
  <c r="N30" i="11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T16" i="26"/>
  <c r="G16" i="11"/>
  <c r="T13" i="26"/>
  <c r="G13" i="11"/>
  <c r="T17" i="26"/>
  <c r="G17" i="11"/>
  <c r="T31" i="26"/>
  <c r="G31" i="11"/>
  <c r="H29" i="26"/>
  <c r="K29" i="26"/>
  <c r="O29" i="26"/>
  <c r="R103" i="26"/>
  <c r="J10" i="26"/>
  <c r="N10" i="26"/>
  <c r="N53" i="26" s="1"/>
  <c r="R10" i="26"/>
  <c r="P29" i="26"/>
  <c r="H84" i="26"/>
  <c r="P84" i="26"/>
  <c r="S19" i="26"/>
  <c r="T123" i="26"/>
  <c r="T121" i="26"/>
  <c r="T120" i="26"/>
  <c r="T113" i="26"/>
  <c r="T111" i="26"/>
  <c r="T108" i="26"/>
  <c r="T107" i="26"/>
  <c r="T105" i="26"/>
  <c r="G29" i="26"/>
  <c r="J84" i="26"/>
  <c r="N84" i="26"/>
  <c r="N127" i="26" s="1"/>
  <c r="N128" i="26" s="1"/>
  <c r="R84" i="26"/>
  <c r="R127" i="26" s="1"/>
  <c r="R128" i="26" s="1"/>
  <c r="S93" i="26"/>
  <c r="T93" i="26" s="1"/>
  <c r="O84" i="26"/>
  <c r="G103" i="26"/>
  <c r="K103" i="26"/>
  <c r="O103" i="26"/>
  <c r="Q103" i="26"/>
  <c r="J103" i="26"/>
  <c r="I103" i="26"/>
  <c r="M103" i="26"/>
  <c r="S129" i="26"/>
  <c r="T129" i="26" s="1"/>
  <c r="H103" i="26"/>
  <c r="L103" i="26"/>
  <c r="P103" i="26"/>
  <c r="O127" i="26"/>
  <c r="O128" i="26" s="1"/>
  <c r="S114" i="26"/>
  <c r="T114" i="26" s="1"/>
  <c r="S104" i="26"/>
  <c r="G84" i="26"/>
  <c r="K84" i="26"/>
  <c r="K127" i="26" s="1"/>
  <c r="K128" i="26" s="1"/>
  <c r="L84" i="26"/>
  <c r="I84" i="26"/>
  <c r="M84" i="26"/>
  <c r="Q84" i="26"/>
  <c r="R29" i="26"/>
  <c r="S55" i="26"/>
  <c r="S40" i="26"/>
  <c r="K10" i="26"/>
  <c r="K53" i="26" s="1"/>
  <c r="K54" i="26" s="1"/>
  <c r="O10" i="26"/>
  <c r="H10" i="26"/>
  <c r="L10" i="26"/>
  <c r="L53" i="26" s="1"/>
  <c r="L54" i="26" s="1"/>
  <c r="P10" i="26"/>
  <c r="P53" i="26" s="1"/>
  <c r="P59" i="26" s="1"/>
  <c r="P64" i="26" s="1"/>
  <c r="P60" i="26" s="1"/>
  <c r="I10" i="26"/>
  <c r="M10" i="26"/>
  <c r="M53" i="26" s="1"/>
  <c r="S11" i="26"/>
  <c r="K59" i="26"/>
  <c r="K64" i="26" s="1"/>
  <c r="K60" i="26" s="1"/>
  <c r="Q53" i="26"/>
  <c r="J53" i="26"/>
  <c r="R53" i="26"/>
  <c r="S30" i="26"/>
  <c r="S85" i="26"/>
  <c r="T85" i="26" s="1"/>
  <c r="G10" i="26"/>
  <c r="T55" i="26" l="1"/>
  <c r="G55" i="11"/>
  <c r="T40" i="26"/>
  <c r="G40" i="11"/>
  <c r="D16" i="1"/>
  <c r="E16" i="1" s="1"/>
  <c r="I53" i="26"/>
  <c r="I54" i="26" s="1"/>
  <c r="N54" i="11" s="1"/>
  <c r="N10" i="11"/>
  <c r="D12" i="1" s="1"/>
  <c r="E12" i="1" s="1"/>
  <c r="T19" i="26"/>
  <c r="G19" i="11"/>
  <c r="T11" i="26"/>
  <c r="G11" i="11"/>
  <c r="T30" i="26"/>
  <c r="G30" i="11"/>
  <c r="O53" i="26"/>
  <c r="O59" i="26" s="1"/>
  <c r="O64" i="26" s="1"/>
  <c r="O60" i="26" s="1"/>
  <c r="H53" i="26"/>
  <c r="P127" i="26"/>
  <c r="P128" i="26" s="1"/>
  <c r="J127" i="26"/>
  <c r="J133" i="26" s="1"/>
  <c r="J138" i="26" s="1"/>
  <c r="J134" i="26" s="1"/>
  <c r="S29" i="26"/>
  <c r="T104" i="26"/>
  <c r="I127" i="26"/>
  <c r="I128" i="26" s="1"/>
  <c r="Q127" i="26"/>
  <c r="Q133" i="26" s="1"/>
  <c r="Q138" i="26" s="1"/>
  <c r="Q134" i="26" s="1"/>
  <c r="M127" i="26"/>
  <c r="M133" i="26" s="1"/>
  <c r="M138" i="26" s="1"/>
  <c r="M134" i="26" s="1"/>
  <c r="G127" i="26"/>
  <c r="R133" i="26"/>
  <c r="R138" i="26" s="1"/>
  <c r="R134" i="26" s="1"/>
  <c r="S103" i="26"/>
  <c r="N133" i="26"/>
  <c r="N138" i="26" s="1"/>
  <c r="N134" i="26" s="1"/>
  <c r="O133" i="26"/>
  <c r="O138" i="26" s="1"/>
  <c r="O134" i="26" s="1"/>
  <c r="H127" i="26"/>
  <c r="J128" i="26"/>
  <c r="L127" i="26"/>
  <c r="K133" i="26"/>
  <c r="K138" i="26" s="1"/>
  <c r="K134" i="26" s="1"/>
  <c r="S84" i="26"/>
  <c r="T84" i="26" s="1"/>
  <c r="P54" i="26"/>
  <c r="L59" i="26"/>
  <c r="L64" i="26" s="1"/>
  <c r="L60" i="26" s="1"/>
  <c r="O54" i="26"/>
  <c r="J59" i="26"/>
  <c r="J64" i="26" s="1"/>
  <c r="J60" i="26" s="1"/>
  <c r="J54" i="26"/>
  <c r="M54" i="26"/>
  <c r="M59" i="26"/>
  <c r="M64" i="26" s="1"/>
  <c r="M60" i="26" s="1"/>
  <c r="Q59" i="26"/>
  <c r="Q64" i="26" s="1"/>
  <c r="Q60" i="26" s="1"/>
  <c r="Q54" i="26"/>
  <c r="G53" i="26"/>
  <c r="S10" i="26"/>
  <c r="R59" i="26"/>
  <c r="R64" i="26" s="1"/>
  <c r="R60" i="26" s="1"/>
  <c r="R54" i="26"/>
  <c r="N59" i="26"/>
  <c r="N64" i="26" s="1"/>
  <c r="N60" i="26" s="1"/>
  <c r="N54" i="26"/>
  <c r="I59" i="26" l="1"/>
  <c r="N53" i="11"/>
  <c r="D20" i="1" s="1"/>
  <c r="E20" i="1" s="1"/>
  <c r="T29" i="26"/>
  <c r="G29" i="11"/>
  <c r="G16" i="1" s="1"/>
  <c r="H16" i="1" s="1"/>
  <c r="P133" i="26"/>
  <c r="P138" i="26" s="1"/>
  <c r="P134" i="26" s="1"/>
  <c r="H133" i="26"/>
  <c r="H59" i="26"/>
  <c r="H54" i="26"/>
  <c r="T10" i="26"/>
  <c r="G10" i="11"/>
  <c r="G133" i="26"/>
  <c r="T103" i="26"/>
  <c r="I133" i="26"/>
  <c r="I138" i="26" s="1"/>
  <c r="I134" i="26" s="1"/>
  <c r="Q128" i="26"/>
  <c r="M128" i="26"/>
  <c r="G128" i="26"/>
  <c r="S127" i="26"/>
  <c r="T127" i="26" s="1"/>
  <c r="H128" i="26"/>
  <c r="L128" i="26"/>
  <c r="L133" i="26"/>
  <c r="G59" i="26"/>
  <c r="S53" i="26"/>
  <c r="G54" i="26"/>
  <c r="G11" i="2"/>
  <c r="G12" i="1" l="1"/>
  <c r="H12" i="1" s="1"/>
  <c r="I10" i="11"/>
  <c r="I64" i="26"/>
  <c r="N59" i="11"/>
  <c r="T53" i="26"/>
  <c r="G53" i="11"/>
  <c r="G20" i="1" s="1"/>
  <c r="H20" i="1" s="1"/>
  <c r="H138" i="26"/>
  <c r="H64" i="26"/>
  <c r="G138" i="26"/>
  <c r="S54" i="26"/>
  <c r="S128" i="26"/>
  <c r="T128" i="26" s="1"/>
  <c r="L138" i="26"/>
  <c r="S133" i="26"/>
  <c r="T133" i="26" s="1"/>
  <c r="G64" i="26"/>
  <c r="S59" i="26"/>
  <c r="I60" i="26" l="1"/>
  <c r="N60" i="11" s="1"/>
  <c r="N64" i="11"/>
  <c r="T54" i="26"/>
  <c r="G54" i="11"/>
  <c r="T59" i="26"/>
  <c r="G59" i="11"/>
  <c r="H134" i="26"/>
  <c r="H60" i="26"/>
  <c r="G134" i="26"/>
  <c r="L134" i="26"/>
  <c r="S134" i="26" s="1"/>
  <c r="T134" i="26" s="1"/>
  <c r="S138" i="26"/>
  <c r="T138" i="26" s="1"/>
  <c r="S64" i="26"/>
  <c r="G60" i="26"/>
  <c r="J19" i="25"/>
  <c r="J11" i="25"/>
  <c r="J10" i="25" s="1"/>
  <c r="T64" i="26" l="1"/>
  <c r="G64" i="11"/>
  <c r="S60" i="26"/>
  <c r="T60" i="26" l="1"/>
  <c r="G60" i="11"/>
  <c r="S86" i="22"/>
  <c r="Q17" i="11" l="1"/>
  <c r="S19" i="20" l="1"/>
  <c r="L19" i="25" l="1"/>
  <c r="L11" i="25"/>
  <c r="S121" i="25" l="1"/>
  <c r="A138" i="25" l="1"/>
  <c r="S137" i="25"/>
  <c r="A137" i="25"/>
  <c r="S136" i="25"/>
  <c r="A136" i="25"/>
  <c r="S135" i="25"/>
  <c r="A135" i="25"/>
  <c r="A134" i="25"/>
  <c r="A133" i="25"/>
  <c r="S132" i="25"/>
  <c r="T132" i="25" s="1"/>
  <c r="A132" i="25"/>
  <c r="S131" i="25"/>
  <c r="T131" i="25" s="1"/>
  <c r="A131" i="25"/>
  <c r="S130" i="25"/>
  <c r="T130" i="25" s="1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A129" i="25"/>
  <c r="A128" i="25"/>
  <c r="A127" i="25"/>
  <c r="S126" i="25"/>
  <c r="T126" i="25" s="1"/>
  <c r="A126" i="25"/>
  <c r="S125" i="25"/>
  <c r="T125" i="25" s="1"/>
  <c r="A125" i="25"/>
  <c r="S124" i="25"/>
  <c r="A124" i="25"/>
  <c r="S123" i="25"/>
  <c r="T123" i="25" s="1"/>
  <c r="A123" i="25"/>
  <c r="S122" i="25"/>
  <c r="T122" i="25" s="1"/>
  <c r="A122" i="25"/>
  <c r="T121" i="25"/>
  <c r="A121" i="25"/>
  <c r="A120" i="25"/>
  <c r="S119" i="25"/>
  <c r="T119" i="25" s="1"/>
  <c r="A119" i="25"/>
  <c r="S118" i="25"/>
  <c r="A118" i="25"/>
  <c r="S117" i="25"/>
  <c r="A117" i="25"/>
  <c r="S116" i="25"/>
  <c r="T116" i="25" s="1"/>
  <c r="A116" i="25"/>
  <c r="S115" i="25"/>
  <c r="T115" i="25" s="1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A114" i="25"/>
  <c r="S113" i="25"/>
  <c r="A113" i="25"/>
  <c r="S112" i="25"/>
  <c r="T112" i="25" s="1"/>
  <c r="A112" i="25"/>
  <c r="S111" i="25"/>
  <c r="A111" i="25"/>
  <c r="S110" i="25"/>
  <c r="T110" i="25" s="1"/>
  <c r="A110" i="25"/>
  <c r="S109" i="25"/>
  <c r="T109" i="25" s="1"/>
  <c r="A109" i="25"/>
  <c r="S108" i="25"/>
  <c r="A108" i="25"/>
  <c r="S107" i="25"/>
  <c r="A107" i="25"/>
  <c r="S106" i="25"/>
  <c r="A106" i="25"/>
  <c r="S105" i="25"/>
  <c r="T105" i="25" s="1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A104" i="25"/>
  <c r="A103" i="25"/>
  <c r="S102" i="25"/>
  <c r="T102" i="25" s="1"/>
  <c r="A102" i="25"/>
  <c r="S101" i="25"/>
  <c r="A101" i="25"/>
  <c r="S100" i="25"/>
  <c r="A100" i="25"/>
  <c r="S99" i="25"/>
  <c r="T99" i="25" s="1"/>
  <c r="A99" i="25"/>
  <c r="S98" i="25"/>
  <c r="T98" i="25" s="1"/>
  <c r="A98" i="25"/>
  <c r="S97" i="25"/>
  <c r="T97" i="25" s="1"/>
  <c r="A97" i="25"/>
  <c r="S96" i="25"/>
  <c r="A96" i="25"/>
  <c r="S95" i="25"/>
  <c r="T95" i="25" s="1"/>
  <c r="A95" i="25"/>
  <c r="S94" i="25"/>
  <c r="A94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A93" i="25"/>
  <c r="S92" i="25"/>
  <c r="T92" i="25" s="1"/>
  <c r="A92" i="25"/>
  <c r="S91" i="25"/>
  <c r="T91" i="25" s="1"/>
  <c r="A91" i="25"/>
  <c r="S90" i="25"/>
  <c r="A90" i="25"/>
  <c r="S89" i="25"/>
  <c r="T89" i="25" s="1"/>
  <c r="A89" i="25"/>
  <c r="S88" i="25"/>
  <c r="A88" i="25"/>
  <c r="S87" i="25"/>
  <c r="T87" i="25" s="1"/>
  <c r="A87" i="25"/>
  <c r="S86" i="25"/>
  <c r="T86" i="25" s="1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A85" i="25"/>
  <c r="A84" i="25"/>
  <c r="T82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S63" i="25"/>
  <c r="S62" i="25"/>
  <c r="S61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4" i="25" l="1"/>
  <c r="R84" i="25"/>
  <c r="R10" i="25"/>
  <c r="G10" i="25"/>
  <c r="N10" i="25"/>
  <c r="T58" i="25"/>
  <c r="Q29" i="25"/>
  <c r="T101" i="25"/>
  <c r="T94" i="25"/>
  <c r="T88" i="25"/>
  <c r="T90" i="25"/>
  <c r="T96" i="25"/>
  <c r="T100" i="25"/>
  <c r="T137" i="25"/>
  <c r="T136" i="25"/>
  <c r="T135" i="25"/>
  <c r="T124" i="25"/>
  <c r="T118" i="25"/>
  <c r="T117" i="25"/>
  <c r="T113" i="25"/>
  <c r="T111" i="25"/>
  <c r="T108" i="25"/>
  <c r="T107" i="25"/>
  <c r="T106" i="25"/>
  <c r="H84" i="25"/>
  <c r="P84" i="25"/>
  <c r="N84" i="25"/>
  <c r="J84" i="25"/>
  <c r="O29" i="25"/>
  <c r="M29" i="25"/>
  <c r="K29" i="25"/>
  <c r="T61" i="25"/>
  <c r="T52" i="25"/>
  <c r="T50" i="25"/>
  <c r="I29" i="25"/>
  <c r="T62" i="25"/>
  <c r="T63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3" i="25"/>
  <c r="M103" i="25"/>
  <c r="H103" i="25"/>
  <c r="J103" i="25"/>
  <c r="L103" i="25"/>
  <c r="N103" i="25"/>
  <c r="S85" i="25"/>
  <c r="S114" i="25"/>
  <c r="T114" i="25" s="1"/>
  <c r="K103" i="25"/>
  <c r="O103" i="25"/>
  <c r="S30" i="25"/>
  <c r="I10" i="25"/>
  <c r="K10" i="25"/>
  <c r="M10" i="25"/>
  <c r="O10" i="25"/>
  <c r="Q10" i="25"/>
  <c r="L10" i="25"/>
  <c r="P10" i="25"/>
  <c r="H10" i="25"/>
  <c r="G84" i="25"/>
  <c r="I84" i="25"/>
  <c r="K84" i="25"/>
  <c r="M84" i="25"/>
  <c r="O84" i="25"/>
  <c r="Q84" i="25"/>
  <c r="G103" i="25"/>
  <c r="H29" i="25"/>
  <c r="J29" i="25"/>
  <c r="J53" i="25" s="1"/>
  <c r="L29" i="25"/>
  <c r="N29" i="25"/>
  <c r="P29" i="25"/>
  <c r="R29" i="25"/>
  <c r="S40" i="25"/>
  <c r="G29" i="25"/>
  <c r="S19" i="25"/>
  <c r="S11" i="25"/>
  <c r="S55" i="25"/>
  <c r="S93" i="25"/>
  <c r="S104" i="25"/>
  <c r="T104" i="25" s="1"/>
  <c r="S129" i="25"/>
  <c r="T129" i="25" s="1"/>
  <c r="N53" i="25" l="1"/>
  <c r="N54" i="25" s="1"/>
  <c r="I53" i="25"/>
  <c r="I54" i="25" s="1"/>
  <c r="R53" i="25"/>
  <c r="O53" i="25"/>
  <c r="O59" i="25" s="1"/>
  <c r="O64" i="25" s="1"/>
  <c r="O60" i="25" s="1"/>
  <c r="Q53" i="25"/>
  <c r="T85" i="25"/>
  <c r="T93" i="25"/>
  <c r="I127" i="25"/>
  <c r="I133" i="25" s="1"/>
  <c r="I138" i="25" s="1"/>
  <c r="P53" i="25"/>
  <c r="M53" i="25"/>
  <c r="M54" i="25" s="1"/>
  <c r="K53" i="25"/>
  <c r="K59" i="25" s="1"/>
  <c r="K64" i="25" s="1"/>
  <c r="K60" i="25" s="1"/>
  <c r="T55" i="25"/>
  <c r="T40" i="25"/>
  <c r="T30" i="25"/>
  <c r="T19" i="25"/>
  <c r="T11" i="25"/>
  <c r="M127" i="25"/>
  <c r="M128" i="25" s="1"/>
  <c r="O127" i="25"/>
  <c r="O128" i="25" s="1"/>
  <c r="N127" i="25"/>
  <c r="N128" i="25" s="1"/>
  <c r="K127" i="25"/>
  <c r="K133" i="25" s="1"/>
  <c r="L127" i="25"/>
  <c r="L133" i="25" s="1"/>
  <c r="J127" i="25"/>
  <c r="J128" i="25" s="1"/>
  <c r="H127" i="25"/>
  <c r="H133" i="25" s="1"/>
  <c r="G53" i="25"/>
  <c r="G127" i="25"/>
  <c r="L53" i="25"/>
  <c r="L54" i="25" s="1"/>
  <c r="S10" i="25"/>
  <c r="H53" i="25"/>
  <c r="S84" i="25"/>
  <c r="T84" i="25" s="1"/>
  <c r="S29" i="25"/>
  <c r="J54" i="25"/>
  <c r="J59" i="25"/>
  <c r="J64" i="25" s="1"/>
  <c r="J60" i="25" s="1"/>
  <c r="N59" i="25" l="1"/>
  <c r="N64" i="25" s="1"/>
  <c r="N60" i="25" s="1"/>
  <c r="H138" i="25"/>
  <c r="H134" i="25" s="1"/>
  <c r="L138" i="25"/>
  <c r="L134" i="25" s="1"/>
  <c r="K138" i="25"/>
  <c r="K134" i="25" s="1"/>
  <c r="I59" i="25"/>
  <c r="I64" i="25" s="1"/>
  <c r="R59" i="25"/>
  <c r="O54" i="25"/>
  <c r="G59" i="25"/>
  <c r="S53" i="25"/>
  <c r="R54" i="25"/>
  <c r="Q54" i="25"/>
  <c r="Q59" i="25"/>
  <c r="P54" i="25"/>
  <c r="P59" i="25"/>
  <c r="P64" i="25" s="1"/>
  <c r="I128" i="25"/>
  <c r="M133" i="25"/>
  <c r="M59" i="25"/>
  <c r="K54" i="25"/>
  <c r="T29" i="25"/>
  <c r="H54" i="25"/>
  <c r="T10" i="25"/>
  <c r="O133" i="25"/>
  <c r="G54" i="25"/>
  <c r="G128" i="25"/>
  <c r="L128" i="25"/>
  <c r="K128" i="25"/>
  <c r="N133" i="25"/>
  <c r="J133" i="25"/>
  <c r="H128" i="25"/>
  <c r="G133" i="25"/>
  <c r="G138" i="25" s="1"/>
  <c r="L59" i="25"/>
  <c r="L64" i="25" s="1"/>
  <c r="L60" i="25" s="1"/>
  <c r="H59" i="25"/>
  <c r="G5" i="22"/>
  <c r="H5" i="22"/>
  <c r="I5" i="22"/>
  <c r="J5" i="22"/>
  <c r="K5" i="22"/>
  <c r="L5" i="22"/>
  <c r="M5" i="22"/>
  <c r="N5" i="22"/>
  <c r="O5" i="22"/>
  <c r="J138" i="25" l="1"/>
  <c r="J134" i="25" s="1"/>
  <c r="M138" i="25"/>
  <c r="M134" i="25" s="1"/>
  <c r="N138" i="25"/>
  <c r="N134" i="25" s="1"/>
  <c r="O138" i="25"/>
  <c r="O134" i="25" s="1"/>
  <c r="G64" i="25"/>
  <c r="R64" i="25"/>
  <c r="Q64" i="25"/>
  <c r="M64" i="25"/>
  <c r="M60" i="25" s="1"/>
  <c r="P60" i="25"/>
  <c r="I134" i="25"/>
  <c r="I60" i="25"/>
  <c r="H64" i="25"/>
  <c r="T53" i="25"/>
  <c r="S54" i="25"/>
  <c r="S59" i="25"/>
  <c r="G60" i="25"/>
  <c r="P19" i="22"/>
  <c r="R60" i="25" l="1"/>
  <c r="S64" i="25"/>
  <c r="Q60" i="25"/>
  <c r="T54" i="25"/>
  <c r="T59" i="25"/>
  <c r="H60" i="25"/>
  <c r="G134" i="25"/>
  <c r="S121" i="22"/>
  <c r="T64" i="25" l="1"/>
  <c r="S60" i="25"/>
  <c r="T60" i="25" s="1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2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L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S23" i="20" s="1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S14" i="20" s="1"/>
  <c r="G15" i="20"/>
  <c r="G16" i="20"/>
  <c r="G17" i="20"/>
  <c r="G18" i="20"/>
  <c r="S18" i="20" s="1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S17" i="20" l="1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150" i="21" l="1"/>
  <c r="S10" i="20"/>
  <c r="E5" i="20"/>
  <c r="N55" i="2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4" i="2"/>
  <c r="M60" i="11" l="1"/>
  <c r="L60" i="1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2" i="26" s="1"/>
  <c r="G242" i="2"/>
  <c r="Q8" i="26" s="1"/>
  <c r="Q82" i="26" s="1"/>
  <c r="G241" i="2"/>
  <c r="G240" i="2"/>
  <c r="O8" i="26" s="1"/>
  <c r="O82" i="26" s="1"/>
  <c r="G239" i="2"/>
  <c r="N8" i="26" s="1"/>
  <c r="N82" i="26" s="1"/>
  <c r="G238" i="2"/>
  <c r="M8" i="26" s="1"/>
  <c r="M82" i="26" s="1"/>
  <c r="G237" i="2"/>
  <c r="G236" i="2"/>
  <c r="K8" i="26" s="1"/>
  <c r="K82" i="26" s="1"/>
  <c r="G235" i="2"/>
  <c r="J8" i="26" s="1"/>
  <c r="J82" i="26" s="1"/>
  <c r="G234" i="2"/>
  <c r="I8" i="26" s="1"/>
  <c r="I82" i="26" s="1"/>
  <c r="G233" i="2"/>
  <c r="H8" i="26" s="1"/>
  <c r="H82" i="26" s="1"/>
  <c r="G232" i="2"/>
  <c r="G8" i="26" s="1"/>
  <c r="G82" i="26" s="1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S385" i="6" s="1"/>
  <c r="DR386" i="6"/>
  <c r="DQ386" i="6"/>
  <c r="DP386" i="6"/>
  <c r="DO386" i="6"/>
  <c r="DO385" i="6" s="1"/>
  <c r="DN386" i="6"/>
  <c r="DM386" i="6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CV320" i="6"/>
  <c r="DE350" i="6"/>
  <c r="CZ385" i="6"/>
  <c r="DP385" i="6"/>
  <c r="CS350" i="6"/>
  <c r="DA350" i="6"/>
  <c r="DD320" i="6" l="1"/>
  <c r="CT350" i="6"/>
  <c r="DR350" i="6"/>
  <c r="B15" i="26"/>
  <c r="B89" i="26"/>
  <c r="B62" i="26"/>
  <c r="B136" i="26"/>
  <c r="B50" i="26"/>
  <c r="B124" i="26"/>
  <c r="B60" i="26"/>
  <c r="B134" i="26"/>
  <c r="B81" i="25"/>
  <c r="B81" i="26"/>
  <c r="CL320" i="6"/>
  <c r="B12" i="26"/>
  <c r="B86" i="26"/>
  <c r="B16" i="26"/>
  <c r="B90" i="26"/>
  <c r="B20" i="26"/>
  <c r="B94" i="26"/>
  <c r="B24" i="26"/>
  <c r="B98" i="26"/>
  <c r="B29" i="26"/>
  <c r="B103" i="26"/>
  <c r="B34" i="26"/>
  <c r="B108" i="26"/>
  <c r="B41" i="26"/>
  <c r="B115" i="26"/>
  <c r="B42" i="26"/>
  <c r="B116" i="26"/>
  <c r="B45" i="26"/>
  <c r="B119" i="26"/>
  <c r="B46" i="26"/>
  <c r="B120" i="26"/>
  <c r="B54" i="26"/>
  <c r="B128" i="26"/>
  <c r="B11" i="26"/>
  <c r="B85" i="26"/>
  <c r="B23" i="26"/>
  <c r="B97" i="26"/>
  <c r="B25" i="26"/>
  <c r="B99" i="26"/>
  <c r="B63" i="26"/>
  <c r="B137" i="26"/>
  <c r="B40" i="26"/>
  <c r="B114" i="26"/>
  <c r="B55" i="26"/>
  <c r="B129" i="26"/>
  <c r="B53" i="26"/>
  <c r="B127" i="26"/>
  <c r="B15" i="11"/>
  <c r="E2" i="25"/>
  <c r="E2" i="26"/>
  <c r="B10" i="26"/>
  <c r="B84" i="26"/>
  <c r="B13" i="26"/>
  <c r="B87" i="26"/>
  <c r="B17" i="26"/>
  <c r="B91" i="26"/>
  <c r="B21" i="26"/>
  <c r="B95" i="26"/>
  <c r="B26" i="26"/>
  <c r="B100" i="26"/>
  <c r="B28" i="26"/>
  <c r="B102" i="26"/>
  <c r="B32" i="26"/>
  <c r="B106" i="26"/>
  <c r="B33" i="26"/>
  <c r="B107" i="26"/>
  <c r="B37" i="26"/>
  <c r="B111" i="26"/>
  <c r="B38" i="26"/>
  <c r="B112" i="26"/>
  <c r="B39" i="26"/>
  <c r="B113" i="26"/>
  <c r="B48" i="26"/>
  <c r="B122" i="26"/>
  <c r="B56" i="26"/>
  <c r="B130" i="26"/>
  <c r="B64" i="26"/>
  <c r="B138" i="26"/>
  <c r="S7" i="25"/>
  <c r="S81" i="25" s="1"/>
  <c r="S7" i="26"/>
  <c r="S81" i="26" s="1"/>
  <c r="B19" i="26"/>
  <c r="B93" i="26"/>
  <c r="B31" i="26"/>
  <c r="B105" i="26"/>
  <c r="B49" i="26"/>
  <c r="B123" i="26"/>
  <c r="CL350" i="6"/>
  <c r="CP350" i="6"/>
  <c r="CX350" i="6"/>
  <c r="DB350" i="6"/>
  <c r="DF350" i="6"/>
  <c r="DJ350" i="6"/>
  <c r="DN350" i="6"/>
  <c r="DM385" i="6"/>
  <c r="DU385" i="6"/>
  <c r="B14" i="26"/>
  <c r="B88" i="26"/>
  <c r="B18" i="26"/>
  <c r="B92" i="26"/>
  <c r="B22" i="26"/>
  <c r="B96" i="26"/>
  <c r="B27" i="26"/>
  <c r="B101" i="26"/>
  <c r="B61" i="26"/>
  <c r="B135" i="26"/>
  <c r="B30" i="26"/>
  <c r="B104" i="26"/>
  <c r="B35" i="26"/>
  <c r="B109" i="26"/>
  <c r="B36" i="26"/>
  <c r="B110" i="26"/>
  <c r="B43" i="26"/>
  <c r="B117" i="26"/>
  <c r="B44" i="26"/>
  <c r="B118" i="26"/>
  <c r="B47" i="26"/>
  <c r="B121" i="26"/>
  <c r="B58" i="26"/>
  <c r="B132" i="26"/>
  <c r="B57" i="26"/>
  <c r="B131" i="26"/>
  <c r="B51" i="26"/>
  <c r="B125" i="26"/>
  <c r="B59" i="26"/>
  <c r="B133" i="26"/>
  <c r="B52" i="26"/>
  <c r="B126" i="26"/>
  <c r="L8" i="25"/>
  <c r="L82" i="25" s="1"/>
  <c r="L8" i="26"/>
  <c r="L82" i="26" s="1"/>
  <c r="P8" i="25"/>
  <c r="P82" i="25" s="1"/>
  <c r="P8" i="26"/>
  <c r="P82" i="26" s="1"/>
  <c r="B24" i="25"/>
  <c r="B98" i="25"/>
  <c r="B41" i="25"/>
  <c r="B115" i="25"/>
  <c r="N8" i="22"/>
  <c r="N82" i="22" s="1"/>
  <c r="N8" i="25"/>
  <c r="N82" i="25" s="1"/>
  <c r="B10" i="25"/>
  <c r="B84" i="25"/>
  <c r="B13" i="25"/>
  <c r="B87" i="25"/>
  <c r="B17" i="25"/>
  <c r="B91" i="25"/>
  <c r="B95" i="25"/>
  <c r="B21" i="25"/>
  <c r="B26" i="25"/>
  <c r="B100" i="25"/>
  <c r="B28" i="25"/>
  <c r="B102" i="25"/>
  <c r="B106" i="25"/>
  <c r="B32" i="25"/>
  <c r="B107" i="25"/>
  <c r="B33" i="25"/>
  <c r="B111" i="25"/>
  <c r="B37" i="25"/>
  <c r="B38" i="25"/>
  <c r="B112" i="25"/>
  <c r="B113" i="25"/>
  <c r="B39" i="25"/>
  <c r="B122" i="25"/>
  <c r="B48" i="25"/>
  <c r="B130" i="25"/>
  <c r="B56" i="25"/>
  <c r="B138" i="25"/>
  <c r="B64" i="25"/>
  <c r="G8" i="22"/>
  <c r="G82" i="22" s="1"/>
  <c r="G8" i="25"/>
  <c r="G82" i="25" s="1"/>
  <c r="K8" i="22"/>
  <c r="K82" i="22" s="1"/>
  <c r="K8" i="25"/>
  <c r="K82" i="25" s="1"/>
  <c r="O8" i="22"/>
  <c r="O82" i="22" s="1"/>
  <c r="O8" i="25"/>
  <c r="O82" i="25" s="1"/>
  <c r="B12" i="25"/>
  <c r="B86" i="25"/>
  <c r="B20" i="25"/>
  <c r="B94" i="25"/>
  <c r="B103" i="25"/>
  <c r="B29" i="25"/>
  <c r="B116" i="25"/>
  <c r="B42" i="25"/>
  <c r="B120" i="25"/>
  <c r="B46" i="25"/>
  <c r="B128" i="25"/>
  <c r="B54" i="25"/>
  <c r="R8" i="22"/>
  <c r="R82" i="22" s="1"/>
  <c r="R8" i="25"/>
  <c r="R82" i="25" s="1"/>
  <c r="B88" i="25"/>
  <c r="B14" i="25"/>
  <c r="B92" i="25"/>
  <c r="B18" i="25"/>
  <c r="B22" i="25"/>
  <c r="B96" i="25"/>
  <c r="B27" i="25"/>
  <c r="B101" i="25"/>
  <c r="B135" i="25"/>
  <c r="B61" i="25"/>
  <c r="B30" i="25"/>
  <c r="B104" i="25"/>
  <c r="B109" i="25"/>
  <c r="B35" i="25"/>
  <c r="B110" i="25"/>
  <c r="B36" i="25"/>
  <c r="B43" i="25"/>
  <c r="B117" i="25"/>
  <c r="B44" i="25"/>
  <c r="B118" i="25"/>
  <c r="B47" i="25"/>
  <c r="B121" i="25"/>
  <c r="B132" i="25"/>
  <c r="B58" i="25"/>
  <c r="B131" i="25"/>
  <c r="B57" i="25"/>
  <c r="B51" i="25"/>
  <c r="B125" i="25"/>
  <c r="B133" i="25"/>
  <c r="B59" i="25"/>
  <c r="B126" i="25"/>
  <c r="B52" i="25"/>
  <c r="H8" i="22"/>
  <c r="H82" i="22" s="1"/>
  <c r="H8" i="25"/>
  <c r="H82" i="25" s="1"/>
  <c r="B7" i="22"/>
  <c r="B7" i="25"/>
  <c r="B16" i="25"/>
  <c r="B90" i="25"/>
  <c r="B34" i="25"/>
  <c r="B108" i="25"/>
  <c r="B45" i="25"/>
  <c r="B119" i="25"/>
  <c r="J8" i="22"/>
  <c r="J82" i="22" s="1"/>
  <c r="J8" i="25"/>
  <c r="J82" i="25" s="1"/>
  <c r="E4" i="11"/>
  <c r="E4" i="25"/>
  <c r="B85" i="25"/>
  <c r="B11" i="25"/>
  <c r="B15" i="25"/>
  <c r="B89" i="25"/>
  <c r="B19" i="25"/>
  <c r="B93" i="25"/>
  <c r="B23" i="25"/>
  <c r="B97" i="25"/>
  <c r="B99" i="25"/>
  <c r="B25" i="25"/>
  <c r="B63" i="25"/>
  <c r="B137" i="25"/>
  <c r="B136" i="25"/>
  <c r="B62" i="25"/>
  <c r="B105" i="25"/>
  <c r="B31" i="25"/>
  <c r="B114" i="25"/>
  <c r="B40" i="25"/>
  <c r="B129" i="25"/>
  <c r="B55" i="25"/>
  <c r="B124" i="25"/>
  <c r="B50" i="25"/>
  <c r="B49" i="25"/>
  <c r="B123" i="25"/>
  <c r="B53" i="25"/>
  <c r="B127" i="25"/>
  <c r="B134" i="25"/>
  <c r="B60" i="25"/>
  <c r="I8" i="22"/>
  <c r="I82" i="22" s="1"/>
  <c r="I8" i="25"/>
  <c r="I82" i="25" s="1"/>
  <c r="M8" i="22"/>
  <c r="M82" i="22" s="1"/>
  <c r="M8" i="25"/>
  <c r="M82" i="25" s="1"/>
  <c r="Q8" i="22"/>
  <c r="Q82" i="22" s="1"/>
  <c r="Q8" i="25"/>
  <c r="Q82" i="25" s="1"/>
  <c r="E3" i="22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6" s="1"/>
  <c r="T83" i="26" s="1"/>
  <c r="B63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2" i="26" l="1"/>
  <c r="S8" i="26"/>
  <c r="S82" i="25"/>
  <c r="S8" i="25"/>
  <c r="T9" i="22"/>
  <c r="T83" i="22" s="1"/>
  <c r="T9" i="25"/>
  <c r="T83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3" i="25"/>
  <c r="Q127" i="25" s="1"/>
  <c r="R103" i="25"/>
  <c r="S120" i="25"/>
  <c r="T120" i="25" s="1"/>
  <c r="P103" i="25"/>
  <c r="S103" i="25" s="1"/>
  <c r="T103" i="25" s="1"/>
  <c r="R127" i="25" l="1"/>
  <c r="R133" i="25" s="1"/>
  <c r="R128" i="25"/>
  <c r="Q133" i="25"/>
  <c r="Q138" i="25" s="1"/>
  <c r="Q128" i="25"/>
  <c r="Q46" i="11"/>
  <c r="P127" i="25"/>
  <c r="R138" i="25" l="1"/>
  <c r="Q134" i="25"/>
  <c r="R134" i="25"/>
  <c r="Q29" i="11"/>
  <c r="P29" i="11"/>
  <c r="J29" i="11"/>
  <c r="I29" i="11"/>
  <c r="P133" i="25"/>
  <c r="P138" i="25" s="1"/>
  <c r="S127" i="25"/>
  <c r="T127" i="25" s="1"/>
  <c r="P128" i="25"/>
  <c r="S138" i="25" l="1"/>
  <c r="S133" i="25"/>
  <c r="T133" i="25" s="1"/>
  <c r="Q53" i="11"/>
  <c r="P53" i="11"/>
  <c r="S128" i="25"/>
  <c r="T128" i="25" s="1"/>
  <c r="I53" i="11"/>
  <c r="J53" i="11"/>
  <c r="P54" i="11" l="1"/>
  <c r="Q54" i="11"/>
  <c r="P134" i="25"/>
  <c r="I54" i="11"/>
  <c r="J54" i="11"/>
  <c r="Q59" i="11"/>
  <c r="P59" i="11"/>
  <c r="J59" i="11"/>
  <c r="I59" i="11"/>
  <c r="T138" i="25" l="1"/>
  <c r="J64" i="11"/>
  <c r="I64" i="11"/>
  <c r="S134" i="25"/>
  <c r="T134" i="25" s="1"/>
  <c r="Q64" i="11"/>
  <c r="P64" i="11"/>
  <c r="P60" i="11" l="1"/>
  <c r="Q60" i="11"/>
  <c r="J60" i="11"/>
  <c r="I6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<sst xmlns="http://schemas.openxmlformats.org/spreadsheetml/2006/main" count="1814" uniqueCount="855">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</sst>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  <numFmt numFmtId="181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7" fontId="27" fillId="3" borderId="80" xfId="1" applyNumberFormat="1" applyFont="1" applyFill="1" applyBorder="1" applyAlignment="1" applyProtection="1">
      <alignment horizontal="center" vertical="center"/>
      <protection hidden="1"/>
    </xf>
    <xf numFmtId="167" fontId="27" fillId="3" borderId="5" xfId="1" applyNumberFormat="1" applyFont="1" applyFill="1" applyBorder="1" applyAlignment="1" applyProtection="1">
      <alignment horizontal="center" vertical="center"/>
      <protection hidden="1"/>
    </xf>
    <xf numFmtId="167" fontId="27" fillId="3" borderId="10" xfId="1" applyNumberFormat="1" applyFont="1" applyFill="1" applyBorder="1" applyAlignment="1" applyProtection="1">
      <alignment horizontal="center" vertical="center"/>
      <protection hidden="1"/>
    </xf>
    <xf numFmtId="167" fontId="27" fillId="3" borderId="15" xfId="1" applyNumberFormat="1" applyFont="1" applyFill="1" applyBorder="1" applyAlignment="1" applyProtection="1">
      <alignment horizontal="center" vertical="center"/>
      <protection hidden="1"/>
    </xf>
    <xf numFmtId="167" fontId="27" fillId="41" borderId="31" xfId="1" applyNumberFormat="1" applyFont="1" applyFill="1" applyBorder="1" applyAlignment="1" applyProtection="1">
      <alignment horizontal="center" vertical="center"/>
      <protection hidden="1"/>
    </xf>
    <xf numFmtId="167" fontId="27" fillId="9" borderId="81" xfId="1" applyNumberFormat="1" applyFont="1" applyFill="1" applyBorder="1" applyAlignment="1" applyProtection="1">
      <alignment horizontal="center" vertical="center"/>
      <protection hidden="1"/>
    </xf>
    <xf numFmtId="167" fontId="27" fillId="9" borderId="29" xfId="1" applyNumberFormat="1" applyFont="1" applyFill="1" applyBorder="1" applyAlignment="1" applyProtection="1">
      <alignment horizontal="center" vertical="center"/>
      <protection hidden="1"/>
    </xf>
    <xf numFmtId="167" fontId="65" fillId="9" borderId="15" xfId="1" applyNumberFormat="1" applyFont="1" applyFill="1" applyBorder="1" applyAlignment="1" applyProtection="1">
      <alignment horizontal="center" vertical="center"/>
      <protection hidden="1"/>
    </xf>
    <xf numFmtId="167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181" fontId="3" fillId="3" borderId="0" xfId="0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 xr:uid="{00000000-0005-0000-0000-00004A000000}"/>
    <cellStyle name="Explanatory Text" xfId="16" builtinId="53" customBuiltin="1"/>
    <cellStyle name="F2" xfId="47" xr:uid="{00000000-0005-0000-0000-00004C000000}"/>
    <cellStyle name="F3" xfId="48" xr:uid="{00000000-0005-0000-0000-00004D000000}"/>
    <cellStyle name="F4" xfId="49" xr:uid="{00000000-0005-0000-0000-00004E000000}"/>
    <cellStyle name="F5" xfId="50" xr:uid="{00000000-0005-0000-0000-00004F000000}"/>
    <cellStyle name="F6" xfId="51" xr:uid="{00000000-0005-0000-0000-000050000000}"/>
    <cellStyle name="F7" xfId="52" xr:uid="{00000000-0005-0000-0000-000051000000}"/>
    <cellStyle name="F8" xfId="53" xr:uid="{00000000-0005-0000-0000-000052000000}"/>
    <cellStyle name="Fixed" xfId="54" xr:uid="{00000000-0005-0000-0000-000053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9000000}"/>
    <cellStyle name="HEADING2" xfId="56" xr:uid="{00000000-0005-0000-0000-00005A000000}"/>
    <cellStyle name="imf-one decimal" xfId="57" xr:uid="{00000000-0005-0000-0000-00005B000000}"/>
    <cellStyle name="imf-one decimal 2" xfId="114" xr:uid="{00000000-0005-0000-0000-00005C000000}"/>
    <cellStyle name="imf-zero decimal" xfId="58" xr:uid="{00000000-0005-0000-0000-00005D000000}"/>
    <cellStyle name="imf-zero decimal 2" xfId="115" xr:uid="{00000000-0005-0000-0000-00005E000000}"/>
    <cellStyle name="Input" xfId="10" builtinId="20" customBuiltin="1"/>
    <cellStyle name="Label" xfId="59" xr:uid="{00000000-0005-0000-0000-000060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4000000}"/>
    <cellStyle name="Normal - Style2" xfId="61" xr:uid="{00000000-0005-0000-0000-000065000000}"/>
    <cellStyle name="Normal - Style3" xfId="62" xr:uid="{00000000-0005-0000-0000-000066000000}"/>
    <cellStyle name="Normal 10" xfId="74" xr:uid="{00000000-0005-0000-0000-000067000000}"/>
    <cellStyle name="Normal 10 2" xfId="154" xr:uid="{00000000-0005-0000-0000-000068000000}"/>
    <cellStyle name="Normal 11" xfId="75" xr:uid="{00000000-0005-0000-0000-000069000000}"/>
    <cellStyle name="Normal 11 2" xfId="155" xr:uid="{00000000-0005-0000-0000-00006A000000}"/>
    <cellStyle name="Normal 12" xfId="76" xr:uid="{00000000-0005-0000-0000-00006B000000}"/>
    <cellStyle name="Normal 12 2" xfId="156" xr:uid="{00000000-0005-0000-0000-00006C000000}"/>
    <cellStyle name="Normal 13" xfId="77" xr:uid="{00000000-0005-0000-0000-00006D000000}"/>
    <cellStyle name="Normal 14" xfId="86" xr:uid="{00000000-0005-0000-0000-00006E000000}"/>
    <cellStyle name="Normal 14 2" xfId="157" xr:uid="{00000000-0005-0000-0000-00006F000000}"/>
    <cellStyle name="Normal 15" xfId="88" xr:uid="{00000000-0005-0000-0000-000070000000}"/>
    <cellStyle name="Normal 15 2" xfId="159" xr:uid="{00000000-0005-0000-0000-000071000000}"/>
    <cellStyle name="Normal 16" xfId="92" xr:uid="{00000000-0005-0000-0000-000072000000}"/>
    <cellStyle name="Normal 16 2" xfId="116" xr:uid="{00000000-0005-0000-0000-000073000000}"/>
    <cellStyle name="Normal 16 2 2" xfId="182" xr:uid="{00000000-0005-0000-0000-000074000000}"/>
    <cellStyle name="Normal 16 3" xfId="163" xr:uid="{00000000-0005-0000-0000-000075000000}"/>
    <cellStyle name="Normal 17" xfId="94" xr:uid="{00000000-0005-0000-0000-000076000000}"/>
    <cellStyle name="Normal 17 2" xfId="117" xr:uid="{00000000-0005-0000-0000-000077000000}"/>
    <cellStyle name="Normal 17 2 2" xfId="183" xr:uid="{00000000-0005-0000-0000-000078000000}"/>
    <cellStyle name="Normal 17 3" xfId="165" xr:uid="{00000000-0005-0000-0000-000079000000}"/>
    <cellStyle name="Normal 18" xfId="95" xr:uid="{00000000-0005-0000-0000-00007A000000}"/>
    <cellStyle name="Normal 18 2" xfId="166" xr:uid="{00000000-0005-0000-0000-00007B000000}"/>
    <cellStyle name="Normal 19" xfId="90" xr:uid="{00000000-0005-0000-0000-00007C000000}"/>
    <cellStyle name="Normal 19 2" xfId="118" xr:uid="{00000000-0005-0000-0000-00007D000000}"/>
    <cellStyle name="Normal 19 2 2" xfId="184" xr:uid="{00000000-0005-0000-0000-00007E000000}"/>
    <cellStyle name="Normal 19 3" xfId="161" xr:uid="{00000000-0005-0000-0000-00007F000000}"/>
    <cellStyle name="Normal 2" xfId="63" xr:uid="{00000000-0005-0000-0000-000080000000}"/>
    <cellStyle name="Normal 2 2" xfId="2" xr:uid="{00000000-0005-0000-0000-000081000000}"/>
    <cellStyle name="Normal 2 3" xfId="133" xr:uid="{00000000-0005-0000-0000-000082000000}"/>
    <cellStyle name="Normal 20" xfId="89" xr:uid="{00000000-0005-0000-0000-000083000000}"/>
    <cellStyle name="Normal 20 2" xfId="160" xr:uid="{00000000-0005-0000-0000-000084000000}"/>
    <cellStyle name="Normal 21" xfId="91" xr:uid="{00000000-0005-0000-0000-000085000000}"/>
    <cellStyle name="Normal 21 2" xfId="162" xr:uid="{00000000-0005-0000-0000-000086000000}"/>
    <cellStyle name="Normal 22" xfId="93" xr:uid="{00000000-0005-0000-0000-000087000000}"/>
    <cellStyle name="Normal 22 2" xfId="164" xr:uid="{00000000-0005-0000-0000-000088000000}"/>
    <cellStyle name="Normal 23" xfId="96" xr:uid="{00000000-0005-0000-0000-000089000000}"/>
    <cellStyle name="Normal 23 2" xfId="167" xr:uid="{00000000-0005-0000-0000-00008A000000}"/>
    <cellStyle name="Normal 24" xfId="97" xr:uid="{00000000-0005-0000-0000-00008B000000}"/>
    <cellStyle name="Normal 24 2" xfId="168" xr:uid="{00000000-0005-0000-0000-00008C000000}"/>
    <cellStyle name="Normal 25" xfId="82" xr:uid="{00000000-0005-0000-0000-00008D000000}"/>
    <cellStyle name="Normal 26" xfId="124" xr:uid="{00000000-0005-0000-0000-00008E000000}"/>
    <cellStyle name="Normal 27" xfId="81" xr:uid="{00000000-0005-0000-0000-00008F000000}"/>
    <cellStyle name="Normal 28" xfId="85" xr:uid="{00000000-0005-0000-0000-000090000000}"/>
    <cellStyle name="Normal 29" xfId="129" xr:uid="{00000000-0005-0000-0000-000091000000}"/>
    <cellStyle name="Normal 3" xfId="67" xr:uid="{00000000-0005-0000-0000-000092000000}"/>
    <cellStyle name="Normal 30" xfId="125" xr:uid="{00000000-0005-0000-0000-000093000000}"/>
    <cellStyle name="Normal 31" xfId="80" xr:uid="{00000000-0005-0000-0000-000094000000}"/>
    <cellStyle name="Normal 32" xfId="128" xr:uid="{00000000-0005-0000-0000-000095000000}"/>
    <cellStyle name="Normal 33" xfId="127" xr:uid="{00000000-0005-0000-0000-000096000000}"/>
    <cellStyle name="Normal 34" xfId="126" xr:uid="{00000000-0005-0000-0000-000097000000}"/>
    <cellStyle name="Normal 35" xfId="83" xr:uid="{00000000-0005-0000-0000-000098000000}"/>
    <cellStyle name="Normal 36" xfId="84" xr:uid="{00000000-0005-0000-0000-000099000000}"/>
    <cellStyle name="Normal 37" xfId="132" xr:uid="{00000000-0005-0000-0000-00009A000000}"/>
    <cellStyle name="Normal 38" xfId="134" xr:uid="{00000000-0005-0000-0000-00009B000000}"/>
    <cellStyle name="Normal 39" xfId="135" xr:uid="{00000000-0005-0000-0000-00009C000000}"/>
    <cellStyle name="Normal 4" xfId="68" xr:uid="{00000000-0005-0000-0000-00009D000000}"/>
    <cellStyle name="Normal 4 2" xfId="119" xr:uid="{00000000-0005-0000-0000-00009E000000}"/>
    <cellStyle name="Normal 4 3" xfId="148" xr:uid="{00000000-0005-0000-0000-00009F000000}"/>
    <cellStyle name="Normal 5" xfId="69" xr:uid="{00000000-0005-0000-0000-0000A0000000}"/>
    <cellStyle name="Normal 5 2" xfId="123" xr:uid="{00000000-0005-0000-0000-0000A1000000}"/>
    <cellStyle name="Normal 5 3" xfId="149" xr:uid="{00000000-0005-0000-0000-0000A2000000}"/>
    <cellStyle name="Normal 6" xfId="70" xr:uid="{00000000-0005-0000-0000-0000A3000000}"/>
    <cellStyle name="Normal 6 2" xfId="150" xr:uid="{00000000-0005-0000-0000-0000A4000000}"/>
    <cellStyle name="Normal 7" xfId="71" xr:uid="{00000000-0005-0000-0000-0000A5000000}"/>
    <cellStyle name="Normal 7 2" xfId="151" xr:uid="{00000000-0005-0000-0000-0000A6000000}"/>
    <cellStyle name="Normal 8" xfId="72" xr:uid="{00000000-0005-0000-0000-0000A7000000}"/>
    <cellStyle name="Normal 8 2" xfId="152" xr:uid="{00000000-0005-0000-0000-0000A8000000}"/>
    <cellStyle name="Normal 9" xfId="73" xr:uid="{00000000-0005-0000-0000-0000A9000000}"/>
    <cellStyle name="Normal 9 2" xfId="153" xr:uid="{00000000-0005-0000-0000-0000AA000000}"/>
    <cellStyle name="Note 2" xfId="87" xr:uid="{00000000-0005-0000-0000-0000AB000000}"/>
    <cellStyle name="Note 2 2" xfId="158" xr:uid="{00000000-0005-0000-0000-0000AC000000}"/>
    <cellStyle name="Note 3" xfId="98" xr:uid="{00000000-0005-0000-0000-0000AD000000}"/>
    <cellStyle name="Note 3 2" xfId="169" xr:uid="{00000000-0005-0000-0000-0000AE000000}"/>
    <cellStyle name="Obično_KnjigaZIKS i Min pomorstva i saobracaja" xfId="64" xr:uid="{00000000-0005-0000-0000-0000AF000000}"/>
    <cellStyle name="Output" xfId="11" builtinId="21" customBuiltin="1"/>
    <cellStyle name="Percent" xfId="1" builtinId="5"/>
    <cellStyle name="percentage difference" xfId="65" xr:uid="{00000000-0005-0000-0000-0000B2000000}"/>
    <cellStyle name="percentage difference 2" xfId="120" xr:uid="{00000000-0005-0000-0000-0000B3000000}"/>
    <cellStyle name="Publication" xfId="66" xr:uid="{00000000-0005-0000-0000-0000B4000000}"/>
    <cellStyle name="Standard_Tabellenteil in EURO" xfId="121" xr:uid="{00000000-0005-0000-0000-0000B5000000}"/>
    <cellStyle name="Title 2" xfId="79" xr:uid="{00000000-0005-0000-0000-0000B6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l" eaLnBrk="1" fontAlgn="auto" latinLnBrk="0" hangingPunct="1"/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mart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2023. godine iznosili su 545,7 mil. € ili 8,8% procijenjenog BDP-a i veći su u odnosu na planirane za 63,0 mil. € ili 13%. U odnosu na uporedni period prethodne godine, prihodi su veći za 129,0 mil. € ili 31%. </a:t>
          </a: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479,9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7,8%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94,6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16,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5% dok su udnosu na isti period 2022. godine veći za 35,0 mil. € ili 7,9%.</a:t>
          </a:r>
          <a:endParaRPr lang="sr-Latn-R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RS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januar-mart 2023. godine zabilježen je suficit budžeta u iznosu od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65,8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1,1% procijenjenog BDP-a.</a:t>
          </a:r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22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2023-03</v>
      </c>
      <c r="O6" s="143" t="str">
        <f>+CONCATENATE(N6,"p")</f>
        <v>2023-03p</v>
      </c>
      <c r="P6" s="130"/>
      <c r="Q6" s="130"/>
      <c r="R6" s="143" t="str">
        <f>+IF(Master!B3-10&gt;=0,CONCATENATE(Master!B4-1,"-",Master!B3),CONCATENATE(Master!B4-1,"-0",Master!B3))</f>
        <v>2022-03</v>
      </c>
      <c r="S6" s="130"/>
      <c r="T6" s="130"/>
    </row>
    <row r="7" spans="1:20">
      <c r="A7" s="144"/>
      <c r="B7" s="550" t="s">
        <v>691</v>
      </c>
      <c r="C7" s="551"/>
      <c r="D7" s="551"/>
      <c r="E7" s="551"/>
      <c r="F7" s="551"/>
      <c r="G7" s="559" t="s">
        <v>690</v>
      </c>
      <c r="H7" s="560"/>
      <c r="I7" s="560"/>
      <c r="J7" s="560"/>
      <c r="K7" s="560"/>
      <c r="L7" s="560"/>
      <c r="M7" s="561"/>
      <c r="N7" s="562" t="str">
        <f>+Master!G243</f>
        <v>Decembar</v>
      </c>
      <c r="O7" s="560"/>
      <c r="P7" s="560"/>
      <c r="Q7" s="560"/>
      <c r="R7" s="560"/>
      <c r="S7" s="560"/>
      <c r="T7" s="563"/>
    </row>
    <row r="8" spans="1:20">
      <c r="A8" s="144"/>
      <c r="B8" s="552"/>
      <c r="C8" s="553"/>
      <c r="D8" s="553"/>
      <c r="E8" s="553"/>
      <c r="F8" s="554"/>
      <c r="G8" s="145" t="str">
        <f>+Master!G26</f>
        <v>Ostvarenje</v>
      </c>
      <c r="H8" s="145" t="str">
        <f>+Master!G25</f>
        <v>Plan</v>
      </c>
      <c r="I8" s="548" t="str">
        <f>+Master!G261</f>
        <v>Odstupanje</v>
      </c>
      <c r="J8" s="548"/>
      <c r="K8" s="145" t="str">
        <f>+CONCATENATE(Master!G246," ",Master!B4-1)</f>
        <v>Jan - Mar 2022</v>
      </c>
      <c r="L8" s="548" t="str">
        <f>+I8</f>
        <v>Odstupanje</v>
      </c>
      <c r="M8" s="558"/>
      <c r="N8" s="146" t="str">
        <f>+G8</f>
        <v>Ostvarenje</v>
      </c>
      <c r="O8" s="145" t="str">
        <f>+H8</f>
        <v>Plan</v>
      </c>
      <c r="P8" s="548" t="str">
        <f>+I8</f>
        <v>Odstupanje</v>
      </c>
      <c r="Q8" s="548"/>
      <c r="R8" s="145" t="str">
        <f>+CONCATENATE(Master!G245," ",Master!B4-1)</f>
        <v>Mart 2022</v>
      </c>
      <c r="S8" s="548" t="str">
        <f>+P8</f>
        <v>Odstupanje</v>
      </c>
      <c r="T8" s="549"/>
    </row>
    <row r="9" spans="1:20" ht="15.7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.75" thickBot="1">
      <c r="A10" s="150">
        <v>7</v>
      </c>
      <c r="B10" s="518" t="str">
        <f>+VLOOKUP($A10,Master!$D$30:$G$226,4,FALSE)</f>
        <v>Prihodi budžeta</v>
      </c>
      <c r="C10" s="519"/>
      <c r="D10" s="519"/>
      <c r="E10" s="519"/>
      <c r="F10" s="51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22" t="e">
        <f>+VLOOKUP($A18,Master!$D$30:$G$226,4,FALSE)</f>
        <v>#N/A</v>
      </c>
      <c r="C18" s="523"/>
      <c r="D18" s="523"/>
      <c r="E18" s="523"/>
      <c r="F18" s="523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22" t="str">
        <f>+VLOOKUP($A19,Master!$D$30:$G$226,4,FALSE)</f>
        <v>Ostali državni porezi</v>
      </c>
      <c r="C19" s="523"/>
      <c r="D19" s="523"/>
      <c r="E19" s="523"/>
      <c r="F19" s="523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6" t="str">
        <f>+VLOOKUP($A20,Master!$D$30:$G$226,4,FALSE)</f>
        <v>Doprinosi</v>
      </c>
      <c r="C20" s="527"/>
      <c r="D20" s="527"/>
      <c r="E20" s="527"/>
      <c r="F20" s="52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22" t="str">
        <f>+VLOOKUP($A21,Master!$D$30:$G$226,4,FALSE)</f>
        <v>Doprinosi za penzijsko i invalidsko osiguranje</v>
      </c>
      <c r="C21" s="523"/>
      <c r="D21" s="523"/>
      <c r="E21" s="523"/>
      <c r="F21" s="523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22" t="str">
        <f>+VLOOKUP($A22,Master!$D$30:$G$226,4,FALSE)</f>
        <v>Doprinosi za zdravstveno osiguranje</v>
      </c>
      <c r="C22" s="523"/>
      <c r="D22" s="523"/>
      <c r="E22" s="523"/>
      <c r="F22" s="523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22" t="str">
        <f>+VLOOKUP($A23,Master!$D$30:$G$226,4,FALSE)</f>
        <v>Doprinosi za osiguranje od nezaposlenosti</v>
      </c>
      <c r="C23" s="523"/>
      <c r="D23" s="523"/>
      <c r="E23" s="523"/>
      <c r="F23" s="523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22" t="str">
        <f>+VLOOKUP($A24,Master!$D$30:$G$226,4,FALSE)</f>
        <v>Ostali doprinosi</v>
      </c>
      <c r="C24" s="523"/>
      <c r="D24" s="523"/>
      <c r="E24" s="523"/>
      <c r="F24" s="523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4" t="str">
        <f>+VLOOKUP($A25,Master!$D$30:$G$226,4,FALSE)</f>
        <v>Takse</v>
      </c>
      <c r="C25" s="525"/>
      <c r="D25" s="525"/>
      <c r="E25" s="525"/>
      <c r="F25" s="525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4" t="str">
        <f>+VLOOKUP($A26,Master!$D$30:$G$226,4,FALSE)</f>
        <v>Naknade</v>
      </c>
      <c r="C26" s="525"/>
      <c r="D26" s="525"/>
      <c r="E26" s="525"/>
      <c r="F26" s="525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4" t="str">
        <f>+VLOOKUP($A27,Master!$D$30:$G$226,4,FALSE)</f>
        <v>Ostali prihodi</v>
      </c>
      <c r="C27" s="525"/>
      <c r="D27" s="525"/>
      <c r="E27" s="525"/>
      <c r="F27" s="525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4" t="str">
        <f>+VLOOKUP($A28,Master!$D$30:$G$226,4,FALSE)</f>
        <v>Primici od otplate kredita i sredstva prenesena iz prethodne godine</v>
      </c>
      <c r="C28" s="525"/>
      <c r="D28" s="525"/>
      <c r="E28" s="525"/>
      <c r="F28" s="525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28" t="str">
        <f>+VLOOKUP($A29,Master!$D$30:$G$226,4,FALSE)</f>
        <v>Donacije i transferi</v>
      </c>
      <c r="C29" s="529"/>
      <c r="D29" s="529"/>
      <c r="E29" s="529"/>
      <c r="F29" s="529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30" t="str">
        <f>+VLOOKUP($A30,Master!$D$30:$G$226,4,FALSE)</f>
        <v>Izdaci budžeta</v>
      </c>
      <c r="C30" s="531"/>
      <c r="D30" s="531"/>
      <c r="E30" s="531"/>
      <c r="F30" s="531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32" t="str">
        <f>+VLOOKUP($A31,Master!$D$30:$G$226,4,FALSE)</f>
        <v>Tekući izdaci</v>
      </c>
      <c r="C31" s="533"/>
      <c r="D31" s="533"/>
      <c r="E31" s="533"/>
      <c r="F31" s="53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34" t="str">
        <f>+VLOOKUP($A32,Master!$D$30:$G$226,4,FALSE)</f>
        <v>Tekuća budžetska potrošnja</v>
      </c>
      <c r="C32" s="535"/>
      <c r="D32" s="535"/>
      <c r="E32" s="535"/>
      <c r="F32" s="53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22" t="str">
        <f>+VLOOKUP($A33,Master!$D$30:$G$226,4,FALSE)</f>
        <v>Bruto zarade i doprinosi na teret poslodavca</v>
      </c>
      <c r="C33" s="523"/>
      <c r="D33" s="523"/>
      <c r="E33" s="523"/>
      <c r="F33" s="523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22" t="str">
        <f>+VLOOKUP($A34,Master!$D$30:$G$226,4,FALSE)</f>
        <v>Ostala lična primanja</v>
      </c>
      <c r="C34" s="523"/>
      <c r="D34" s="523"/>
      <c r="E34" s="523"/>
      <c r="F34" s="523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22" t="str">
        <f>+VLOOKUP($A35,Master!$D$30:$G$226,4,FALSE)</f>
        <v>Rashodi za materijal</v>
      </c>
      <c r="C35" s="523"/>
      <c r="D35" s="523"/>
      <c r="E35" s="523"/>
      <c r="F35" s="523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22" t="str">
        <f>+VLOOKUP($A36,Master!$D$30:$G$226,4,FALSE)</f>
        <v>Rashodi za usluge</v>
      </c>
      <c r="C36" s="523"/>
      <c r="D36" s="523"/>
      <c r="E36" s="523"/>
      <c r="F36" s="523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22" t="str">
        <f>+VLOOKUP($A37,Master!$D$30:$G$226,4,FALSE)</f>
        <v>Rashodi za tekuće održavanje</v>
      </c>
      <c r="C37" s="523"/>
      <c r="D37" s="523"/>
      <c r="E37" s="523"/>
      <c r="F37" s="523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22" t="str">
        <f>+VLOOKUP($A38,Master!$D$30:$G$226,4,FALSE)</f>
        <v>Kamate</v>
      </c>
      <c r="C38" s="523"/>
      <c r="D38" s="523"/>
      <c r="E38" s="523"/>
      <c r="F38" s="523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22" t="str">
        <f>+VLOOKUP($A39,Master!$D$30:$G$226,4,FALSE)</f>
        <v>Renta</v>
      </c>
      <c r="C39" s="523"/>
      <c r="D39" s="523"/>
      <c r="E39" s="523"/>
      <c r="F39" s="523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22" t="str">
        <f>+VLOOKUP($A40,Master!$D$30:$G$226,4,FALSE)</f>
        <v>Subvencije</v>
      </c>
      <c r="C40" s="523"/>
      <c r="D40" s="523"/>
      <c r="E40" s="523"/>
      <c r="F40" s="523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22" t="str">
        <f>+VLOOKUP($A41,Master!$D$30:$G$226,4,FALSE)</f>
        <v>Ostali izdaci</v>
      </c>
      <c r="C41" s="523"/>
      <c r="D41" s="523"/>
      <c r="E41" s="523"/>
      <c r="F41" s="523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22" t="e">
        <f>+VLOOKUP($A42,Master!$D$30:$G$226,4,FALSE)</f>
        <v>#N/A</v>
      </c>
      <c r="C42" s="523"/>
      <c r="D42" s="523"/>
      <c r="E42" s="523"/>
      <c r="F42" s="523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8" t="str">
        <f>+VLOOKUP($A43,Master!$D$30:$G$226,4,FALSE)</f>
        <v>Transferi za socijalnu zaštitu</v>
      </c>
      <c r="C43" s="539"/>
      <c r="D43" s="539"/>
      <c r="E43" s="539"/>
      <c r="F43" s="539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22" t="str">
        <f>+VLOOKUP($A44,Master!$D$30:$G$226,4,FALSE)</f>
        <v>Prava iz oblasti socijalne zaštite</v>
      </c>
      <c r="C44" s="523"/>
      <c r="D44" s="523"/>
      <c r="E44" s="523"/>
      <c r="F44" s="523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22" t="str">
        <f>+VLOOKUP($A45,Master!$D$30:$G$226,4,FALSE)</f>
        <v>Sredstva za tehnološke viškove</v>
      </c>
      <c r="C45" s="523"/>
      <c r="D45" s="523"/>
      <c r="E45" s="523"/>
      <c r="F45" s="523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22" t="str">
        <f>+VLOOKUP($A46,Master!$D$30:$G$226,4,FALSE)</f>
        <v>Prava iz oblasti penzijskog i invalidskog osiguranja</v>
      </c>
      <c r="C46" s="523"/>
      <c r="D46" s="523"/>
      <c r="E46" s="523"/>
      <c r="F46" s="523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22" t="str">
        <f>+VLOOKUP($A47,Master!$D$30:$G$226,4,FALSE)</f>
        <v>Ostala prava iz oblasti zdravstvene zaštite</v>
      </c>
      <c r="C47" s="523"/>
      <c r="D47" s="523"/>
      <c r="E47" s="523"/>
      <c r="F47" s="523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22" t="str">
        <f>+VLOOKUP($A48,Master!$D$30:$G$226,4,FALSE)</f>
        <v>Ostala prava iz zdravstvenog osiguranja</v>
      </c>
      <c r="C48" s="523"/>
      <c r="D48" s="523"/>
      <c r="E48" s="523"/>
      <c r="F48" s="523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6" t="str">
        <f>+VLOOKUP($A49,Master!$D$30:$G$226,4,FALSE)</f>
        <v xml:space="preserve">Transferi institucijama, pojedincima, nevladinom i javnom sektoru </v>
      </c>
      <c r="C49" s="537"/>
      <c r="D49" s="537"/>
      <c r="E49" s="537"/>
      <c r="F49" s="537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6" t="str">
        <f>+VLOOKUP($A50,Master!$D$30:$G$226,4,FALSE)</f>
        <v>Kapitalni izdaci</v>
      </c>
      <c r="C50" s="537"/>
      <c r="D50" s="537"/>
      <c r="E50" s="537"/>
      <c r="F50" s="537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40" t="str">
        <f>+VLOOKUP($A51,Master!$D$30:$G$226,4,FALSE)</f>
        <v>Pozajmice i krediti</v>
      </c>
      <c r="C51" s="541"/>
      <c r="D51" s="541"/>
      <c r="E51" s="541"/>
      <c r="F51" s="541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40" t="str">
        <f>+VLOOKUP($A52,Master!$D$30:$G$226,4,FALSE)</f>
        <v>Rezerve</v>
      </c>
      <c r="C52" s="541"/>
      <c r="D52" s="541"/>
      <c r="E52" s="541"/>
      <c r="F52" s="541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42" t="str">
        <f>+VLOOKUP($A53,Master!$D$30:$G$226,4,FALSE)</f>
        <v>Otplata garancija</v>
      </c>
      <c r="C53" s="543"/>
      <c r="D53" s="543"/>
      <c r="E53" s="543"/>
      <c r="F53" s="54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42" t="str">
        <f>+VLOOKUP($A54,Master!$D$30:$G$226,4,FALSE)</f>
        <v>Otplata obaveza iz prethodnog perioda</v>
      </c>
      <c r="C54" s="543"/>
      <c r="D54" s="543"/>
      <c r="E54" s="543"/>
      <c r="F54" s="54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42" t="str">
        <f>+VLOOKUP($A55,Master!$D$30:$G$228,4,FALSE)</f>
        <v>Neto povećanje obaveza</v>
      </c>
      <c r="C55" s="543"/>
      <c r="D55" s="543"/>
      <c r="E55" s="543"/>
      <c r="F55" s="54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44" t="str">
        <f>+VLOOKUP($A56,Master!$D$30:$G$226,4,FALSE)</f>
        <v>Suficit / deficit</v>
      </c>
      <c r="C56" s="545"/>
      <c r="D56" s="545"/>
      <c r="E56" s="545"/>
      <c r="F56" s="545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46" t="str">
        <f>+VLOOKUP($A57,Master!$D$30:$G$226,4,FALSE)</f>
        <v>Primarni suficit/deficit</v>
      </c>
      <c r="C57" s="547"/>
      <c r="D57" s="547"/>
      <c r="E57" s="547"/>
      <c r="F57" s="547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8" t="str">
        <f>+VLOOKUP($A58,Master!$D$30:$G$226,4,FALSE)</f>
        <v>Otplata dugova</v>
      </c>
      <c r="C58" s="539"/>
      <c r="D58" s="539"/>
      <c r="E58" s="539"/>
      <c r="F58" s="539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64" t="str">
        <f>+VLOOKUP($A59,Master!$D$30:$G$226,4,FALSE)</f>
        <v>Otplata hartija od vrijednosti i kredita rezidentima</v>
      </c>
      <c r="C59" s="565"/>
      <c r="D59" s="565"/>
      <c r="E59" s="565"/>
      <c r="F59" s="565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40" t="str">
        <f>+VLOOKUP($A60,Master!$D$30:$G$226,4,FALSE)</f>
        <v>Otplata hartija od vrijednosti i kredita nerezidentima</v>
      </c>
      <c r="C60" s="541"/>
      <c r="D60" s="541"/>
      <c r="E60" s="541"/>
      <c r="F60" s="541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66" t="str">
        <f>+VLOOKUP($A62,Master!$D$30:$G$226,4,FALSE)</f>
        <v>Nedostajuća sredstva</v>
      </c>
      <c r="C62" s="567"/>
      <c r="D62" s="567"/>
      <c r="E62" s="567"/>
      <c r="F62" s="567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30" t="str">
        <f>+VLOOKUP($A63,Master!$D$30:$G$226,4,FALSE)</f>
        <v>Finansiranje</v>
      </c>
      <c r="C63" s="531"/>
      <c r="D63" s="531"/>
      <c r="E63" s="531"/>
      <c r="F63" s="531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64" t="str">
        <f>+VLOOKUP($A64,Master!$D$30:$G$226,4,FALSE)</f>
        <v>Pozajmice i krediti od domaćih izvora</v>
      </c>
      <c r="C64" s="565"/>
      <c r="D64" s="565"/>
      <c r="E64" s="565"/>
      <c r="F64" s="565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40" t="str">
        <f>+VLOOKUP($A65,Master!$D$30:$G$226,4,FALSE)</f>
        <v>Pozajmice i krediti od inostranih izvora</v>
      </c>
      <c r="C65" s="541"/>
      <c r="D65" s="541"/>
      <c r="E65" s="541"/>
      <c r="F65" s="541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40" t="str">
        <f>+VLOOKUP($A66,Master!$D$30:$G$226,4,FALSE)</f>
        <v>Primici od prodaje imovine</v>
      </c>
      <c r="C66" s="541"/>
      <c r="D66" s="541"/>
      <c r="E66" s="541"/>
      <c r="F66" s="541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0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7" t="s">
        <v>554</v>
      </c>
      <c r="F6" s="635">
        <v>2006</v>
      </c>
      <c r="G6" s="634"/>
      <c r="H6" s="634"/>
      <c r="I6" s="634"/>
      <c r="J6" s="634"/>
      <c r="K6" s="634"/>
      <c r="L6" s="634"/>
      <c r="M6" s="634"/>
      <c r="N6" s="634"/>
      <c r="O6" s="634"/>
      <c r="P6" s="634"/>
      <c r="Q6" s="636"/>
      <c r="R6" s="635">
        <v>2007</v>
      </c>
      <c r="S6" s="634"/>
      <c r="T6" s="634"/>
      <c r="U6" s="634"/>
      <c r="V6" s="634"/>
      <c r="W6" s="634"/>
      <c r="X6" s="634"/>
      <c r="Y6" s="634"/>
      <c r="Z6" s="634"/>
      <c r="AA6" s="634"/>
      <c r="AB6" s="634"/>
      <c r="AC6" s="636"/>
      <c r="AD6" s="635">
        <v>2008</v>
      </c>
      <c r="AE6" s="634"/>
      <c r="AF6" s="634"/>
      <c r="AG6" s="634"/>
      <c r="AH6" s="634"/>
      <c r="AI6" s="634"/>
      <c r="AJ6" s="634"/>
      <c r="AK6" s="634"/>
      <c r="AL6" s="634"/>
      <c r="AM6" s="634"/>
      <c r="AN6" s="634"/>
      <c r="AO6" s="636"/>
      <c r="AP6" s="635">
        <v>2009</v>
      </c>
      <c r="AQ6" s="634"/>
      <c r="AR6" s="634"/>
      <c r="AS6" s="634"/>
      <c r="AT6" s="634"/>
      <c r="AU6" s="634"/>
      <c r="AV6" s="634"/>
      <c r="AW6" s="634"/>
      <c r="AX6" s="634"/>
      <c r="AY6" s="634"/>
      <c r="AZ6" s="634"/>
      <c r="BA6" s="636"/>
      <c r="BB6" s="635">
        <v>2010</v>
      </c>
      <c r="BC6" s="634"/>
      <c r="BD6" s="634"/>
      <c r="BE6" s="634"/>
      <c r="BF6" s="634"/>
      <c r="BG6" s="634"/>
      <c r="BH6" s="634"/>
      <c r="BI6" s="634"/>
      <c r="BJ6" s="634"/>
      <c r="BK6" s="634"/>
      <c r="BL6" s="634"/>
      <c r="BM6" s="636"/>
      <c r="BN6" s="635">
        <v>2011</v>
      </c>
      <c r="BO6" s="634"/>
      <c r="BP6" s="634"/>
      <c r="BQ6" s="634"/>
      <c r="BR6" s="634"/>
      <c r="BS6" s="634"/>
      <c r="BT6" s="634"/>
      <c r="BU6" s="634"/>
      <c r="BV6" s="634"/>
      <c r="BW6" s="634"/>
      <c r="BX6" s="634"/>
      <c r="BY6" s="636"/>
      <c r="BZ6" s="634">
        <v>2012</v>
      </c>
      <c r="CA6" s="634"/>
      <c r="CB6" s="634"/>
      <c r="CC6" s="634"/>
      <c r="CD6" s="634"/>
      <c r="CE6" s="634"/>
      <c r="CF6" s="634"/>
      <c r="CG6" s="634"/>
      <c r="CH6" s="634"/>
      <c r="CI6" s="634"/>
      <c r="CJ6" s="634"/>
      <c r="CK6" s="634"/>
      <c r="CL6" s="635">
        <v>2013</v>
      </c>
      <c r="CM6" s="634"/>
      <c r="CN6" s="634"/>
      <c r="CO6" s="634"/>
      <c r="CP6" s="634"/>
      <c r="CQ6" s="634"/>
      <c r="CR6" s="634"/>
      <c r="CS6" s="634"/>
      <c r="CT6" s="634"/>
      <c r="CU6" s="634"/>
      <c r="CV6" s="634"/>
      <c r="CW6" s="636"/>
      <c r="CX6" s="635">
        <v>2014</v>
      </c>
      <c r="CY6" s="634"/>
      <c r="CZ6" s="634"/>
      <c r="DA6" s="634"/>
      <c r="DB6" s="634"/>
      <c r="DC6" s="634"/>
      <c r="DD6" s="634"/>
      <c r="DE6" s="634"/>
      <c r="DF6" s="634"/>
      <c r="DG6" s="634"/>
      <c r="DH6" s="634"/>
      <c r="DI6" s="636"/>
      <c r="DJ6" s="635">
        <v>2015</v>
      </c>
      <c r="DK6" s="634"/>
      <c r="DL6" s="634"/>
      <c r="DM6" s="634"/>
      <c r="DN6" s="634"/>
      <c r="DO6" s="634"/>
      <c r="DP6" s="634"/>
      <c r="DQ6" s="634"/>
      <c r="DR6" s="634"/>
      <c r="DS6" s="634"/>
      <c r="DT6" s="634"/>
      <c r="DU6" s="636"/>
    </row>
    <row r="7" spans="1:321">
      <c r="E7" s="637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0">
        <v>79855347.849999994</v>
      </c>
      <c r="EU9" s="350">
        <v>106190042</v>
      </c>
      <c r="EV9" s="350">
        <v>137417391.37</v>
      </c>
      <c r="EW9" s="350">
        <v>147833434.00999999</v>
      </c>
      <c r="EX9" s="350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1">
        <v>60295851.509999998</v>
      </c>
      <c r="EU10" s="351">
        <v>64797597.329999998</v>
      </c>
      <c r="EV10" s="351">
        <v>89261850.609999999</v>
      </c>
      <c r="EW10" s="351">
        <v>97799793.079999998</v>
      </c>
      <c r="EX10" s="351">
        <v>90553351.069999993</v>
      </c>
      <c r="EY10" s="351">
        <v>87503254.430000007</v>
      </c>
      <c r="EZ10" s="351">
        <v>105015545.47</v>
      </c>
      <c r="FA10" s="351">
        <v>107951400.73999999</v>
      </c>
      <c r="FB10" s="351">
        <v>102839740.52</v>
      </c>
      <c r="FC10" s="351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1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1">
        <f t="shared" ref="FR10:GC10" si="2">SUM(FR11:FR17)</f>
        <v>73320205.209999993</v>
      </c>
      <c r="FS10" s="351">
        <f t="shared" si="2"/>
        <v>69683087.399999991</v>
      </c>
      <c r="FT10" s="351">
        <f t="shared" si="2"/>
        <v>105613736.66000001</v>
      </c>
      <c r="FU10" s="351">
        <f t="shared" si="2"/>
        <v>83521974.920000002</v>
      </c>
      <c r="FV10" s="351">
        <f t="shared" si="2"/>
        <v>69752758.120000005</v>
      </c>
      <c r="FW10" s="351">
        <f t="shared" si="2"/>
        <v>79960950.920000002</v>
      </c>
      <c r="FX10" s="351">
        <f t="shared" si="2"/>
        <v>80621752.299999997</v>
      </c>
      <c r="FY10" s="351">
        <f t="shared" si="2"/>
        <v>79984790.799999997</v>
      </c>
      <c r="FZ10" s="304">
        <f t="shared" si="2"/>
        <v>80764606.50999999</v>
      </c>
      <c r="GA10" s="351">
        <f t="shared" si="2"/>
        <v>81734836.820000008</v>
      </c>
      <c r="GB10" s="351">
        <f t="shared" si="2"/>
        <v>72792310.129999995</v>
      </c>
      <c r="GC10" s="351">
        <f t="shared" si="2"/>
        <v>88352824.489999995</v>
      </c>
      <c r="GD10" s="304"/>
      <c r="GE10" s="351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0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0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0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0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0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0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0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0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0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0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0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0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0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0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1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1">
        <f t="shared" ref="FR18:GC18" si="3">SUM(FR19:FR22)</f>
        <v>15749286.220000001</v>
      </c>
      <c r="FS18" s="351">
        <f t="shared" si="3"/>
        <v>42574769.890000001</v>
      </c>
      <c r="FT18" s="351">
        <f t="shared" si="3"/>
        <v>44888756.57</v>
      </c>
      <c r="FU18" s="351">
        <f t="shared" si="3"/>
        <v>33882602.5</v>
      </c>
      <c r="FV18" s="351">
        <f t="shared" si="3"/>
        <v>40418289.450000003</v>
      </c>
      <c r="FW18" s="351">
        <f t="shared" si="3"/>
        <v>42892419.090000004</v>
      </c>
      <c r="FX18" s="351">
        <f t="shared" si="3"/>
        <v>45009811.700000003</v>
      </c>
      <c r="FY18" s="351">
        <f t="shared" si="3"/>
        <v>51984938.960000001</v>
      </c>
      <c r="FZ18" s="304">
        <f t="shared" si="3"/>
        <v>42439853.439999998</v>
      </c>
      <c r="GA18" s="351">
        <f t="shared" si="3"/>
        <v>46766265.019999996</v>
      </c>
      <c r="GB18" s="351">
        <f t="shared" si="3"/>
        <v>43869251.589999996</v>
      </c>
      <c r="GC18" s="351">
        <f t="shared" si="3"/>
        <v>80544326.960000008</v>
      </c>
      <c r="GD18" s="304"/>
      <c r="GE18" s="351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0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0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0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0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0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0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0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0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1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1">
        <f t="shared" ref="FR23:GC23" si="5">SUM(FR24:FR27)</f>
        <v>711811.51</v>
      </c>
      <c r="FS23" s="351">
        <f t="shared" si="5"/>
        <v>845756.92</v>
      </c>
      <c r="FT23" s="351">
        <f t="shared" si="5"/>
        <v>815406.19</v>
      </c>
      <c r="FU23" s="351">
        <f t="shared" si="5"/>
        <v>318936.3</v>
      </c>
      <c r="FV23" s="351">
        <f t="shared" si="5"/>
        <v>469045.42</v>
      </c>
      <c r="FW23" s="351">
        <f t="shared" si="5"/>
        <v>1094710.17</v>
      </c>
      <c r="FX23" s="351">
        <f t="shared" si="5"/>
        <v>962946.75000000012</v>
      </c>
      <c r="FY23" s="351">
        <f t="shared" si="5"/>
        <v>1016910.3699999999</v>
      </c>
      <c r="FZ23" s="304">
        <f t="shared" si="5"/>
        <v>1210136.0899999999</v>
      </c>
      <c r="GA23" s="351">
        <f t="shared" si="5"/>
        <v>1020237.03</v>
      </c>
      <c r="GB23" s="351">
        <f t="shared" si="5"/>
        <v>955177.11</v>
      </c>
      <c r="GC23" s="351">
        <f t="shared" si="5"/>
        <v>1215368.99</v>
      </c>
      <c r="GD23" s="304"/>
      <c r="GE23" s="351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0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0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0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0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0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0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0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0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1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1">
        <f t="shared" ref="FR28:GC28" si="7">SUM(FR29:FR34)</f>
        <v>2226726.9299999997</v>
      </c>
      <c r="FS28" s="351">
        <f t="shared" si="7"/>
        <v>2200614.79</v>
      </c>
      <c r="FT28" s="351">
        <f t="shared" si="7"/>
        <v>1317967.9100000001</v>
      </c>
      <c r="FU28" s="351">
        <f t="shared" si="7"/>
        <v>1597851.3599999999</v>
      </c>
      <c r="FV28" s="351">
        <f t="shared" si="7"/>
        <v>1673853.74</v>
      </c>
      <c r="FW28" s="351">
        <f t="shared" si="7"/>
        <v>2752546.6799999997</v>
      </c>
      <c r="FX28" s="351">
        <f t="shared" si="7"/>
        <v>2600399.9099999997</v>
      </c>
      <c r="FY28" s="351">
        <f t="shared" si="7"/>
        <v>2411610.62</v>
      </c>
      <c r="FZ28" s="304">
        <f t="shared" si="7"/>
        <v>2242559.5</v>
      </c>
      <c r="GA28" s="351">
        <f t="shared" si="7"/>
        <v>3223177.49</v>
      </c>
      <c r="GB28" s="351">
        <f t="shared" si="7"/>
        <v>2393815.35</v>
      </c>
      <c r="GC28" s="351">
        <f t="shared" si="7"/>
        <v>3177660.7800000003</v>
      </c>
      <c r="GD28" s="304"/>
      <c r="GE28" s="351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0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0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0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0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0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0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0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0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0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0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0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0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1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1">
        <f t="shared" ref="FR35:GC35" si="9">SUM(FR36:FR39)</f>
        <v>1483663.6700000002</v>
      </c>
      <c r="FS35" s="351">
        <f t="shared" si="9"/>
        <v>2100277.88</v>
      </c>
      <c r="FT35" s="351">
        <f t="shared" si="9"/>
        <v>4243202.3499999996</v>
      </c>
      <c r="FU35" s="351">
        <f t="shared" si="9"/>
        <v>2093585.81</v>
      </c>
      <c r="FV35" s="351">
        <f t="shared" si="9"/>
        <v>1279434.9099999999</v>
      </c>
      <c r="FW35" s="351">
        <f t="shared" si="9"/>
        <v>1931121.2500000002</v>
      </c>
      <c r="FX35" s="351">
        <f t="shared" si="9"/>
        <v>2459062.7400000002</v>
      </c>
      <c r="FY35" s="351">
        <f t="shared" si="9"/>
        <v>3216715.11</v>
      </c>
      <c r="FZ35" s="304">
        <f t="shared" si="9"/>
        <v>11550447.479999999</v>
      </c>
      <c r="GA35" s="351">
        <f t="shared" si="9"/>
        <v>2887676.87</v>
      </c>
      <c r="GB35" s="351">
        <f t="shared" si="9"/>
        <v>1756272.85</v>
      </c>
      <c r="GC35" s="351">
        <f t="shared" si="9"/>
        <v>2614148.87</v>
      </c>
      <c r="GD35" s="304"/>
      <c r="GE35" s="351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0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0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0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0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0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0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0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0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1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1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1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0"/>
      <c r="FM41" s="302"/>
      <c r="FN41" s="302"/>
      <c r="FO41" s="302"/>
      <c r="FP41" s="302"/>
      <c r="FQ41" s="302"/>
      <c r="FR41" s="302"/>
      <c r="FS41" s="350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0"/>
      <c r="FM42" s="302"/>
      <c r="FN42" s="302"/>
      <c r="FO42" s="302"/>
      <c r="FP42" s="302"/>
      <c r="FQ42" s="302"/>
      <c r="FR42" s="302"/>
      <c r="FS42" s="350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1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1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1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0"/>
      <c r="FM44" s="302"/>
      <c r="FN44" s="302"/>
      <c r="FO44" s="302"/>
      <c r="FP44" s="302"/>
      <c r="FQ44" s="302"/>
      <c r="FR44" s="302"/>
      <c r="FS44" s="350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0"/>
      <c r="FM45" s="302"/>
      <c r="FN45" s="302"/>
      <c r="FO45" s="302"/>
      <c r="FP45" s="302"/>
      <c r="FQ45" s="302"/>
      <c r="FR45" s="302"/>
      <c r="FS45" s="350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1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1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1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0"/>
      <c r="FM47" s="302"/>
      <c r="FN47" s="302"/>
      <c r="FO47" s="302"/>
      <c r="FP47" s="302"/>
      <c r="FQ47" s="302"/>
      <c r="FR47" s="302"/>
      <c r="FS47" s="350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0"/>
      <c r="FM48" s="302"/>
      <c r="FN48" s="302"/>
      <c r="FO48" s="302"/>
      <c r="FP48" s="302"/>
      <c r="FQ48" s="302"/>
      <c r="FR48" s="302"/>
      <c r="FS48" s="350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1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1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1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0"/>
      <c r="FM50" s="302"/>
      <c r="FN50" s="302"/>
      <c r="FO50" s="302"/>
      <c r="FP50" s="302"/>
      <c r="FQ50" s="302"/>
      <c r="FR50" s="302"/>
      <c r="FS50" s="350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0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0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0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0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0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0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0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0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0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0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0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0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0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49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0">
        <v>3987318.08</v>
      </c>
      <c r="FR61" s="350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0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0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0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0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0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0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0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49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0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0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0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0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0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0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49">
        <v>8566117.3599999994</v>
      </c>
      <c r="FM76" s="302">
        <v>3294436.46</v>
      </c>
      <c r="FN76" s="302">
        <v>5819051.2000000002</v>
      </c>
      <c r="FO76" s="302">
        <v>7942946.5700000003</v>
      </c>
      <c r="FP76" s="350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0"/>
      <c r="FM77" s="302"/>
      <c r="FN77" s="302"/>
      <c r="FO77" s="302"/>
      <c r="FP77" s="302"/>
      <c r="FQ77" s="350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0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0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0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0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0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0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0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0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49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0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0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0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49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0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0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49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0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0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0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49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0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0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0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49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0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0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0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0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0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0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0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0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0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0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49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0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0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0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0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0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0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0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0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49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0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0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0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0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0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0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0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0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0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0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0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0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0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0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49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0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49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0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0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0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49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0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0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0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0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0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0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0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0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0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0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0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0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0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0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0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0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0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0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0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0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0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3"/>
      <c r="FE162" s="302"/>
      <c r="FF162" s="302"/>
      <c r="FG162" s="302"/>
      <c r="FH162" s="350"/>
      <c r="FI162" s="302"/>
      <c r="FJ162" s="302"/>
      <c r="FK162" s="302"/>
      <c r="FL162" s="350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0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0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0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0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0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0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0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49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0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0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0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0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0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0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0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49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49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0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0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0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49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49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0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7" t="s">
        <v>675</v>
      </c>
      <c r="F214" s="635">
        <v>2006</v>
      </c>
      <c r="G214" s="634"/>
      <c r="H214" s="634"/>
      <c r="I214" s="634"/>
      <c r="J214" s="634"/>
      <c r="K214" s="634"/>
      <c r="L214" s="634"/>
      <c r="M214" s="634"/>
      <c r="N214" s="634"/>
      <c r="O214" s="634"/>
      <c r="P214" s="634"/>
      <c r="Q214" s="636"/>
      <c r="R214" s="635">
        <v>2007</v>
      </c>
      <c r="S214" s="634"/>
      <c r="T214" s="634"/>
      <c r="U214" s="634"/>
      <c r="V214" s="634"/>
      <c r="W214" s="634"/>
      <c r="X214" s="634"/>
      <c r="Y214" s="634"/>
      <c r="Z214" s="634"/>
      <c r="AA214" s="634"/>
      <c r="AB214" s="634"/>
      <c r="AC214" s="636"/>
      <c r="AD214" s="635">
        <v>2008</v>
      </c>
      <c r="AE214" s="634"/>
      <c r="AF214" s="634"/>
      <c r="AG214" s="634"/>
      <c r="AH214" s="634"/>
      <c r="AI214" s="634"/>
      <c r="AJ214" s="634"/>
      <c r="AK214" s="634"/>
      <c r="AL214" s="634"/>
      <c r="AM214" s="634"/>
      <c r="AN214" s="634"/>
      <c r="AO214" s="636"/>
      <c r="AP214" s="635">
        <v>2009</v>
      </c>
      <c r="AQ214" s="634"/>
      <c r="AR214" s="634"/>
      <c r="AS214" s="634"/>
      <c r="AT214" s="634"/>
      <c r="AU214" s="634"/>
      <c r="AV214" s="634"/>
      <c r="AW214" s="634"/>
      <c r="AX214" s="634"/>
      <c r="AY214" s="634"/>
      <c r="AZ214" s="634"/>
      <c r="BA214" s="636"/>
      <c r="BB214" s="635">
        <v>2010</v>
      </c>
      <c r="BC214" s="634"/>
      <c r="BD214" s="634"/>
      <c r="BE214" s="634"/>
      <c r="BF214" s="634"/>
      <c r="BG214" s="634"/>
      <c r="BH214" s="634"/>
      <c r="BI214" s="634"/>
      <c r="BJ214" s="634"/>
      <c r="BK214" s="634"/>
      <c r="BL214" s="634"/>
      <c r="BM214" s="636"/>
      <c r="BN214" s="635">
        <v>2011</v>
      </c>
      <c r="BO214" s="634"/>
      <c r="BP214" s="634"/>
      <c r="BQ214" s="634"/>
      <c r="BR214" s="634"/>
      <c r="BS214" s="634"/>
      <c r="BT214" s="634"/>
      <c r="BU214" s="634"/>
      <c r="BV214" s="634"/>
      <c r="BW214" s="634"/>
      <c r="BX214" s="634"/>
      <c r="BY214" s="636"/>
      <c r="BZ214" s="634">
        <v>2012</v>
      </c>
      <c r="CA214" s="634"/>
      <c r="CB214" s="634"/>
      <c r="CC214" s="634"/>
      <c r="CD214" s="634"/>
      <c r="CE214" s="634"/>
      <c r="CF214" s="634"/>
      <c r="CG214" s="634"/>
      <c r="CH214" s="634"/>
      <c r="CI214" s="634"/>
      <c r="CJ214" s="634"/>
      <c r="CK214" s="634"/>
      <c r="CL214" s="635">
        <v>2013</v>
      </c>
      <c r="CM214" s="634"/>
      <c r="CN214" s="634"/>
      <c r="CO214" s="634"/>
      <c r="CP214" s="634"/>
      <c r="CQ214" s="634"/>
      <c r="CR214" s="634"/>
      <c r="CS214" s="634"/>
      <c r="CT214" s="634"/>
      <c r="CU214" s="634"/>
      <c r="CV214" s="634"/>
      <c r="CW214" s="636"/>
      <c r="CX214" s="635">
        <v>2014</v>
      </c>
      <c r="CY214" s="634"/>
      <c r="CZ214" s="634"/>
      <c r="DA214" s="634"/>
      <c r="DB214" s="634"/>
      <c r="DC214" s="634"/>
      <c r="DD214" s="634"/>
      <c r="DE214" s="634"/>
      <c r="DF214" s="634"/>
      <c r="DG214" s="634"/>
      <c r="DH214" s="634"/>
      <c r="DI214" s="636"/>
      <c r="DJ214" s="635">
        <v>2015</v>
      </c>
      <c r="DK214" s="634"/>
      <c r="DL214" s="634"/>
      <c r="DM214" s="634"/>
      <c r="DN214" s="634"/>
      <c r="DO214" s="634"/>
      <c r="DP214" s="634"/>
      <c r="DQ214" s="634"/>
      <c r="DR214" s="634"/>
      <c r="DS214" s="634"/>
      <c r="DT214" s="634"/>
      <c r="DU214" s="636"/>
    </row>
    <row r="215" spans="1:187">
      <c r="E215" s="637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5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6">
        <v>72429730.420000002</v>
      </c>
      <c r="FG218" s="346">
        <v>68470908.439999998</v>
      </c>
      <c r="FH218" s="346">
        <v>98709545.510000005</v>
      </c>
      <c r="FI218" s="346">
        <v>106791818.52</v>
      </c>
      <c r="FJ218" s="346">
        <v>94372185.030000001</v>
      </c>
      <c r="FK218" s="346">
        <v>89389439.689999998</v>
      </c>
      <c r="FL218" s="346">
        <v>106366803.00672032</v>
      </c>
      <c r="FM218" s="346">
        <v>110847613.63774106</v>
      </c>
      <c r="FN218" s="346">
        <f>105712748.66474-4000000</f>
        <v>101712748.66474</v>
      </c>
      <c r="FO218" s="346">
        <f>92295636.2285859+4000000</f>
        <v>96295636.228585899</v>
      </c>
      <c r="FP218" s="346">
        <v>84393107.743797168</v>
      </c>
      <c r="FQ218" s="346">
        <v>92890414.095145509</v>
      </c>
      <c r="FR218" s="432">
        <f>SUM(FR219:FR226)</f>
        <v>73320205.209999993</v>
      </c>
      <c r="FS218" s="432">
        <f t="shared" ref="FS218:FW218" si="24">SUM(FS219:FS226)</f>
        <v>69683087.399999991</v>
      </c>
      <c r="FT218" s="432">
        <f t="shared" si="24"/>
        <v>105613736.66000001</v>
      </c>
      <c r="FU218" s="432">
        <f t="shared" si="24"/>
        <v>83521974.920000002</v>
      </c>
      <c r="FV218" s="432">
        <f t="shared" si="24"/>
        <v>69752758.120000005</v>
      </c>
      <c r="FW218" s="432">
        <f t="shared" si="24"/>
        <v>82125472.672907159</v>
      </c>
      <c r="FX218" s="432">
        <f>SUM(FX219:FX226)</f>
        <v>97440527.99295114</v>
      </c>
      <c r="FY218" s="432">
        <f t="shared" ref="FY218" si="25">SUM(FY219:FY226)</f>
        <v>102835982.17822319</v>
      </c>
      <c r="FZ218" s="432">
        <f t="shared" ref="FZ218" si="26">SUM(FZ219:FZ226)</f>
        <v>99861898.573637322</v>
      </c>
      <c r="GA218" s="432">
        <f t="shared" ref="GA218" si="27">SUM(GA219:GA226)</f>
        <v>96098494.299763739</v>
      </c>
      <c r="GB218" s="432">
        <f t="shared" ref="GB218" si="28">SUM(GB219:GB226)</f>
        <v>81549422.466298312</v>
      </c>
      <c r="GC218" s="432">
        <f t="shared" ref="GC218" si="29">SUM(GC219:GC226)</f>
        <v>93633799.201363876</v>
      </c>
      <c r="GE218" s="425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6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6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6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6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6">
        <v>16498881.48</v>
      </c>
      <c r="FG227" s="346">
        <v>41912269.38000001</v>
      </c>
      <c r="FH227" s="346">
        <v>41047599.18</v>
      </c>
      <c r="FI227" s="346">
        <v>50290988.940000005</v>
      </c>
      <c r="FJ227" s="346">
        <v>37496285.130000003</v>
      </c>
      <c r="FK227" s="346">
        <v>45280786.510000005</v>
      </c>
      <c r="FL227" s="346">
        <v>46250891.035691187</v>
      </c>
      <c r="FM227" s="346">
        <v>44632014.674295112</v>
      </c>
      <c r="FN227" s="346">
        <v>41120271.333377153</v>
      </c>
      <c r="FO227" s="346">
        <v>46928850.635902815</v>
      </c>
      <c r="FP227" s="346">
        <v>44128259.697538294</v>
      </c>
      <c r="FQ227" s="346">
        <v>78626416.07852602</v>
      </c>
      <c r="FR227" s="432">
        <f>SUM(FR228:FR231)</f>
        <v>15749286.220000001</v>
      </c>
      <c r="FS227" s="432">
        <f t="shared" ref="FS227:GC227" si="36">SUM(FS228:FS231)</f>
        <v>42574769.890000001</v>
      </c>
      <c r="FT227" s="432">
        <f t="shared" si="36"/>
        <v>44888756.57</v>
      </c>
      <c r="FU227" s="432">
        <f t="shared" si="36"/>
        <v>33882602.5</v>
      </c>
      <c r="FV227" s="432">
        <f t="shared" si="36"/>
        <v>40418289.450000003</v>
      </c>
      <c r="FW227" s="432">
        <f t="shared" si="36"/>
        <v>39209561.537363522</v>
      </c>
      <c r="FX227" s="432">
        <f t="shared" si="36"/>
        <v>39824401.286702745</v>
      </c>
      <c r="FY227" s="432">
        <f t="shared" si="36"/>
        <v>37466342.331191912</v>
      </c>
      <c r="FZ227" s="432">
        <f t="shared" si="36"/>
        <v>35714950.117071614</v>
      </c>
      <c r="GA227" s="432">
        <f t="shared" si="36"/>
        <v>56930028.965902433</v>
      </c>
      <c r="GB227" s="432">
        <f t="shared" si="36"/>
        <v>36060885.689019322</v>
      </c>
      <c r="GC227" s="432">
        <f t="shared" si="36"/>
        <v>69780505.759044364</v>
      </c>
      <c r="GE227" s="425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6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6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6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6">
        <v>851162.27</v>
      </c>
      <c r="FG232" s="346">
        <v>1041125.3899999999</v>
      </c>
      <c r="FH232" s="346">
        <v>1066481.8799999999</v>
      </c>
      <c r="FI232" s="346">
        <v>1290371.49</v>
      </c>
      <c r="FJ232" s="346">
        <v>1208813.17</v>
      </c>
      <c r="FK232" s="346">
        <v>1252534.6599999999</v>
      </c>
      <c r="FL232" s="346">
        <v>1795731.4641523927</v>
      </c>
      <c r="FM232" s="346">
        <v>1701456.5372229549</v>
      </c>
      <c r="FN232" s="346">
        <v>1388736.0694359436</v>
      </c>
      <c r="FO232" s="346">
        <v>1341528.8515351652</v>
      </c>
      <c r="FP232" s="346">
        <v>1134405.6022195939</v>
      </c>
      <c r="FQ232" s="346">
        <v>1246141.5409339513</v>
      </c>
      <c r="FR232" s="432">
        <f>SUM(FR233:FR236)</f>
        <v>669819.01</v>
      </c>
      <c r="FS232" s="432">
        <f t="shared" ref="FS232:GC232" si="39">SUM(FS233:FS236)</f>
        <v>845756.92</v>
      </c>
      <c r="FT232" s="432">
        <f t="shared" si="39"/>
        <v>720374.53</v>
      </c>
      <c r="FU232" s="432">
        <f t="shared" si="39"/>
        <v>316937.24</v>
      </c>
      <c r="FV232" s="432">
        <f t="shared" si="39"/>
        <v>469045.42</v>
      </c>
      <c r="FW232" s="432">
        <f t="shared" si="39"/>
        <v>1161870.8532355535</v>
      </c>
      <c r="FX232" s="432">
        <f t="shared" si="39"/>
        <v>1673430.2546007757</v>
      </c>
      <c r="FY232" s="432">
        <f t="shared" si="39"/>
        <v>1388372.9389781314</v>
      </c>
      <c r="FZ232" s="432">
        <f t="shared" si="39"/>
        <v>1416214.8034873675</v>
      </c>
      <c r="GA232" s="432">
        <f t="shared" si="39"/>
        <v>1276386.1061063381</v>
      </c>
      <c r="GB232" s="432">
        <f t="shared" si="39"/>
        <v>963348.80250703567</v>
      </c>
      <c r="GC232" s="432">
        <f t="shared" si="39"/>
        <v>1285597.5253147981</v>
      </c>
      <c r="GE232" s="425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6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6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6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6">
        <v>2315003.25</v>
      </c>
      <c r="FG237" s="346">
        <v>1541397.86</v>
      </c>
      <c r="FH237" s="346">
        <v>2408517.5</v>
      </c>
      <c r="FI237" s="346">
        <v>3310133.38</v>
      </c>
      <c r="FJ237" s="346">
        <v>1792591.2</v>
      </c>
      <c r="FK237" s="346">
        <v>2081141.31</v>
      </c>
      <c r="FL237" s="346">
        <v>3811615.3822946725</v>
      </c>
      <c r="FM237" s="346">
        <v>2369139.8885664819</v>
      </c>
      <c r="FN237" s="346">
        <v>2509036.584840606</v>
      </c>
      <c r="FO237" s="346">
        <v>3286740.3746407013</v>
      </c>
      <c r="FP237" s="346">
        <v>2611990.4957672656</v>
      </c>
      <c r="FQ237" s="346">
        <v>3353537.6354902741</v>
      </c>
      <c r="FR237" s="432">
        <f>SUM(FR238:FR243)</f>
        <v>2226726.9299999997</v>
      </c>
      <c r="FS237" s="432">
        <f t="shared" ref="FS237:GC237" si="42">SUM(FS238:FS243)</f>
        <v>2200614.79</v>
      </c>
      <c r="FT237" s="432">
        <f t="shared" si="42"/>
        <v>1317967.9100000001</v>
      </c>
      <c r="FU237" s="432">
        <f t="shared" si="42"/>
        <v>1597851.3599999999</v>
      </c>
      <c r="FV237" s="432">
        <f t="shared" si="42"/>
        <v>1673853.74</v>
      </c>
      <c r="FW237" s="432">
        <f t="shared" si="42"/>
        <v>2179490.8743573632</v>
      </c>
      <c r="FX237" s="432">
        <f t="shared" si="42"/>
        <v>2571108.8359225746</v>
      </c>
      <c r="FY237" s="432">
        <f t="shared" si="42"/>
        <v>1825380.5890086682</v>
      </c>
      <c r="FZ237" s="432">
        <f t="shared" si="42"/>
        <v>2163813.0387331629</v>
      </c>
      <c r="GA237" s="432">
        <f t="shared" si="42"/>
        <v>1995229.2228867295</v>
      </c>
      <c r="GB237" s="432">
        <f t="shared" si="42"/>
        <v>1517691.0449207788</v>
      </c>
      <c r="GC237" s="432">
        <f t="shared" si="42"/>
        <v>3555523.5622207262</v>
      </c>
      <c r="GE237" s="425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6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6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6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6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6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6">
        <v>1567288.04</v>
      </c>
      <c r="FG244" s="346">
        <v>2199531.1</v>
      </c>
      <c r="FH244" s="346">
        <v>3194097.81</v>
      </c>
      <c r="FI244" s="346">
        <v>2385711.15</v>
      </c>
      <c r="FJ244" s="346">
        <v>7159438.3900000006</v>
      </c>
      <c r="FK244" s="346">
        <v>3263135.44</v>
      </c>
      <c r="FL244" s="346">
        <v>3782335.0282840966</v>
      </c>
      <c r="FM244" s="346">
        <v>3340173.0404689522</v>
      </c>
      <c r="FN244" s="346">
        <f>37689732.0664406-35000000</f>
        <v>2689732.0664405972</v>
      </c>
      <c r="FO244" s="346">
        <f>2215962.80977053+35000000</f>
        <v>37215962.809770532</v>
      </c>
      <c r="FP244" s="346">
        <v>3512092.3071244648</v>
      </c>
      <c r="FQ244" s="346">
        <v>7138953.7303113183</v>
      </c>
      <c r="FR244" s="432">
        <f>SUM(FR245:FR248)</f>
        <v>1484714.27</v>
      </c>
      <c r="FS244" s="432">
        <f t="shared" ref="FS244:GC244" si="46">SUM(FS245:FS248)</f>
        <v>2100277.88</v>
      </c>
      <c r="FT244" s="432">
        <f t="shared" si="46"/>
        <v>4248499.3600000003</v>
      </c>
      <c r="FU244" s="432">
        <f t="shared" si="46"/>
        <v>1617752.3800000001</v>
      </c>
      <c r="FV244" s="432">
        <f t="shared" si="46"/>
        <v>1237245.3599999999</v>
      </c>
      <c r="FW244" s="432">
        <f t="shared" si="46"/>
        <v>2257816.068284105</v>
      </c>
      <c r="FX244" s="432">
        <f t="shared" si="46"/>
        <v>5692253.8149066633</v>
      </c>
      <c r="FY244" s="432">
        <f t="shared" si="46"/>
        <v>4621203.3620386366</v>
      </c>
      <c r="FZ244" s="432">
        <f t="shared" si="46"/>
        <v>17537126.915220708</v>
      </c>
      <c r="GA244" s="432">
        <f t="shared" si="46"/>
        <v>3831817.5735939299</v>
      </c>
      <c r="GB244" s="432">
        <f t="shared" si="46"/>
        <v>3619302.6260553906</v>
      </c>
      <c r="GC244" s="432">
        <f t="shared" si="46"/>
        <v>4678583.5639540665</v>
      </c>
      <c r="GE244" s="425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6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6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6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6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2">
        <v>62782.51</v>
      </c>
      <c r="FS249" s="432">
        <v>437988.22</v>
      </c>
      <c r="FT249" s="432">
        <v>603218.21</v>
      </c>
      <c r="FU249" s="432">
        <v>198578.39</v>
      </c>
      <c r="FV249" s="432">
        <v>270349.07</v>
      </c>
      <c r="FW249" s="432">
        <v>632440.5</v>
      </c>
      <c r="FX249" s="432">
        <v>632440.5</v>
      </c>
      <c r="FY249" s="432">
        <v>632440.5</v>
      </c>
      <c r="FZ249" s="432">
        <v>632440.5</v>
      </c>
      <c r="GA249" s="432">
        <v>632440.5</v>
      </c>
      <c r="GB249" s="432">
        <v>632440.5</v>
      </c>
      <c r="GC249" s="432">
        <v>632440.6</v>
      </c>
      <c r="GD249" s="348"/>
      <c r="GE249" s="425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2">
        <v>80819.179999999993</v>
      </c>
      <c r="FS252" s="432">
        <v>813727.89</v>
      </c>
      <c r="FT252" s="432">
        <v>794561.22</v>
      </c>
      <c r="FU252" s="432">
        <v>561040.23</v>
      </c>
      <c r="FV252" s="432">
        <v>218800.94</v>
      </c>
      <c r="FW252" s="432">
        <v>172752.84814830567</v>
      </c>
      <c r="FX252" s="432">
        <v>621585.63801238476</v>
      </c>
      <c r="FY252" s="432">
        <v>1170088.8491047423</v>
      </c>
      <c r="FZ252" s="432">
        <v>665799.08079606481</v>
      </c>
      <c r="GA252" s="432">
        <v>9201611.3215604126</v>
      </c>
      <c r="GB252" s="432">
        <v>1305018.6190754015</v>
      </c>
      <c r="GC252" s="432">
        <v>1507066.6233026888</v>
      </c>
      <c r="GE252" s="425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6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2">
        <v>754264.83</v>
      </c>
      <c r="FS255" s="432">
        <v>1636489.54</v>
      </c>
      <c r="FT255" s="432">
        <v>3512551.56</v>
      </c>
      <c r="FU255" s="432">
        <v>2957605.59</v>
      </c>
      <c r="FV255" s="432">
        <v>1856477.6183333334</v>
      </c>
      <c r="FW255" s="432">
        <v>2156477.6183333299</v>
      </c>
      <c r="FX255" s="432">
        <v>1856477.6183333334</v>
      </c>
      <c r="FY255" s="432">
        <v>1856477.6183333334</v>
      </c>
      <c r="FZ255" s="432">
        <v>25000000</v>
      </c>
      <c r="GA255" s="432">
        <v>1856477.6183333334</v>
      </c>
      <c r="GB255" s="432">
        <v>1856477.6183333334</v>
      </c>
      <c r="GC255" s="432">
        <v>4700000</v>
      </c>
      <c r="GE255" s="42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5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5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5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6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6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6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6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5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8"/>
      <c r="FS271" s="428"/>
      <c r="FT271" s="428"/>
      <c r="FU271" s="428"/>
      <c r="FV271" s="428"/>
      <c r="FW271" s="428"/>
      <c r="FX271" s="428"/>
      <c r="FY271" s="428"/>
      <c r="FZ271" s="428"/>
      <c r="GA271" s="428"/>
      <c r="GB271" s="428"/>
      <c r="GC271" s="428"/>
      <c r="GD271" s="42"/>
      <c r="GE271" s="426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8"/>
      <c r="FS272" s="428"/>
      <c r="FT272" s="428"/>
      <c r="FU272" s="428"/>
      <c r="FV272" s="428"/>
      <c r="FW272" s="428"/>
      <c r="FX272" s="428"/>
      <c r="FY272" s="428"/>
      <c r="FZ272" s="428"/>
      <c r="GA272" s="428"/>
      <c r="GB272" s="428"/>
      <c r="GC272" s="428"/>
      <c r="GD272" s="42"/>
      <c r="GE272" s="426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8"/>
      <c r="FS273" s="428"/>
      <c r="FT273" s="428"/>
      <c r="FU273" s="428"/>
      <c r="FV273" s="428"/>
      <c r="FW273" s="428"/>
      <c r="FX273" s="428"/>
      <c r="FY273" s="428"/>
      <c r="FZ273" s="428"/>
      <c r="GA273" s="428"/>
      <c r="GB273" s="428"/>
      <c r="GC273" s="428"/>
      <c r="GD273" s="42"/>
      <c r="GE273" s="426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8"/>
      <c r="FS274" s="428"/>
      <c r="FT274" s="428"/>
      <c r="FU274" s="428"/>
      <c r="FV274" s="428"/>
      <c r="FW274" s="428"/>
      <c r="FX274" s="428"/>
      <c r="FY274" s="428"/>
      <c r="FZ274" s="428"/>
      <c r="GA274" s="428"/>
      <c r="GB274" s="428"/>
      <c r="GC274" s="428"/>
      <c r="GD274" s="42"/>
      <c r="GE274" s="426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8"/>
      <c r="FS275" s="428"/>
      <c r="FT275" s="428"/>
      <c r="FU275" s="428"/>
      <c r="FV275" s="428"/>
      <c r="FW275" s="428"/>
      <c r="FX275" s="428"/>
      <c r="FY275" s="428"/>
      <c r="FZ275" s="428"/>
      <c r="GA275" s="428"/>
      <c r="GB275" s="428"/>
      <c r="GC275" s="428"/>
      <c r="GD275" s="42"/>
      <c r="GE275" s="426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6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8"/>
      <c r="FS277" s="428"/>
      <c r="FT277" s="428"/>
      <c r="FU277" s="428"/>
      <c r="FV277" s="428"/>
      <c r="FW277" s="428"/>
      <c r="FX277" s="428"/>
      <c r="FY277" s="428"/>
      <c r="FZ277" s="428"/>
      <c r="GA277" s="428"/>
      <c r="GB277" s="428"/>
      <c r="GC277" s="428"/>
      <c r="GD277" s="42"/>
      <c r="GE277" s="42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5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6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6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6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6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6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5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6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6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6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6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6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6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6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6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5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6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6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5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6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5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6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6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5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6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6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5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6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6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6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6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6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6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6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6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6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5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6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6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6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6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6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6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6"/>
    </row>
    <row r="329" spans="1:187" s="349" customFormat="1" ht="30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5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6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6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6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6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6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5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6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6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6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6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6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6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6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5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6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5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6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6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6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5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5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6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6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6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6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6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6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6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6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6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5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6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6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6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6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6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29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5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6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6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6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6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6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6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6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7">
        <v>26666.67</v>
      </c>
      <c r="FG376" s="347">
        <v>26666.67</v>
      </c>
      <c r="FH376" s="347">
        <v>26666.67</v>
      </c>
      <c r="FI376" s="347">
        <v>39926666.670000002</v>
      </c>
      <c r="FJ376" s="347">
        <v>26666.67</v>
      </c>
      <c r="FK376" s="347">
        <v>26666.67</v>
      </c>
      <c r="FL376" s="347">
        <v>26666.67</v>
      </c>
      <c r="FM376" s="347">
        <v>26666.67</v>
      </c>
      <c r="FN376" s="347">
        <v>26666.67</v>
      </c>
      <c r="FO376" s="347">
        <v>26666.67</v>
      </c>
      <c r="FP376" s="347">
        <v>26666.67</v>
      </c>
      <c r="FQ376" s="347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6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6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1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6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6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6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6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6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5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7">
        <v>84944.84</v>
      </c>
      <c r="FG387" s="347">
        <v>835385.84</v>
      </c>
      <c r="FH387" s="347">
        <v>1812259.88</v>
      </c>
      <c r="FI387" s="347">
        <v>4541832.53</v>
      </c>
      <c r="FJ387" s="347">
        <v>2836722.65</v>
      </c>
      <c r="FK387" s="347">
        <v>7054086.1200000001</v>
      </c>
      <c r="FL387" s="347">
        <v>87625.45</v>
      </c>
      <c r="FM387" s="347">
        <v>10838080.380000001</v>
      </c>
      <c r="FN387" s="347">
        <v>1831359.63</v>
      </c>
      <c r="FO387" s="347">
        <v>1571862.21</v>
      </c>
      <c r="FP387" s="347">
        <v>839459.36</v>
      </c>
      <c r="FQ387" s="347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6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7">
        <v>1633418.82</v>
      </c>
      <c r="FG388" s="347">
        <v>2527307.11</v>
      </c>
      <c r="FH388" s="347">
        <v>15808665.810000001</v>
      </c>
      <c r="FI388" s="347">
        <v>16675362.76</v>
      </c>
      <c r="FJ388" s="347">
        <v>178652835.22999999</v>
      </c>
      <c r="FK388" s="347">
        <v>9790699.6799999997</v>
      </c>
      <c r="FL388" s="347">
        <v>61633418.82</v>
      </c>
      <c r="FM388" s="347">
        <v>2916660.71</v>
      </c>
      <c r="FN388" s="347">
        <v>15999957.68</v>
      </c>
      <c r="FO388" s="347">
        <v>4579294.0199999996</v>
      </c>
      <c r="FP388" s="347">
        <v>9337046.5099999998</v>
      </c>
      <c r="FQ388" s="347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5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6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8">
        <v>1234088.2</v>
      </c>
      <c r="FS392" s="348">
        <v>1922034.51</v>
      </c>
      <c r="FT392" s="348">
        <v>1368605.81</v>
      </c>
      <c r="FU392" s="348">
        <v>1039845.76</v>
      </c>
      <c r="FV392" s="348">
        <v>1116425.95</v>
      </c>
      <c r="FW392" s="348">
        <v>1374921.7142857143</v>
      </c>
      <c r="FX392" s="348">
        <v>1374921.7142857143</v>
      </c>
      <c r="FY392" s="348">
        <v>1374921.7142857143</v>
      </c>
      <c r="FZ392" s="348">
        <v>1374921.7142857143</v>
      </c>
      <c r="GA392" s="348">
        <v>1374921.7142857143</v>
      </c>
      <c r="GB392" s="348">
        <v>1374921.7142857143</v>
      </c>
      <c r="GC392" s="348">
        <v>1374921.7142857143</v>
      </c>
      <c r="GE392" s="425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5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7">
        <v>1650583.3333333333</v>
      </c>
      <c r="FG394" s="347">
        <v>1843583.3333333333</v>
      </c>
      <c r="FH394" s="347">
        <v>1650583.3333333333</v>
      </c>
      <c r="FI394" s="347">
        <v>1650583.3333333333</v>
      </c>
      <c r="FJ394" s="347">
        <v>1650583.3333333333</v>
      </c>
      <c r="FK394" s="347">
        <v>1650583.3333333333</v>
      </c>
      <c r="FL394" s="347">
        <f>1650583.33333333+3000000</f>
        <v>4650583.3333333302</v>
      </c>
      <c r="FM394" s="347">
        <v>1650583.3333333333</v>
      </c>
      <c r="FN394" s="347">
        <v>1650583.3333333333</v>
      </c>
      <c r="FO394" s="347">
        <f>3317250-1000000</f>
        <v>2317250</v>
      </c>
      <c r="FP394" s="347">
        <f>3317250-1000000</f>
        <v>2317250</v>
      </c>
      <c r="FQ394" s="347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6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7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6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6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7"/>
    </row>
    <row r="400" spans="1:187">
      <c r="GE400" s="430"/>
    </row>
    <row r="401" spans="187:187">
      <c r="GE401" s="427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221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3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2023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49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49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49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412</v>
      </c>
      <c r="F26" s="12" t="s">
        <v>841</v>
      </c>
      <c r="G26" s="52" t="str">
        <f t="shared" si="0"/>
        <v>Ostvarenje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 ht="23.25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3.25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34.5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3.25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3.25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7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7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3.25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3.25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3.25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3.25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 ht="23.25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 ht="23.25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3.25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 ht="23.25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 ht="23.25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Mart</v>
      </c>
    </row>
    <row r="246" spans="4:7">
      <c r="D246" s="49"/>
      <c r="E246" s="9"/>
      <c r="F246" s="10"/>
      <c r="G246" s="52" t="str">
        <f>+CONCATENATE("Jan - ",LEFT(G245,3))</f>
        <v>Jan - Mar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553</v>
      </c>
      <c r="F252" s="10" t="s">
        <v>842</v>
      </c>
      <c r="G252" s="52" t="str">
        <f t="shared" si="3"/>
        <v>Ostvarenje budžeta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Mar</v>
      </c>
      <c r="F254" s="10" t="str">
        <f>+CONCATENATE("Analytics for period ",G246)</f>
        <v>Analytics for period Jan - Mar</v>
      </c>
      <c r="G254" s="52" t="str">
        <f>+IF(ISBLANK(IF($B$2=1,E254,F254)),"",IF($B$2=1,E254,F254))</f>
        <v>Analitika za period Jan - Mar</v>
      </c>
    </row>
    <row r="255" spans="4:7">
      <c r="D255" s="46"/>
      <c r="E255" s="9" t="str">
        <f>+CONCATENATE("Analitika za period ",G245)</f>
        <v>Analitika za period Mart</v>
      </c>
      <c r="F255" s="10" t="str">
        <f>+CONCATENATE("Analytics for period ",G245)</f>
        <v>Analytics for period Mart</v>
      </c>
      <c r="G255" s="52" t="str">
        <f>+IF(ISBLANK(IF($B$2=1,E255,F255)),"",IF($B$2=1,E255,F255))</f>
        <v>Analitika za period Mart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Mart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Mart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Mart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Mart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Mart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Mart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60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tabSelected="1" zoomScaleNormal="100" workbookViewId="0">
      <pane ySplit="5" topLeftCell="A6" activePane="bottomLeft" state="frozen"/>
      <selection activeCell="DK219" sqref="DK219"/>
      <selection pane="bottomLeft" activeCell="E12" sqref="E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512" t="str">
        <f>+Master!G6</f>
        <v>Crna Gora</v>
      </c>
      <c r="F2" s="512"/>
      <c r="G2" s="512"/>
      <c r="I2" s="129"/>
    </row>
    <row r="3" spans="3:11" s="126" customFormat="1">
      <c r="E3" s="513" t="str">
        <f>+Master!G7</f>
        <v>Ministarstvo finansija</v>
      </c>
      <c r="F3" s="512"/>
      <c r="G3" s="512"/>
    </row>
    <row r="4" spans="3:11" s="126" customFormat="1">
      <c r="E4" s="513" t="str">
        <f>+Master!G8</f>
        <v>Direktorat za državni budžet</v>
      </c>
      <c r="F4" s="512"/>
      <c r="G4" s="512"/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Mart</v>
      </c>
      <c r="E11" s="135"/>
      <c r="F11" s="135"/>
      <c r="G11" s="137" t="str">
        <f>+Master!G274</f>
        <v>Prihodi za period Januar - Mart</v>
      </c>
      <c r="H11" s="135"/>
      <c r="I11" s="135"/>
      <c r="J11" s="135"/>
      <c r="K11" s="136"/>
    </row>
    <row r="12" spans="3:11">
      <c r="C12" s="134"/>
      <c r="D12" s="138">
        <f>+'Analitika 2023'!N10</f>
        <v>233452908.54999995</v>
      </c>
      <c r="E12" s="454">
        <f>+D12/'2023'!T7</f>
        <v>3.7808588175752271E-2</v>
      </c>
      <c r="F12" s="135"/>
      <c r="G12" s="138">
        <f>+'Analitika 2023'!G10</f>
        <v>545676206.88999999</v>
      </c>
      <c r="H12" s="454">
        <f>+G12/'2023'!T7</f>
        <v>8.8374341154082853E-2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9" t="s">
        <v>417</v>
      </c>
      <c r="H13" s="139" t="s">
        <v>807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+Master!G271</f>
        <v>Rashodi za mjesec Mart</v>
      </c>
      <c r="E15" s="135"/>
      <c r="F15" s="135"/>
      <c r="G15" s="137" t="str">
        <f>+Master!G275</f>
        <v>Rashodi za period Januar - Mart</v>
      </c>
      <c r="H15" s="135"/>
      <c r="I15" s="135"/>
      <c r="J15" s="135"/>
      <c r="K15" s="136"/>
    </row>
    <row r="16" spans="3:11">
      <c r="C16" s="134"/>
      <c r="D16" s="138">
        <f>+'Analitika 2023'!N29</f>
        <v>193560221.05999997</v>
      </c>
      <c r="E16" s="454">
        <f>+D16/'2023'!T7</f>
        <v>3.1347815414763704E-2</v>
      </c>
      <c r="F16" s="135"/>
      <c r="G16" s="138">
        <f>+'Analitika 2023'!G29</f>
        <v>479851696.85000002</v>
      </c>
      <c r="H16" s="454">
        <f>+G16/'2023'!T7</f>
        <v>7.771381091082824E-2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807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+Master!G272</f>
        <v>Suficit/Deficit za mjesec Mart</v>
      </c>
      <c r="E19" s="135"/>
      <c r="F19" s="135"/>
      <c r="G19" s="137" t="str">
        <f>+Master!G276</f>
        <v>Suficit/Deficit za period Januar - Mart</v>
      </c>
      <c r="H19" s="135"/>
      <c r="I19" s="135"/>
      <c r="J19" s="135"/>
      <c r="K19" s="136"/>
    </row>
    <row r="20" spans="3:12">
      <c r="C20" s="134"/>
      <c r="D20" s="138">
        <f>+'Analitika 2023'!N53</f>
        <v>39892687.48999998</v>
      </c>
      <c r="E20" s="454">
        <f>+D20/'2023'!T7</f>
        <v>6.460772760988563E-3</v>
      </c>
      <c r="F20" s="135"/>
      <c r="G20" s="138">
        <f>+'Analitika 2023'!G53</f>
        <v>65824510.039999977</v>
      </c>
      <c r="H20" s="454">
        <f>+G20/'2023'!T7</f>
        <v>1.0660530243254619E-2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807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5"/>
    </row>
  </sheetData>
  <sheetProtection algorithmName="SHA-512" hashValue="qkT5HVn8DQvo7QaAOY68qoO7LZvz8Ha+h8kS/U6oHvFcxHWMRtgPGkDHTDzOoyugyn3MWBy05mAEM0ZU9588Pg==" saltValue="d+xClnJLP/qZhkvxj1eDH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0"/>
  <sheetViews>
    <sheetView zoomScaleNormal="10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8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customWidth="1"/>
    <col min="15" max="15" width="11.42578125" style="5" customWidth="1"/>
    <col min="16" max="17" width="12.140625" style="5" customWidth="1"/>
    <col min="18" max="18" width="13.42578125" style="5" customWidth="1"/>
    <col min="19" max="19" width="9.140625" style="5" customWidth="1"/>
    <col min="20" max="20" width="9.85546875" style="5" customWidth="1"/>
    <col min="21" max="22" width="9.140625" style="5"/>
    <col min="23" max="23" width="11.7109375" style="5" bestFit="1" customWidth="1"/>
    <col min="24" max="25" width="9.140625" style="5"/>
    <col min="26" max="26" width="11.28515625" style="5" bestFit="1" customWidth="1"/>
    <col min="27" max="16384" width="9.140625" style="5"/>
  </cols>
  <sheetData>
    <row r="1" spans="1:25" s="1" customFormat="1">
      <c r="G1" s="354"/>
    </row>
    <row r="2" spans="1:25" s="1" customFormat="1">
      <c r="C2" s="2"/>
      <c r="E2" s="3" t="str">
        <f>+Master!G6</f>
        <v>Crna Gora</v>
      </c>
      <c r="G2" s="354"/>
      <c r="I2" s="4"/>
      <c r="P2" s="362"/>
    </row>
    <row r="3" spans="1:25" s="1" customFormat="1">
      <c r="B3" s="163"/>
      <c r="E3" s="4" t="str">
        <f>+Master!G7</f>
        <v>Ministarstvo finansija</v>
      </c>
      <c r="G3" s="354"/>
    </row>
    <row r="4" spans="1:25" s="1" customFormat="1">
      <c r="B4" s="163"/>
      <c r="E4" s="4" t="str">
        <f>+Master!G8</f>
        <v>Direktorat za državni budžet</v>
      </c>
      <c r="G4" s="354"/>
      <c r="H4" s="362"/>
      <c r="I4" s="362"/>
      <c r="J4" s="362"/>
      <c r="N4" s="481"/>
      <c r="P4" s="481"/>
      <c r="Q4" s="481"/>
    </row>
    <row r="5" spans="1:25" s="1" customFormat="1">
      <c r="B5" s="481"/>
      <c r="G5" s="163"/>
      <c r="H5" s="163"/>
      <c r="N5" s="481"/>
      <c r="P5" s="481"/>
    </row>
    <row r="6" spans="1:25" ht="15.75" thickBot="1">
      <c r="A6" s="130"/>
      <c r="B6" s="130"/>
      <c r="C6" s="130"/>
      <c r="D6" s="130"/>
      <c r="E6" s="130"/>
      <c r="F6" s="130"/>
      <c r="G6" s="355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2023-03</v>
      </c>
      <c r="O6" s="143" t="str">
        <f>+CONCATENATE(N6,"p")</f>
        <v>2023-03p</v>
      </c>
      <c r="P6" s="130"/>
      <c r="Q6" s="130"/>
      <c r="R6" s="143" t="str">
        <f>+IF(Master!B3-10&gt;=0,CONCATENATE(Master!B4-1,"-",Master!B3),CONCATENATE(Master!B4-1,"-0",Master!B3))</f>
        <v>2022-03</v>
      </c>
      <c r="S6" s="130"/>
      <c r="T6" s="130"/>
    </row>
    <row r="7" spans="1:25" ht="14.25" customHeight="1">
      <c r="A7" s="144"/>
      <c r="B7" s="550" t="str">
        <f>+Master!G254</f>
        <v>Analitika za period Jan - Mar</v>
      </c>
      <c r="C7" s="551"/>
      <c r="D7" s="551"/>
      <c r="E7" s="551"/>
      <c r="F7" s="551"/>
      <c r="G7" s="559" t="str">
        <f>+Master!G246</f>
        <v>Jan - Mar</v>
      </c>
      <c r="H7" s="560"/>
      <c r="I7" s="560"/>
      <c r="J7" s="560"/>
      <c r="K7" s="560"/>
      <c r="L7" s="560"/>
      <c r="M7" s="563"/>
      <c r="N7" s="560" t="str">
        <f>+Master!G245</f>
        <v>Mart</v>
      </c>
      <c r="O7" s="560"/>
      <c r="P7" s="560"/>
      <c r="Q7" s="560"/>
      <c r="R7" s="560"/>
      <c r="S7" s="560"/>
      <c r="T7" s="563"/>
    </row>
    <row r="8" spans="1:25" ht="29.25" customHeight="1">
      <c r="A8" s="144"/>
      <c r="B8" s="552"/>
      <c r="C8" s="553"/>
      <c r="D8" s="553"/>
      <c r="E8" s="553"/>
      <c r="F8" s="554"/>
      <c r="G8" s="515" t="str">
        <f>+Master!G26</f>
        <v>Ostvarenje</v>
      </c>
      <c r="H8" s="356" t="str">
        <f>+Master!G25</f>
        <v>Plan</v>
      </c>
      <c r="I8" s="548" t="str">
        <f>+Master!G261</f>
        <v>Odstupanje</v>
      </c>
      <c r="J8" s="548"/>
      <c r="K8" s="145" t="str">
        <f>+CONCATENATE(Master!G246," ",Master!B4-1)</f>
        <v>Jan - Mar 2022</v>
      </c>
      <c r="L8" s="548" t="str">
        <f>+I8</f>
        <v>Odstupanje</v>
      </c>
      <c r="M8" s="549"/>
      <c r="N8" s="515" t="str">
        <f>+G8</f>
        <v>Ostvarenje</v>
      </c>
      <c r="O8" s="145" t="str">
        <f>+H8</f>
        <v>Plan</v>
      </c>
      <c r="P8" s="548" t="str">
        <f>+I8</f>
        <v>Odstupanje</v>
      </c>
      <c r="Q8" s="548"/>
      <c r="R8" s="145" t="str">
        <f>+CONCATENATE(Master!G245," ",Master!B4-1)</f>
        <v>Mart 2022</v>
      </c>
      <c r="S8" s="548" t="str">
        <f>+P8</f>
        <v>Odstupanje</v>
      </c>
      <c r="T8" s="549"/>
    </row>
    <row r="9" spans="1:25" ht="15.75" thickBot="1">
      <c r="A9" s="144"/>
      <c r="B9" s="555"/>
      <c r="C9" s="556"/>
      <c r="D9" s="556"/>
      <c r="E9" s="556"/>
      <c r="F9" s="557"/>
      <c r="G9" s="357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9" t="s">
        <v>678</v>
      </c>
      <c r="N9" s="139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5" ht="15.75" thickBot="1">
      <c r="A10" s="150">
        <v>7</v>
      </c>
      <c r="B10" s="530" t="str">
        <f>+VLOOKUP($A10,Master!$D$30:$G$226,4,FALSE)</f>
        <v>Prihodi budžeta</v>
      </c>
      <c r="C10" s="531"/>
      <c r="D10" s="531"/>
      <c r="E10" s="531"/>
      <c r="F10" s="531"/>
      <c r="G10" s="151">
        <f>'2023'!S10</f>
        <v>545676206.88999999</v>
      </c>
      <c r="H10" s="151">
        <f>SUM('2023'!G84:I84)</f>
        <v>482685720.63814217</v>
      </c>
      <c r="I10" s="152">
        <f>+G10-H10</f>
        <v>62990486.251857817</v>
      </c>
      <c r="J10" s="154">
        <f>IF(+IF(ISERROR(G10/H10),"…",G10/H10-1)&gt;200%,"...",IF(ISERROR(G10/H10),"…",G10/H10-1))</f>
        <v>0.13049999939625367</v>
      </c>
      <c r="K10" s="151">
        <f>SUM('2022'!G10:I10)</f>
        <v>416644245.67000002</v>
      </c>
      <c r="L10" s="152">
        <f>+G10-K10</f>
        <v>129031961.21999997</v>
      </c>
      <c r="M10" s="156">
        <f>IF(+IF(ISERROR(G10/K10),"…",G10/K10-1)&gt;200%,"...",IF(ISERROR(G10/K10),"…",G10/K10-1))</f>
        <v>0.3096933716497281</v>
      </c>
      <c r="N10" s="151">
        <f>'2023'!I10</f>
        <v>233452908.54999995</v>
      </c>
      <c r="O10" s="151">
        <f>'2023'!I84</f>
        <v>201740232.63025409</v>
      </c>
      <c r="P10" s="152">
        <f>+N10-O10</f>
        <v>31712675.919745862</v>
      </c>
      <c r="Q10" s="154">
        <f>IF(+IF(ISERROR(N10/O10),"…",N10/O10-1)&gt;200%,"...",IF(ISERROR(N10/O10),"…",N10/O10-1))</f>
        <v>0.15719559507928338</v>
      </c>
      <c r="R10" s="151">
        <f>'2022'!I10</f>
        <v>184180987.31</v>
      </c>
      <c r="S10" s="152">
        <f>+N10-R10</f>
        <v>49271921.23999995</v>
      </c>
      <c r="T10" s="156">
        <f>IF(+IF(ISERROR(N10/R10),"…",N10/R10-1)&gt;200%,"...",IF(ISERROR(N10/R10),"…",N10/R10-1))</f>
        <v>0.26751904178398744</v>
      </c>
      <c r="W10" s="498"/>
      <c r="Y10" s="498"/>
    </row>
    <row r="11" spans="1:25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277">
        <f>'2023'!S11</f>
        <v>346379169.55999994</v>
      </c>
      <c r="H11" s="277">
        <f>SUM('2023'!G85:I85)</f>
        <v>326798154.78946209</v>
      </c>
      <c r="I11" s="158">
        <f t="shared" ref="I11:I57" si="0">+G11-H11</f>
        <v>19581014.770537853</v>
      </c>
      <c r="J11" s="160">
        <f t="shared" ref="J11:J64" si="1">IF(+IF(ISERROR(G11/H11-1),"…",G11/H11-1)&gt;200%,"...",IF(ISERROR(G11/H11-1),"…",G11/H11-1))</f>
        <v>5.991776417205541E-2</v>
      </c>
      <c r="K11" s="277">
        <f>SUM('2022'!G11:I11)</f>
        <v>300138813.95000005</v>
      </c>
      <c r="L11" s="158">
        <f>+G11-K11</f>
        <v>46240355.609999895</v>
      </c>
      <c r="M11" s="162">
        <f t="shared" ref="M11:M64" si="2">IF(+IF(ISERROR(G11/K11),"…",G11/K11-1)&gt;200%,"...",IF(ISERROR(G11/K11),"…",G11/K11-1))</f>
        <v>0.15406323161423252</v>
      </c>
      <c r="N11" s="277">
        <f>'2023'!I11</f>
        <v>151829456.91999999</v>
      </c>
      <c r="O11" s="277">
        <f>'2023'!I85</f>
        <v>151611174.865978</v>
      </c>
      <c r="P11" s="158">
        <f>+N11-O11</f>
        <v>218282.05402198434</v>
      </c>
      <c r="Q11" s="160">
        <f t="shared" ref="Q11:Q64" si="3">IF(+IF(ISERROR(N11/O11),"…",N11/O11-1)&gt;200%,"...",IF(ISERROR(N11/O11),"…",N11/O11-1))</f>
        <v>1.4397491096216353E-3</v>
      </c>
      <c r="R11" s="277">
        <f>'2022'!I11</f>
        <v>136363333.32000002</v>
      </c>
      <c r="S11" s="158">
        <f t="shared" ref="S11:S57" si="4">+N11-R11</f>
        <v>15466123.599999964</v>
      </c>
      <c r="T11" s="162">
        <f t="shared" ref="T11:T64" si="5">IF(+IF(ISERROR(N11/R11),"…",N11/R11-1)&gt;200%,"...",IF(ISERROR(N11/R11),"…",N11/R11-1))</f>
        <v>0.11341849178551566</v>
      </c>
      <c r="W11" s="498"/>
      <c r="Y11" s="498"/>
    </row>
    <row r="12" spans="1:25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f>'2023'!S12</f>
        <v>9585491.3500000015</v>
      </c>
      <c r="H12" s="163">
        <f>SUM('2023'!G86:I86)</f>
        <v>11059136.501156611</v>
      </c>
      <c r="I12" s="164">
        <f t="shared" si="0"/>
        <v>-1473645.1511566099</v>
      </c>
      <c r="J12" s="166">
        <f t="shared" si="1"/>
        <v>-0.1332513755483975</v>
      </c>
      <c r="K12" s="163">
        <f>SUM('2022'!G12:I12)</f>
        <v>20476917.02</v>
      </c>
      <c r="L12" s="164">
        <f>+G12-K12</f>
        <v>-10891425.669999998</v>
      </c>
      <c r="M12" s="168">
        <f t="shared" si="2"/>
        <v>-0.53188796239991787</v>
      </c>
      <c r="N12" s="163">
        <f>'2023'!I12</f>
        <v>4159428.24</v>
      </c>
      <c r="O12" s="163">
        <f>'2023'!I86</f>
        <v>4416792.289274618</v>
      </c>
      <c r="P12" s="164">
        <f t="shared" ref="P12:P57" si="6">+N12-O12</f>
        <v>-257364.04927461781</v>
      </c>
      <c r="Q12" s="166">
        <f t="shared" si="3"/>
        <v>-5.8269448146696878E-2</v>
      </c>
      <c r="R12" s="163">
        <f>'2022'!I12</f>
        <v>6664350.6399999997</v>
      </c>
      <c r="S12" s="164">
        <f t="shared" si="4"/>
        <v>-2504922.3999999994</v>
      </c>
      <c r="T12" s="168">
        <f t="shared" si="5"/>
        <v>-0.37586893837266633</v>
      </c>
      <c r="W12" s="498"/>
      <c r="Y12" s="498"/>
    </row>
    <row r="13" spans="1:25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f>'2023'!S13</f>
        <v>42686712.359999999</v>
      </c>
      <c r="H13" s="163">
        <f>SUM('2023'!G87:I87)</f>
        <v>55648606.200422123</v>
      </c>
      <c r="I13" s="164">
        <f t="shared" si="0"/>
        <v>-12961893.840422124</v>
      </c>
      <c r="J13" s="166">
        <f t="shared" si="1"/>
        <v>-0.23292396207982291</v>
      </c>
      <c r="K13" s="163">
        <f>SUM('2022'!G13:I13)</f>
        <v>41248279.109999999</v>
      </c>
      <c r="L13" s="164">
        <f t="shared" ref="L13:L57" si="7">+G13-K13</f>
        <v>1438433.25</v>
      </c>
      <c r="M13" s="168">
        <f t="shared" si="2"/>
        <v>3.4872563923552313E-2</v>
      </c>
      <c r="N13" s="163">
        <f>'2023'!I13</f>
        <v>37663055.619999997</v>
      </c>
      <c r="O13" s="163">
        <f>'2023'!I87</f>
        <v>52182708.518122546</v>
      </c>
      <c r="P13" s="164">
        <f t="shared" si="6"/>
        <v>-14519652.898122549</v>
      </c>
      <c r="Q13" s="166">
        <f t="shared" si="3"/>
        <v>-0.27824644044837221</v>
      </c>
      <c r="R13" s="163">
        <f>'2022'!I13</f>
        <v>38679260.32</v>
      </c>
      <c r="S13" s="164">
        <f t="shared" si="4"/>
        <v>-1016204.700000003</v>
      </c>
      <c r="T13" s="168">
        <f t="shared" si="5"/>
        <v>-2.6272599103312033E-2</v>
      </c>
      <c r="W13" s="498"/>
      <c r="Y13" s="498"/>
    </row>
    <row r="14" spans="1:25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f>'2023'!S14</f>
        <v>0</v>
      </c>
      <c r="H14" s="163">
        <f>SUM('2023'!G88:I88)</f>
        <v>0</v>
      </c>
      <c r="I14" s="164">
        <f t="shared" si="0"/>
        <v>0</v>
      </c>
      <c r="J14" s="166" t="str">
        <f t="shared" si="1"/>
        <v>...</v>
      </c>
      <c r="K14" s="163">
        <f>SUM('2022'!G14:I14)</f>
        <v>547993.65</v>
      </c>
      <c r="L14" s="164">
        <f t="shared" si="7"/>
        <v>-547993.65</v>
      </c>
      <c r="M14" s="168">
        <f t="shared" si="2"/>
        <v>-1</v>
      </c>
      <c r="N14" s="163">
        <f>'2023'!I14</f>
        <v>0</v>
      </c>
      <c r="O14" s="163">
        <f>'2023'!I88</f>
        <v>0</v>
      </c>
      <c r="P14" s="164">
        <f t="shared" si="6"/>
        <v>0</v>
      </c>
      <c r="Q14" s="166" t="str">
        <f t="shared" si="3"/>
        <v>...</v>
      </c>
      <c r="R14" s="163">
        <f>'2022'!I14</f>
        <v>233459.66</v>
      </c>
      <c r="S14" s="164">
        <f t="shared" si="4"/>
        <v>-233459.66</v>
      </c>
      <c r="T14" s="168">
        <f t="shared" si="5"/>
        <v>-1</v>
      </c>
      <c r="W14" s="498"/>
      <c r="Y14" s="498"/>
    </row>
    <row r="15" spans="1:25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f>'2023'!S15</f>
        <v>221766123.17000002</v>
      </c>
      <c r="H15" s="163">
        <f>SUM('2023'!G89:I89)</f>
        <v>194936321.93692654</v>
      </c>
      <c r="I15" s="164">
        <f t="shared" si="0"/>
        <v>26829801.233073473</v>
      </c>
      <c r="J15" s="166">
        <f t="shared" si="1"/>
        <v>0.13763366912070141</v>
      </c>
      <c r="K15" s="163">
        <f>SUM('2022'!G15:I15)</f>
        <v>171411208.22999999</v>
      </c>
      <c r="L15" s="164">
        <f t="shared" si="7"/>
        <v>50354914.940000027</v>
      </c>
      <c r="M15" s="168">
        <f t="shared" si="2"/>
        <v>0.29376675807823305</v>
      </c>
      <c r="N15" s="163">
        <f>'2023'!I15</f>
        <v>80926297.079999998</v>
      </c>
      <c r="O15" s="163">
        <f>'2023'!I89</f>
        <v>70779064.900745258</v>
      </c>
      <c r="P15" s="164">
        <f t="shared" si="6"/>
        <v>10147232.17925474</v>
      </c>
      <c r="Q15" s="166">
        <f t="shared" si="3"/>
        <v>0.14336488046973184</v>
      </c>
      <c r="R15" s="163">
        <f>'2022'!I15</f>
        <v>67019753.909999996</v>
      </c>
      <c r="S15" s="164">
        <f t="shared" si="4"/>
        <v>13906543.170000002</v>
      </c>
      <c r="T15" s="168">
        <f t="shared" si="5"/>
        <v>0.2074991679121192</v>
      </c>
      <c r="W15" s="498"/>
      <c r="Y15" s="498"/>
    </row>
    <row r="16" spans="1:25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f>'2023'!S16</f>
        <v>58304564.960000001</v>
      </c>
      <c r="H16" s="163">
        <f>SUM('2023'!G90:I90)</f>
        <v>55427131.607301913</v>
      </c>
      <c r="I16" s="164">
        <f t="shared" si="0"/>
        <v>2877433.3526980877</v>
      </c>
      <c r="J16" s="166">
        <f t="shared" si="1"/>
        <v>5.1913805915206668E-2</v>
      </c>
      <c r="K16" s="163">
        <f>SUM('2022'!G16:I16)</f>
        <v>56688234.68</v>
      </c>
      <c r="L16" s="164">
        <f t="shared" si="7"/>
        <v>1616330.2800000012</v>
      </c>
      <c r="M16" s="168">
        <f t="shared" si="2"/>
        <v>2.8512623282838767E-2</v>
      </c>
      <c r="N16" s="163">
        <f>'2023'!I16</f>
        <v>22619973.850000001</v>
      </c>
      <c r="O16" s="163">
        <f>'2023'!I90</f>
        <v>20008845.7876136</v>
      </c>
      <c r="P16" s="164">
        <f t="shared" si="6"/>
        <v>2611128.062386401</v>
      </c>
      <c r="Q16" s="166">
        <f t="shared" si="3"/>
        <v>0.13049868493677974</v>
      </c>
      <c r="R16" s="163">
        <f>'2022'!I16</f>
        <v>19528829.140000001</v>
      </c>
      <c r="S16" s="164">
        <f t="shared" si="4"/>
        <v>3091144.7100000009</v>
      </c>
      <c r="T16" s="168">
        <f t="shared" si="5"/>
        <v>0.15828622841850515</v>
      </c>
      <c r="W16" s="498"/>
      <c r="Y16" s="498"/>
    </row>
    <row r="17" spans="1:25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f>'2023'!S17</f>
        <v>11131991.879999999</v>
      </c>
      <c r="H17" s="163">
        <f>SUM('2023'!G91:I91)</f>
        <v>7125244.4699986428</v>
      </c>
      <c r="I17" s="164">
        <f t="shared" si="0"/>
        <v>4006747.4100013562</v>
      </c>
      <c r="J17" s="166">
        <f t="shared" si="1"/>
        <v>0.56233121921248541</v>
      </c>
      <c r="K17" s="163">
        <f>SUM('2022'!G17:I17)</f>
        <v>7122968.6799999997</v>
      </c>
      <c r="L17" s="164">
        <f t="shared" si="7"/>
        <v>4009023.1999999993</v>
      </c>
      <c r="M17" s="168">
        <f t="shared" si="2"/>
        <v>0.56283038436721022</v>
      </c>
      <c r="N17" s="163">
        <f>'2023'!I17</f>
        <v>5443960.21</v>
      </c>
      <c r="O17" s="163">
        <f>'2023'!I91</f>
        <v>3285503.6338270181</v>
      </c>
      <c r="P17" s="164">
        <f t="shared" si="6"/>
        <v>2158456.5761729819</v>
      </c>
      <c r="Q17" s="166">
        <f>IF(+IF(ISERROR(N17/O17),"…",N17/O17-1)&gt;200%,"...",IF(ISERROR(N17/O17),"…",N17/O17-1))</f>
        <v>0.65696368555184637</v>
      </c>
      <c r="R17" s="163">
        <f>'2022'!I17</f>
        <v>3284454.25</v>
      </c>
      <c r="S17" s="164">
        <f t="shared" si="4"/>
        <v>2159505.96</v>
      </c>
      <c r="T17" s="168">
        <f t="shared" si="5"/>
        <v>0.65749308579956622</v>
      </c>
      <c r="W17" s="498"/>
      <c r="Y17" s="498"/>
    </row>
    <row r="18" spans="1:25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f>'2023'!S18</f>
        <v>2904285.84</v>
      </c>
      <c r="H18" s="163">
        <f>SUM('2023'!G92:I92)</f>
        <v>2601714.0736562368</v>
      </c>
      <c r="I18" s="164">
        <f t="shared" si="0"/>
        <v>302571.7663437631</v>
      </c>
      <c r="J18" s="166">
        <f t="shared" si="1"/>
        <v>0.11629708637373559</v>
      </c>
      <c r="K18" s="163">
        <f>SUM('2022'!G18:I18)</f>
        <v>2643212.58</v>
      </c>
      <c r="L18" s="164">
        <f t="shared" si="7"/>
        <v>261073.25999999978</v>
      </c>
      <c r="M18" s="168">
        <f t="shared" si="2"/>
        <v>9.8771193045698924E-2</v>
      </c>
      <c r="N18" s="163">
        <f>'2023'!I18</f>
        <v>1016741.92</v>
      </c>
      <c r="O18" s="163">
        <f>'2023'!I92</f>
        <v>938259.73639494251</v>
      </c>
      <c r="P18" s="164">
        <f t="shared" si="6"/>
        <v>78482.183605057537</v>
      </c>
      <c r="Q18" s="166">
        <f t="shared" si="3"/>
        <v>8.3646543233975024E-2</v>
      </c>
      <c r="R18" s="163">
        <f>'2022'!I18</f>
        <v>953225.4</v>
      </c>
      <c r="S18" s="164">
        <f t="shared" si="4"/>
        <v>63516.520000000019</v>
      </c>
      <c r="T18" s="168">
        <f t="shared" si="5"/>
        <v>6.6633264283557647E-2</v>
      </c>
      <c r="W18" s="498"/>
      <c r="Y18" s="498"/>
    </row>
    <row r="19" spans="1:25">
      <c r="A19" s="150">
        <v>712</v>
      </c>
      <c r="B19" s="524" t="str">
        <f>+VLOOKUP($A19,Master!$D$30:$G$226,4,FALSE)</f>
        <v>Doprinosi</v>
      </c>
      <c r="C19" s="525"/>
      <c r="D19" s="525"/>
      <c r="E19" s="525"/>
      <c r="F19" s="525"/>
      <c r="G19" s="169">
        <f>'2023'!S19</f>
        <v>99782844.019999996</v>
      </c>
      <c r="H19" s="169">
        <f>SUM('2023'!G93:I93)</f>
        <v>84270133.819291562</v>
      </c>
      <c r="I19" s="170">
        <f t="shared" si="0"/>
        <v>15512710.200708434</v>
      </c>
      <c r="J19" s="172">
        <f t="shared" si="1"/>
        <v>0.18408313239390139</v>
      </c>
      <c r="K19" s="169">
        <f>SUM('2022'!G19:I19)</f>
        <v>83772855.75</v>
      </c>
      <c r="L19" s="170">
        <f t="shared" si="7"/>
        <v>16009988.269999996</v>
      </c>
      <c r="M19" s="174">
        <f t="shared" si="2"/>
        <v>0.19111188375597421</v>
      </c>
      <c r="N19" s="169">
        <f>'2023'!I19</f>
        <v>42670635.130000003</v>
      </c>
      <c r="O19" s="169">
        <f>'2023'!I93</f>
        <v>34746900.973094396</v>
      </c>
      <c r="P19" s="170">
        <f t="shared" si="6"/>
        <v>7923734.1569056064</v>
      </c>
      <c r="Q19" s="172">
        <f t="shared" si="3"/>
        <v>0.22804146369891232</v>
      </c>
      <c r="R19" s="169">
        <f>'2022'!I19</f>
        <v>37056759.600000001</v>
      </c>
      <c r="S19" s="170">
        <f t="shared" si="4"/>
        <v>5613875.5300000012</v>
      </c>
      <c r="T19" s="174">
        <f t="shared" si="5"/>
        <v>0.15149396737862642</v>
      </c>
      <c r="W19" s="498"/>
      <c r="Y19" s="498"/>
    </row>
    <row r="20" spans="1:25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f>'2023'!S20</f>
        <v>91227855.520000011</v>
      </c>
      <c r="H20" s="163">
        <f>SUM('2023'!G94:I94)</f>
        <v>77585379.191223815</v>
      </c>
      <c r="I20" s="164">
        <f t="shared" si="0"/>
        <v>13642476.328776196</v>
      </c>
      <c r="J20" s="166">
        <f t="shared" si="1"/>
        <v>0.17583823744873039</v>
      </c>
      <c r="K20" s="163">
        <f>SUM('2022'!G20:I20)</f>
        <v>63808537.519999996</v>
      </c>
      <c r="L20" s="164">
        <f t="shared" si="7"/>
        <v>27419318.000000015</v>
      </c>
      <c r="M20" s="168">
        <f t="shared" si="2"/>
        <v>0.4297123718186735</v>
      </c>
      <c r="N20" s="163">
        <f>'2023'!I20</f>
        <v>39108292.090000004</v>
      </c>
      <c r="O20" s="163">
        <f>'2023'!I94</f>
        <v>31885035.782585178</v>
      </c>
      <c r="P20" s="164">
        <f t="shared" si="6"/>
        <v>7223256.307414826</v>
      </c>
      <c r="Q20" s="166">
        <f t="shared" si="3"/>
        <v>0.22654063670080582</v>
      </c>
      <c r="R20" s="163">
        <f>'2022'!I20</f>
        <v>31891479.559999999</v>
      </c>
      <c r="S20" s="164">
        <f t="shared" si="4"/>
        <v>7216812.5300000049</v>
      </c>
      <c r="T20" s="168">
        <f t="shared" si="5"/>
        <v>0.22629281016650338</v>
      </c>
      <c r="W20" s="498"/>
      <c r="Y20" s="498"/>
    </row>
    <row r="21" spans="1:25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f>'2023'!S21</f>
        <v>1370337.46</v>
      </c>
      <c r="H21" s="163">
        <f>SUM('2023'!G95:I95)</f>
        <v>300071.60608232487</v>
      </c>
      <c r="I21" s="164">
        <f t="shared" si="0"/>
        <v>1070265.8539176751</v>
      </c>
      <c r="J21" s="166" t="str">
        <f t="shared" si="1"/>
        <v>...</v>
      </c>
      <c r="K21" s="163">
        <f>SUM('2022'!G21:I21)</f>
        <v>15016477.529999999</v>
      </c>
      <c r="L21" s="164">
        <f t="shared" si="7"/>
        <v>-13646140.07</v>
      </c>
      <c r="M21" s="168">
        <f t="shared" si="2"/>
        <v>-0.90874441377731019</v>
      </c>
      <c r="N21" s="163">
        <f>'2023'!I21</f>
        <v>422256.94</v>
      </c>
      <c r="O21" s="163">
        <f>'2023'!I95</f>
        <v>100023.86869410829</v>
      </c>
      <c r="P21" s="164">
        <f t="shared" si="6"/>
        <v>322233.07130589173</v>
      </c>
      <c r="Q21" s="166" t="str">
        <f t="shared" si="3"/>
        <v>...</v>
      </c>
      <c r="R21" s="163">
        <f>'2022'!I21</f>
        <v>2582574.44</v>
      </c>
      <c r="S21" s="164">
        <f t="shared" si="4"/>
        <v>-2160317.5</v>
      </c>
      <c r="T21" s="168">
        <f t="shared" si="5"/>
        <v>-0.8364976693566285</v>
      </c>
      <c r="W21" s="498"/>
      <c r="Y21" s="498"/>
    </row>
    <row r="22" spans="1:25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f>'2023'!S22</f>
        <v>4160698.2199999997</v>
      </c>
      <c r="H22" s="163">
        <f>SUM('2023'!G96:I96)</f>
        <v>3710712.829370901</v>
      </c>
      <c r="I22" s="164">
        <f t="shared" si="0"/>
        <v>449985.39062909875</v>
      </c>
      <c r="J22" s="166">
        <f t="shared" si="1"/>
        <v>0.12126656287368576</v>
      </c>
      <c r="K22" s="163">
        <f>SUM('2022'!G22:I22)</f>
        <v>2901152.4699999997</v>
      </c>
      <c r="L22" s="164">
        <f t="shared" si="7"/>
        <v>1259545.75</v>
      </c>
      <c r="M22" s="168">
        <f t="shared" si="2"/>
        <v>0.43415358655727609</v>
      </c>
      <c r="N22" s="163">
        <f>'2023'!I22</f>
        <v>1770290.32</v>
      </c>
      <c r="O22" s="163">
        <f>'2023'!I96</f>
        <v>1529231.4074864856</v>
      </c>
      <c r="P22" s="164">
        <f t="shared" si="6"/>
        <v>241058.91251351452</v>
      </c>
      <c r="Q22" s="166">
        <f t="shared" si="3"/>
        <v>0.15763403192832004</v>
      </c>
      <c r="R22" s="163">
        <f>'2022'!I22</f>
        <v>1459655.88</v>
      </c>
      <c r="S22" s="164">
        <f t="shared" si="4"/>
        <v>310634.44000000018</v>
      </c>
      <c r="T22" s="168">
        <f t="shared" si="5"/>
        <v>0.21281347491300506</v>
      </c>
      <c r="W22" s="498"/>
      <c r="Y22" s="498"/>
    </row>
    <row r="23" spans="1:25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f>'2023'!S23</f>
        <v>3023952.8200000003</v>
      </c>
      <c r="H23" s="163">
        <f>SUM('2023'!G97:I97)</f>
        <v>2673970.19261452</v>
      </c>
      <c r="I23" s="164">
        <f t="shared" si="0"/>
        <v>349982.62738548033</v>
      </c>
      <c r="J23" s="166">
        <f t="shared" si="1"/>
        <v>0.13088501448225909</v>
      </c>
      <c r="K23" s="163">
        <f>SUM('2022'!G23:I23)</f>
        <v>2046688.23</v>
      </c>
      <c r="L23" s="164">
        <f t="shared" si="7"/>
        <v>977264.59000000032</v>
      </c>
      <c r="M23" s="168">
        <f t="shared" si="2"/>
        <v>0.47748581130991319</v>
      </c>
      <c r="N23" s="163">
        <f>'2023'!I23</f>
        <v>1369795.78</v>
      </c>
      <c r="O23" s="163">
        <f>'2023'!I97</f>
        <v>1232609.9143286212</v>
      </c>
      <c r="P23" s="164">
        <f t="shared" si="6"/>
        <v>137185.86567137879</v>
      </c>
      <c r="Q23" s="166">
        <f t="shared" si="3"/>
        <v>0.1112970649324212</v>
      </c>
      <c r="R23" s="163">
        <f>'2022'!I23</f>
        <v>1123049.72</v>
      </c>
      <c r="S23" s="164">
        <f t="shared" si="4"/>
        <v>246746.06000000006</v>
      </c>
      <c r="T23" s="168">
        <f t="shared" si="5"/>
        <v>0.21971071770535677</v>
      </c>
      <c r="W23" s="498"/>
      <c r="Y23" s="498"/>
    </row>
    <row r="24" spans="1:25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f>'2023'!S24</f>
        <v>2748674.6799999997</v>
      </c>
      <c r="H24" s="175">
        <f>SUM('2023'!G98:I98)</f>
        <v>2390971.0724276407</v>
      </c>
      <c r="I24" s="176">
        <f t="shared" si="0"/>
        <v>357703.60757235903</v>
      </c>
      <c r="J24" s="178">
        <f t="shared" si="1"/>
        <v>0.14960599552932674</v>
      </c>
      <c r="K24" s="175">
        <f>SUM('2022'!G24:I24)</f>
        <v>2420825.79</v>
      </c>
      <c r="L24" s="176">
        <f t="shared" si="7"/>
        <v>327848.88999999966</v>
      </c>
      <c r="M24" s="180">
        <f t="shared" si="2"/>
        <v>0.13542853490502504</v>
      </c>
      <c r="N24" s="175">
        <f>'2023'!I24</f>
        <v>1043403.23</v>
      </c>
      <c r="O24" s="175">
        <f>'2023'!I98</f>
        <v>866806.93435184658</v>
      </c>
      <c r="P24" s="176">
        <f t="shared" si="6"/>
        <v>176596.29564815341</v>
      </c>
      <c r="Q24" s="178">
        <f t="shared" si="3"/>
        <v>0.20373198303980233</v>
      </c>
      <c r="R24" s="175">
        <f>'2022'!I24</f>
        <v>976895.25</v>
      </c>
      <c r="S24" s="176">
        <f t="shared" si="4"/>
        <v>66507.979999999981</v>
      </c>
      <c r="T24" s="180">
        <f t="shared" si="5"/>
        <v>6.8080973881283535E-2</v>
      </c>
      <c r="W24" s="498"/>
      <c r="Y24" s="498"/>
    </row>
    <row r="25" spans="1:25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f>'2023'!S25</f>
        <v>18868186.140000001</v>
      </c>
      <c r="H25" s="175">
        <f>SUM('2023'!G99:I99)</f>
        <v>16454262.449208466</v>
      </c>
      <c r="I25" s="176">
        <f t="shared" si="0"/>
        <v>2413923.6907915343</v>
      </c>
      <c r="J25" s="178">
        <f t="shared" si="1"/>
        <v>0.14670506795688421</v>
      </c>
      <c r="K25" s="175">
        <f>SUM('2022'!G25:I25)</f>
        <v>17329638.84</v>
      </c>
      <c r="L25" s="176">
        <f t="shared" si="7"/>
        <v>1538547.3000000007</v>
      </c>
      <c r="M25" s="180">
        <f t="shared" si="2"/>
        <v>8.8781267411571774E-2</v>
      </c>
      <c r="N25" s="175">
        <f>'2023'!I25</f>
        <v>3332694.04</v>
      </c>
      <c r="O25" s="175">
        <f>'2023'!I99</f>
        <v>2414564.2682698909</v>
      </c>
      <c r="P25" s="176">
        <f t="shared" si="6"/>
        <v>918129.77173010912</v>
      </c>
      <c r="Q25" s="178">
        <f t="shared" si="3"/>
        <v>0.38024656613840202</v>
      </c>
      <c r="R25" s="175">
        <f>'2022'!I25</f>
        <v>2432089.7200000002</v>
      </c>
      <c r="S25" s="176">
        <f t="shared" si="4"/>
        <v>900604.31999999983</v>
      </c>
      <c r="T25" s="180">
        <f t="shared" si="5"/>
        <v>0.37030061539012626</v>
      </c>
      <c r="W25" s="498"/>
      <c r="Y25" s="498"/>
    </row>
    <row r="26" spans="1:25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f>'2023'!S26</f>
        <v>39918354.109999999</v>
      </c>
      <c r="H26" s="175">
        <f>SUM('2023'!G100:I100)</f>
        <v>38941555.54882095</v>
      </c>
      <c r="I26" s="176">
        <f t="shared" si="0"/>
        <v>976798.56117904931</v>
      </c>
      <c r="J26" s="178">
        <f t="shared" si="1"/>
        <v>2.5083706786043436E-2</v>
      </c>
      <c r="K26" s="175">
        <f>SUM('2022'!G26:I26)</f>
        <v>4703278.3499999996</v>
      </c>
      <c r="L26" s="176">
        <f t="shared" si="7"/>
        <v>35215075.759999998</v>
      </c>
      <c r="M26" s="180" t="str">
        <f t="shared" si="2"/>
        <v>...</v>
      </c>
      <c r="N26" s="175">
        <f>'2023'!I26</f>
        <v>3231416.12</v>
      </c>
      <c r="O26" s="175">
        <f>'2023'!I100</f>
        <v>1797638.0792588741</v>
      </c>
      <c r="P26" s="176">
        <f t="shared" si="6"/>
        <v>1433778.0407411261</v>
      </c>
      <c r="Q26" s="178">
        <f t="shared" si="3"/>
        <v>0.79758993608560003</v>
      </c>
      <c r="R26" s="175">
        <f>'2022'!I26</f>
        <v>1734944.59</v>
      </c>
      <c r="S26" s="176">
        <f t="shared" si="4"/>
        <v>1496471.53</v>
      </c>
      <c r="T26" s="180">
        <f t="shared" si="5"/>
        <v>0.86254716065600689</v>
      </c>
      <c r="W26" s="498"/>
      <c r="Y26" s="498"/>
    </row>
    <row r="27" spans="1:25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f>'2023'!S27</f>
        <v>3238360.51</v>
      </c>
      <c r="H27" s="175">
        <f>SUM('2023'!G101:I101)</f>
        <v>830642.9589314796</v>
      </c>
      <c r="I27" s="176">
        <f t="shared" si="0"/>
        <v>2407717.5510685202</v>
      </c>
      <c r="J27" s="178" t="str">
        <f t="shared" si="1"/>
        <v>...</v>
      </c>
      <c r="K27" s="175">
        <f>SUM('2022'!G27:I27)</f>
        <v>1272821.3999999999</v>
      </c>
      <c r="L27" s="176">
        <f t="shared" si="7"/>
        <v>1965539.1099999999</v>
      </c>
      <c r="M27" s="180">
        <f t="shared" si="2"/>
        <v>1.5442379504304373</v>
      </c>
      <c r="N27" s="175">
        <f>'2023'!I27</f>
        <v>1080976.0299999998</v>
      </c>
      <c r="O27" s="175">
        <f>'2023'!I101</f>
        <v>303147.50930105889</v>
      </c>
      <c r="P27" s="176">
        <f t="shared" si="6"/>
        <v>777828.52069894085</v>
      </c>
      <c r="Q27" s="178" t="str">
        <f t="shared" si="3"/>
        <v>...</v>
      </c>
      <c r="R27" s="175">
        <f>'2022'!I27</f>
        <v>671874.17</v>
      </c>
      <c r="S27" s="176">
        <f t="shared" si="4"/>
        <v>409101.85999999975</v>
      </c>
      <c r="T27" s="180">
        <f t="shared" si="5"/>
        <v>0.60889654382754399</v>
      </c>
      <c r="W27" s="498"/>
      <c r="Y27" s="498"/>
    </row>
    <row r="28" spans="1:25" ht="15.7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f>'2023'!S28</f>
        <v>34740617.86999999</v>
      </c>
      <c r="H28" s="175">
        <f>SUM('2023'!G102:I102)</f>
        <v>13000000</v>
      </c>
      <c r="I28" s="176">
        <f t="shared" si="0"/>
        <v>21740617.86999999</v>
      </c>
      <c r="J28" s="178">
        <f t="shared" si="1"/>
        <v>1.67235522076923</v>
      </c>
      <c r="K28" s="175">
        <f>SUM('2022'!G28:I28)</f>
        <v>7006011.5899999999</v>
      </c>
      <c r="L28" s="176">
        <f t="shared" si="7"/>
        <v>27734606.27999999</v>
      </c>
      <c r="M28" s="180" t="str">
        <f t="shared" si="2"/>
        <v>...</v>
      </c>
      <c r="N28" s="175">
        <f>'2023'!I28</f>
        <v>30264327.079999987</v>
      </c>
      <c r="O28" s="175">
        <f>'2023'!I102</f>
        <v>10000000</v>
      </c>
      <c r="P28" s="176">
        <f t="shared" si="6"/>
        <v>20264327.079999987</v>
      </c>
      <c r="Q28" s="178" t="str">
        <f t="shared" si="3"/>
        <v>...</v>
      </c>
      <c r="R28" s="175">
        <f>'2022'!I28</f>
        <v>4945090.66</v>
      </c>
      <c r="S28" s="176">
        <f t="shared" si="4"/>
        <v>25319236.419999987</v>
      </c>
      <c r="T28" s="180" t="str">
        <f t="shared" si="5"/>
        <v>...</v>
      </c>
      <c r="W28" s="498"/>
      <c r="Y28" s="498"/>
    </row>
    <row r="29" spans="1:25" ht="15.7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>'2023'!S29</f>
        <v>479851696.85000002</v>
      </c>
      <c r="H29" s="151">
        <f>SUM('2023'!G103:I103)</f>
        <v>574470493.04999995</v>
      </c>
      <c r="I29" s="152">
        <f t="shared" si="0"/>
        <v>-94618796.199999928</v>
      </c>
      <c r="J29" s="154">
        <f t="shared" si="1"/>
        <v>-0.1647061030021687</v>
      </c>
      <c r="K29" s="151">
        <f>SUM('2022'!G29:I29)</f>
        <v>444891307.13</v>
      </c>
      <c r="L29" s="152">
        <f t="shared" si="7"/>
        <v>34960389.720000029</v>
      </c>
      <c r="M29" s="156">
        <f t="shared" si="2"/>
        <v>7.8581867435284281E-2</v>
      </c>
      <c r="N29" s="151">
        <f>'2023'!I29</f>
        <v>193560221.05999997</v>
      </c>
      <c r="O29" s="151">
        <f>'2023'!I103</f>
        <v>204056525.62</v>
      </c>
      <c r="P29" s="152">
        <f t="shared" si="6"/>
        <v>-10496304.560000032</v>
      </c>
      <c r="Q29" s="154">
        <f t="shared" si="3"/>
        <v>-5.1438220503403853E-2</v>
      </c>
      <c r="R29" s="151">
        <f>'2022'!I29</f>
        <v>152063505.35999998</v>
      </c>
      <c r="S29" s="152">
        <f t="shared" si="4"/>
        <v>41496715.699999988</v>
      </c>
      <c r="T29" s="156">
        <f t="shared" si="5"/>
        <v>0.27289069525103571</v>
      </c>
      <c r="W29" s="498"/>
      <c r="Y29" s="498"/>
    </row>
    <row r="30" spans="1:25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313">
        <f>'2023'!S30</f>
        <v>208233480.47999999</v>
      </c>
      <c r="H30" s="313">
        <f>SUM('2023'!G104:I104)</f>
        <v>233942582.84999996</v>
      </c>
      <c r="I30" s="188">
        <f t="shared" si="0"/>
        <v>-25709102.369999975</v>
      </c>
      <c r="J30" s="190">
        <f t="shared" si="1"/>
        <v>-0.10989492403135614</v>
      </c>
      <c r="K30" s="313">
        <f>SUM('2022'!G30:I30)</f>
        <v>172072934.53</v>
      </c>
      <c r="L30" s="188">
        <f t="shared" si="7"/>
        <v>36160545.949999988</v>
      </c>
      <c r="M30" s="192">
        <f t="shared" si="2"/>
        <v>0.21014662212142143</v>
      </c>
      <c r="N30" s="313">
        <f>'2023'!I30</f>
        <v>83324755.549999982</v>
      </c>
      <c r="O30" s="313">
        <f>'2023'!I104</f>
        <v>81069361.99000001</v>
      </c>
      <c r="P30" s="188">
        <f t="shared" si="6"/>
        <v>2255393.5599999726</v>
      </c>
      <c r="Q30" s="190">
        <f t="shared" si="3"/>
        <v>2.7820541628021944E-2</v>
      </c>
      <c r="R30" s="313">
        <f>'2022'!I30</f>
        <v>59512220.600000001</v>
      </c>
      <c r="S30" s="188">
        <f t="shared" si="4"/>
        <v>23812534.949999981</v>
      </c>
      <c r="T30" s="192">
        <f t="shared" si="5"/>
        <v>0.4001284897441717</v>
      </c>
      <c r="W30" s="498"/>
      <c r="Y30" s="498"/>
    </row>
    <row r="31" spans="1:25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f>'2023'!S31</f>
        <v>152786714.53</v>
      </c>
      <c r="H31" s="163">
        <f>SUM('2023'!G105:I105)</f>
        <v>148322804.65999997</v>
      </c>
      <c r="I31" s="164">
        <f t="shared" si="0"/>
        <v>4463909.8700000346</v>
      </c>
      <c r="J31" s="166">
        <f t="shared" si="1"/>
        <v>3.0095910606819043E-2</v>
      </c>
      <c r="K31" s="163">
        <f>SUM('2022'!G31:I31)</f>
        <v>129165744.60999998</v>
      </c>
      <c r="L31" s="164">
        <f t="shared" si="7"/>
        <v>23620969.920000017</v>
      </c>
      <c r="M31" s="168">
        <f t="shared" si="2"/>
        <v>0.18287333062895761</v>
      </c>
      <c r="N31" s="163">
        <f>'2023'!I31</f>
        <v>52148833.669999994</v>
      </c>
      <c r="O31" s="163">
        <f>'2023'!I105</f>
        <v>53690308.509999998</v>
      </c>
      <c r="P31" s="164">
        <f>+N31-O31</f>
        <v>-1541474.8400000036</v>
      </c>
      <c r="Q31" s="166">
        <f>IF(+IF(ISERROR(N31/O31),"…",N31/O31-1)&gt;200%,"...",IF(ISERROR(N31/O31),"…",N31/O31-1))</f>
        <v>-2.8710485798622232E-2</v>
      </c>
      <c r="R31" s="163">
        <f>'2022'!I31</f>
        <v>40375934.009999998</v>
      </c>
      <c r="S31" s="164">
        <f t="shared" si="4"/>
        <v>11772899.659999996</v>
      </c>
      <c r="T31" s="168">
        <f t="shared" si="5"/>
        <v>0.29158210079014335</v>
      </c>
      <c r="W31" s="498"/>
      <c r="Y31" s="498"/>
    </row>
    <row r="32" spans="1:25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f>'2023'!S32</f>
        <v>3401388.59</v>
      </c>
      <c r="H32" s="163">
        <f>SUM('2023'!G106:I106)</f>
        <v>4430760.53</v>
      </c>
      <c r="I32" s="164">
        <f t="shared" si="0"/>
        <v>-1029371.9400000004</v>
      </c>
      <c r="J32" s="166">
        <f t="shared" si="1"/>
        <v>-0.23232398434315749</v>
      </c>
      <c r="K32" s="163">
        <f>SUM('2022'!G32:I32)</f>
        <v>2295546.14</v>
      </c>
      <c r="L32" s="164">
        <f t="shared" si="7"/>
        <v>1105842.4499999997</v>
      </c>
      <c r="M32" s="168">
        <f t="shared" si="2"/>
        <v>0.48173392411097415</v>
      </c>
      <c r="N32" s="163">
        <f>'2023'!I32</f>
        <v>2090344.1199999999</v>
      </c>
      <c r="O32" s="163">
        <f>'2023'!I106</f>
        <v>1609325.4600000002</v>
      </c>
      <c r="P32" s="164">
        <f t="shared" si="6"/>
        <v>481018.65999999968</v>
      </c>
      <c r="Q32" s="166">
        <f t="shared" si="3"/>
        <v>0.29889458158451032</v>
      </c>
      <c r="R32" s="163">
        <f>'2022'!I32</f>
        <v>946225.55</v>
      </c>
      <c r="S32" s="164">
        <f t="shared" si="4"/>
        <v>1144118.5699999998</v>
      </c>
      <c r="T32" s="168">
        <f t="shared" si="5"/>
        <v>1.209139374856238</v>
      </c>
      <c r="W32" s="498"/>
      <c r="Y32" s="498"/>
    </row>
    <row r="33" spans="1:25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f>'2023'!S33</f>
        <v>8011927.3300000001</v>
      </c>
      <c r="H33" s="163">
        <f>SUM('2023'!G107:I107)</f>
        <v>12596181.370000001</v>
      </c>
      <c r="I33" s="164">
        <f t="shared" si="0"/>
        <v>-4584254.040000001</v>
      </c>
      <c r="J33" s="166">
        <f t="shared" si="1"/>
        <v>-0.36393998350311152</v>
      </c>
      <c r="K33" s="163">
        <f>SUM('2022'!G33:I33)</f>
        <v>6243831.7200000007</v>
      </c>
      <c r="L33" s="164">
        <f t="shared" si="7"/>
        <v>1768095.6099999994</v>
      </c>
      <c r="M33" s="168">
        <f t="shared" si="2"/>
        <v>0.28317476980305289</v>
      </c>
      <c r="N33" s="163">
        <f>'2023'!I33</f>
        <v>5143114.03</v>
      </c>
      <c r="O33" s="163">
        <f>'2023'!I107</f>
        <v>3493205.9000000008</v>
      </c>
      <c r="P33" s="164">
        <f t="shared" si="6"/>
        <v>1649908.1299999994</v>
      </c>
      <c r="Q33" s="166">
        <f t="shared" si="3"/>
        <v>0.47231917534548962</v>
      </c>
      <c r="R33" s="163">
        <f>'2022'!I33</f>
        <v>2614341.89</v>
      </c>
      <c r="S33" s="164">
        <f t="shared" si="4"/>
        <v>2528772.14</v>
      </c>
      <c r="T33" s="168">
        <f t="shared" si="5"/>
        <v>0.96726910496010143</v>
      </c>
      <c r="W33" s="498"/>
      <c r="Y33" s="498"/>
    </row>
    <row r="34" spans="1:25">
      <c r="A34" s="150">
        <v>414</v>
      </c>
      <c r="B34" s="522" t="str">
        <f>+VLOOKUP($A34,Master!$D$30:$G$226,4,FALSE)</f>
        <v>Rashodi za usluge</v>
      </c>
      <c r="C34" s="523"/>
      <c r="D34" s="523"/>
      <c r="E34" s="523"/>
      <c r="F34" s="523"/>
      <c r="G34" s="163">
        <f>'2023'!S34</f>
        <v>11633914.16</v>
      </c>
      <c r="H34" s="163">
        <f>SUM('2023'!G108:I108)</f>
        <v>15656442.909999989</v>
      </c>
      <c r="I34" s="164">
        <f t="shared" si="0"/>
        <v>-4022528.7499999888</v>
      </c>
      <c r="J34" s="166">
        <f t="shared" si="1"/>
        <v>-0.2569248183079148</v>
      </c>
      <c r="K34" s="163">
        <f>SUM('2022'!G34:I34)</f>
        <v>8438931.1999999993</v>
      </c>
      <c r="L34" s="164">
        <f t="shared" si="7"/>
        <v>3194982.9600000009</v>
      </c>
      <c r="M34" s="168">
        <f t="shared" si="2"/>
        <v>0.37860042750437417</v>
      </c>
      <c r="N34" s="163">
        <f>'2023'!I34</f>
        <v>7000663.9900000002</v>
      </c>
      <c r="O34" s="163">
        <f>'2023'!I108</f>
        <v>5255623.4299999969</v>
      </c>
      <c r="P34" s="164">
        <f t="shared" si="6"/>
        <v>1745040.5600000033</v>
      </c>
      <c r="Q34" s="166">
        <f t="shared" si="3"/>
        <v>0.33203302771637211</v>
      </c>
      <c r="R34" s="163">
        <f>'2022'!I34</f>
        <v>4448058.71</v>
      </c>
      <c r="S34" s="164">
        <f t="shared" si="4"/>
        <v>2552605.2800000003</v>
      </c>
      <c r="T34" s="168">
        <f t="shared" si="5"/>
        <v>0.57386951171784339</v>
      </c>
      <c r="W34" s="498"/>
      <c r="Y34" s="498"/>
    </row>
    <row r="35" spans="1:25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f>'2023'!S35</f>
        <v>3897439.7500000009</v>
      </c>
      <c r="H35" s="163">
        <f>SUM('2023'!G109:I109)</f>
        <v>7616851.7600000016</v>
      </c>
      <c r="I35" s="164">
        <f t="shared" si="0"/>
        <v>-3719412.0100000007</v>
      </c>
      <c r="J35" s="166">
        <f t="shared" si="1"/>
        <v>-0.48831356145494942</v>
      </c>
      <c r="K35" s="163">
        <f>SUM('2022'!G35:I35)</f>
        <v>3645836.35</v>
      </c>
      <c r="L35" s="164">
        <f t="shared" si="7"/>
        <v>251603.40000000084</v>
      </c>
      <c r="M35" s="168">
        <f t="shared" si="2"/>
        <v>6.9011161183907932E-2</v>
      </c>
      <c r="N35" s="163">
        <f>'2023'!I35</f>
        <v>3339189.7600000007</v>
      </c>
      <c r="O35" s="163">
        <f>'2023'!I109</f>
        <v>2555227.9700000002</v>
      </c>
      <c r="P35" s="164">
        <f t="shared" si="6"/>
        <v>783961.7900000005</v>
      </c>
      <c r="Q35" s="166">
        <f t="shared" si="3"/>
        <v>0.30680698521001259</v>
      </c>
      <c r="R35" s="163">
        <f>'2022'!I35</f>
        <v>1807724.3</v>
      </c>
      <c r="S35" s="164">
        <f t="shared" si="4"/>
        <v>1531465.4600000007</v>
      </c>
      <c r="T35" s="168">
        <f t="shared" si="5"/>
        <v>0.8471786654635336</v>
      </c>
      <c r="W35" s="498"/>
      <c r="Y35" s="498"/>
    </row>
    <row r="36" spans="1:25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f>'2023'!S36</f>
        <v>8133595.3600000003</v>
      </c>
      <c r="H36" s="163">
        <f>SUM('2023'!G110:I110)</f>
        <v>9885259.5199999996</v>
      </c>
      <c r="I36" s="164">
        <f t="shared" si="0"/>
        <v>-1751664.1599999992</v>
      </c>
      <c r="J36" s="166">
        <f t="shared" si="1"/>
        <v>-0.17719961286357799</v>
      </c>
      <c r="K36" s="163">
        <f>SUM('2022'!G36:I36)</f>
        <v>6074189</v>
      </c>
      <c r="L36" s="164">
        <f t="shared" si="7"/>
        <v>2059406.3600000003</v>
      </c>
      <c r="M36" s="168">
        <f t="shared" si="2"/>
        <v>0.33904219312240702</v>
      </c>
      <c r="N36" s="163">
        <f>'2023'!I36</f>
        <v>1735632.8099999998</v>
      </c>
      <c r="O36" s="163">
        <f>'2023'!I110</f>
        <v>2001828.5300000005</v>
      </c>
      <c r="P36" s="164">
        <f t="shared" si="6"/>
        <v>-266195.72000000067</v>
      </c>
      <c r="Q36" s="166">
        <f t="shared" si="3"/>
        <v>-0.13297628443730924</v>
      </c>
      <c r="R36" s="163">
        <f>'2022'!I36</f>
        <v>949082.56</v>
      </c>
      <c r="S36" s="164">
        <f t="shared" si="4"/>
        <v>786550.24999999977</v>
      </c>
      <c r="T36" s="168">
        <f t="shared" si="5"/>
        <v>0.82874797530785904</v>
      </c>
      <c r="W36" s="498"/>
      <c r="Y36" s="498"/>
    </row>
    <row r="37" spans="1:25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f>'2023'!S37</f>
        <v>1794783.3199999998</v>
      </c>
      <c r="H37" s="163">
        <f>SUM('2023'!G111:I111)</f>
        <v>2845116.1799999992</v>
      </c>
      <c r="I37" s="164">
        <f t="shared" si="0"/>
        <v>-1050332.8599999994</v>
      </c>
      <c r="J37" s="166">
        <f t="shared" si="1"/>
        <v>-0.3691704638929717</v>
      </c>
      <c r="K37" s="163">
        <f>SUM('2022'!G37:I37)</f>
        <v>1562563.38</v>
      </c>
      <c r="L37" s="164">
        <f t="shared" si="7"/>
        <v>232219.93999999994</v>
      </c>
      <c r="M37" s="168">
        <f t="shared" si="2"/>
        <v>0.14861473331084984</v>
      </c>
      <c r="N37" s="163">
        <f>'2023'!I37</f>
        <v>862022.10999999987</v>
      </c>
      <c r="O37" s="163">
        <f>'2023'!I111</f>
        <v>907422.25999999966</v>
      </c>
      <c r="P37" s="164">
        <f t="shared" si="6"/>
        <v>-45400.14999999979</v>
      </c>
      <c r="Q37" s="166">
        <f t="shared" si="3"/>
        <v>-5.0031999435411478E-2</v>
      </c>
      <c r="R37" s="163">
        <f>'2022'!I37</f>
        <v>597164.85</v>
      </c>
      <c r="S37" s="164">
        <f t="shared" si="4"/>
        <v>264857.25999999989</v>
      </c>
      <c r="T37" s="168">
        <f t="shared" si="5"/>
        <v>0.44352453095656896</v>
      </c>
      <c r="W37" s="498"/>
      <c r="Y37" s="498"/>
    </row>
    <row r="38" spans="1:25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f>'2023'!S38</f>
        <v>9637612.6499999985</v>
      </c>
      <c r="H38" s="163">
        <f>SUM('2023'!G112:I112)</f>
        <v>16454153.910000002</v>
      </c>
      <c r="I38" s="164">
        <f t="shared" si="0"/>
        <v>-6816541.2600000035</v>
      </c>
      <c r="J38" s="166">
        <f t="shared" si="1"/>
        <v>-0.41427479633925479</v>
      </c>
      <c r="K38" s="163">
        <f>SUM('2022'!G38:I38)</f>
        <v>7927885.1399999997</v>
      </c>
      <c r="L38" s="164">
        <f t="shared" si="7"/>
        <v>1709727.5099999988</v>
      </c>
      <c r="M38" s="168">
        <f t="shared" si="2"/>
        <v>0.21565997486184552</v>
      </c>
      <c r="N38" s="163">
        <f>'2023'!I38</f>
        <v>5710797.709999999</v>
      </c>
      <c r="O38" s="163">
        <f>'2023'!I112</f>
        <v>5216117.9700000007</v>
      </c>
      <c r="P38" s="164">
        <f t="shared" si="6"/>
        <v>494679.73999999836</v>
      </c>
      <c r="Q38" s="166">
        <f t="shared" si="3"/>
        <v>9.4836762290481325E-2</v>
      </c>
      <c r="R38" s="163">
        <f>'2022'!I38</f>
        <v>4730535.5999999996</v>
      </c>
      <c r="S38" s="164">
        <f t="shared" si="4"/>
        <v>980262.1099999994</v>
      </c>
      <c r="T38" s="168">
        <f t="shared" si="5"/>
        <v>0.20722011055154077</v>
      </c>
      <c r="W38" s="498"/>
      <c r="Y38" s="498"/>
    </row>
    <row r="39" spans="1:25">
      <c r="A39" s="150">
        <v>419</v>
      </c>
      <c r="B39" s="522" t="str">
        <f>+VLOOKUP($A39,Master!$D$30:$G$226,4,FALSE)</f>
        <v>Ostali izdaci</v>
      </c>
      <c r="C39" s="523"/>
      <c r="D39" s="523"/>
      <c r="E39" s="523"/>
      <c r="F39" s="523"/>
      <c r="G39" s="163">
        <f>'2023'!S39</f>
        <v>8936104.7899999991</v>
      </c>
      <c r="H39" s="163">
        <f>SUM('2023'!G113:I113)</f>
        <v>16135012.010000002</v>
      </c>
      <c r="I39" s="164">
        <f t="shared" si="0"/>
        <v>-7198907.2200000025</v>
      </c>
      <c r="J39" s="166">
        <f t="shared" si="1"/>
        <v>-0.44616683368678833</v>
      </c>
      <c r="K39" s="163">
        <f>SUM('2022'!G39:I39)</f>
        <v>6718406.9900000002</v>
      </c>
      <c r="L39" s="164">
        <f t="shared" si="7"/>
        <v>2217697.7999999989</v>
      </c>
      <c r="M39" s="168">
        <f t="shared" si="2"/>
        <v>0.33009280374066763</v>
      </c>
      <c r="N39" s="163">
        <f>'2023'!I39</f>
        <v>5294157.3499999987</v>
      </c>
      <c r="O39" s="163">
        <f>'2023'!I113</f>
        <v>6340301.9600000009</v>
      </c>
      <c r="P39" s="164">
        <f t="shared" si="6"/>
        <v>-1046144.6100000022</v>
      </c>
      <c r="Q39" s="166">
        <f t="shared" si="3"/>
        <v>-0.16499917773632378</v>
      </c>
      <c r="R39" s="163">
        <f>'2022'!I39</f>
        <v>3043153.13</v>
      </c>
      <c r="S39" s="164">
        <f t="shared" si="4"/>
        <v>2251004.2199999988</v>
      </c>
      <c r="T39" s="168">
        <f t="shared" si="5"/>
        <v>0.73969469291872247</v>
      </c>
      <c r="W39" s="498"/>
      <c r="Y39" s="498"/>
    </row>
    <row r="40" spans="1:25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'2023'!S40</f>
        <v>192948664.26999995</v>
      </c>
      <c r="H40" s="193">
        <f>SUM('2023'!G114:I114)</f>
        <v>193817713.71000001</v>
      </c>
      <c r="I40" s="194">
        <f t="shared" si="0"/>
        <v>-869049.44000005722</v>
      </c>
      <c r="J40" s="196">
        <f t="shared" si="1"/>
        <v>-4.4838494034676879E-3</v>
      </c>
      <c r="K40" s="193">
        <f>SUM('2022'!G40:I40)</f>
        <v>142775723.27000001</v>
      </c>
      <c r="L40" s="194">
        <f t="shared" si="7"/>
        <v>50172940.99999994</v>
      </c>
      <c r="M40" s="198">
        <f t="shared" si="2"/>
        <v>0.35141086909515429</v>
      </c>
      <c r="N40" s="193">
        <f>'2023'!I40</f>
        <v>68141527.619999975</v>
      </c>
      <c r="O40" s="193">
        <f>'2023'!I114</f>
        <v>64593275.430000007</v>
      </c>
      <c r="P40" s="194">
        <f t="shared" si="6"/>
        <v>3548252.1899999678</v>
      </c>
      <c r="Q40" s="196">
        <f t="shared" si="3"/>
        <v>5.4932222686945531E-2</v>
      </c>
      <c r="R40" s="193">
        <f>'2022'!I40</f>
        <v>50287764.18</v>
      </c>
      <c r="S40" s="194">
        <f t="shared" si="4"/>
        <v>17853763.439999975</v>
      </c>
      <c r="T40" s="198">
        <f t="shared" si="5"/>
        <v>0.35503195918780994</v>
      </c>
      <c r="W40" s="498"/>
      <c r="Y40" s="498"/>
    </row>
    <row r="41" spans="1:25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f>'2023'!S41</f>
        <v>52452756.899999999</v>
      </c>
      <c r="H41" s="163">
        <f>SUM('2023'!G115:I115)</f>
        <v>47534245.5</v>
      </c>
      <c r="I41" s="164">
        <f t="shared" si="0"/>
        <v>4918511.3999999985</v>
      </c>
      <c r="J41" s="166">
        <f t="shared" si="1"/>
        <v>0.10347300873851051</v>
      </c>
      <c r="K41" s="163">
        <f>SUM('2022'!G41:I41)</f>
        <v>24977494.689999998</v>
      </c>
      <c r="L41" s="164">
        <f t="shared" si="7"/>
        <v>27475262.210000001</v>
      </c>
      <c r="M41" s="168">
        <f t="shared" si="2"/>
        <v>1.100000722690575</v>
      </c>
      <c r="N41" s="163">
        <f>'2023'!I41</f>
        <v>18659851.780000001</v>
      </c>
      <c r="O41" s="163">
        <f>'2023'!I115</f>
        <v>15844748.540000001</v>
      </c>
      <c r="P41" s="164">
        <f t="shared" si="6"/>
        <v>2815103.24</v>
      </c>
      <c r="Q41" s="166">
        <f t="shared" si="3"/>
        <v>0.1776679025794119</v>
      </c>
      <c r="R41" s="163">
        <f>'2022'!I41</f>
        <v>8605052.6899999995</v>
      </c>
      <c r="S41" s="164">
        <f t="shared" si="4"/>
        <v>10054799.090000002</v>
      </c>
      <c r="T41" s="168">
        <f t="shared" si="5"/>
        <v>1.1684761793132035</v>
      </c>
      <c r="W41" s="498"/>
      <c r="Y41" s="498"/>
    </row>
    <row r="42" spans="1:25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f>'2023'!S42</f>
        <v>4297370.43</v>
      </c>
      <c r="H42" s="163">
        <f>SUM('2023'!G116:I116)</f>
        <v>5727452.0100000007</v>
      </c>
      <c r="I42" s="164">
        <f t="shared" si="0"/>
        <v>-1430081.580000001</v>
      </c>
      <c r="J42" s="166">
        <f t="shared" si="1"/>
        <v>-0.24968896771253801</v>
      </c>
      <c r="K42" s="163">
        <f>SUM('2022'!G42:I42)</f>
        <v>4939208.09</v>
      </c>
      <c r="L42" s="164">
        <f t="shared" si="7"/>
        <v>-641837.66000000015</v>
      </c>
      <c r="M42" s="168">
        <f t="shared" si="2"/>
        <v>-0.12994748313995419</v>
      </c>
      <c r="N42" s="163">
        <f>'2023'!I42</f>
        <v>2136078.06</v>
      </c>
      <c r="O42" s="163">
        <f>'2023'!I116</f>
        <v>1909150.6700000002</v>
      </c>
      <c r="P42" s="164">
        <f t="shared" si="6"/>
        <v>226927.3899999999</v>
      </c>
      <c r="Q42" s="166">
        <f t="shared" si="3"/>
        <v>0.11886300728689991</v>
      </c>
      <c r="R42" s="163">
        <f>'2022'!I42</f>
        <v>2440778.17</v>
      </c>
      <c r="S42" s="164">
        <f t="shared" si="4"/>
        <v>-304700.10999999987</v>
      </c>
      <c r="T42" s="168">
        <f t="shared" si="5"/>
        <v>-0.12483728089062673</v>
      </c>
      <c r="W42" s="498"/>
      <c r="Y42" s="498"/>
    </row>
    <row r="43" spans="1:25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f>'2023'!S43</f>
        <v>129293534.31999999</v>
      </c>
      <c r="H43" s="163">
        <f>SUM('2023'!G117:I117)</f>
        <v>132541016.20000002</v>
      </c>
      <c r="I43" s="164">
        <f t="shared" si="0"/>
        <v>-3247481.880000025</v>
      </c>
      <c r="J43" s="166">
        <f t="shared" si="1"/>
        <v>-2.4501712549869659E-2</v>
      </c>
      <c r="K43" s="163">
        <f>SUM('2022'!G43:I43)</f>
        <v>107573776.69999999</v>
      </c>
      <c r="L43" s="164">
        <f t="shared" si="7"/>
        <v>21719757.620000005</v>
      </c>
      <c r="M43" s="168">
        <f t="shared" si="2"/>
        <v>0.20190569008813108</v>
      </c>
      <c r="N43" s="163">
        <f>'2023'!I43</f>
        <v>43546253.729999982</v>
      </c>
      <c r="O43" s="163">
        <f>'2023'!I117</f>
        <v>44134376.220000006</v>
      </c>
      <c r="P43" s="164">
        <f t="shared" si="6"/>
        <v>-588122.49000002444</v>
      </c>
      <c r="Q43" s="166">
        <f t="shared" si="3"/>
        <v>-1.3325723401376832E-2</v>
      </c>
      <c r="R43" s="163">
        <f>'2022'!I43</f>
        <v>36074398.100000001</v>
      </c>
      <c r="S43" s="164">
        <f t="shared" si="4"/>
        <v>7471855.6299999803</v>
      </c>
      <c r="T43" s="168">
        <f t="shared" si="5"/>
        <v>0.20712350097394916</v>
      </c>
      <c r="W43" s="498"/>
      <c r="Y43" s="498"/>
    </row>
    <row r="44" spans="1:25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f>'2023'!S44</f>
        <v>4682418.76</v>
      </c>
      <c r="H44" s="163">
        <f>SUM('2023'!G118:I118)</f>
        <v>5265000</v>
      </c>
      <c r="I44" s="164">
        <f t="shared" si="0"/>
        <v>-582581.24000000022</v>
      </c>
      <c r="J44" s="166">
        <f t="shared" si="1"/>
        <v>-0.11065170750237419</v>
      </c>
      <c r="K44" s="163">
        <f>SUM('2022'!G44:I44)</f>
        <v>2782473.65</v>
      </c>
      <c r="L44" s="164">
        <f t="shared" si="7"/>
        <v>1899945.1099999999</v>
      </c>
      <c r="M44" s="168">
        <f t="shared" si="2"/>
        <v>0.68282591283478999</v>
      </c>
      <c r="N44" s="163">
        <f>'2023'!I44</f>
        <v>2523574.06</v>
      </c>
      <c r="O44" s="163">
        <f>'2023'!I118</f>
        <v>1755000</v>
      </c>
      <c r="P44" s="164">
        <f t="shared" si="6"/>
        <v>768574.06</v>
      </c>
      <c r="Q44" s="166">
        <f t="shared" si="3"/>
        <v>0.43793393732193731</v>
      </c>
      <c r="R44" s="163">
        <f>'2022'!I44</f>
        <v>1609138.94</v>
      </c>
      <c r="S44" s="164">
        <f t="shared" si="4"/>
        <v>914435.12000000011</v>
      </c>
      <c r="T44" s="168">
        <f t="shared" si="5"/>
        <v>0.56827604954982958</v>
      </c>
      <c r="W44" s="498"/>
      <c r="Y44" s="498"/>
    </row>
    <row r="45" spans="1:25">
      <c r="A45" s="150">
        <v>425</v>
      </c>
      <c r="B45" s="522" t="str">
        <f>+VLOOKUP($A45,Master!$D$30:$G$226,4,FALSE)</f>
        <v>Ostala prava iz zdravstvenog osiguranja</v>
      </c>
      <c r="C45" s="523"/>
      <c r="D45" s="523"/>
      <c r="E45" s="523"/>
      <c r="F45" s="523"/>
      <c r="G45" s="163">
        <f>'2023'!S45</f>
        <v>2222583.86</v>
      </c>
      <c r="H45" s="163">
        <f>SUM('2023'!G119:I119)</f>
        <v>2750000</v>
      </c>
      <c r="I45" s="164">
        <f t="shared" si="0"/>
        <v>-527416.14000000013</v>
      </c>
      <c r="J45" s="166">
        <f t="shared" si="1"/>
        <v>-0.19178768727272733</v>
      </c>
      <c r="K45" s="163">
        <f>SUM('2022'!G45:I45)</f>
        <v>2502770.14</v>
      </c>
      <c r="L45" s="164">
        <f t="shared" si="7"/>
        <v>-280186.28000000026</v>
      </c>
      <c r="M45" s="168">
        <f t="shared" si="2"/>
        <v>-0.11195046461597957</v>
      </c>
      <c r="N45" s="163">
        <f>'2023'!I45</f>
        <v>1275769.99</v>
      </c>
      <c r="O45" s="163">
        <f>'2023'!I119</f>
        <v>950000</v>
      </c>
      <c r="P45" s="164">
        <f t="shared" si="6"/>
        <v>325769.99</v>
      </c>
      <c r="Q45" s="166">
        <f t="shared" si="3"/>
        <v>0.34291577894736847</v>
      </c>
      <c r="R45" s="163">
        <f>'2022'!I45</f>
        <v>1558396.28</v>
      </c>
      <c r="S45" s="164">
        <f t="shared" si="4"/>
        <v>-282626.29000000004</v>
      </c>
      <c r="T45" s="168">
        <f t="shared" si="5"/>
        <v>-0.18135713850651647</v>
      </c>
      <c r="W45" s="498"/>
      <c r="Y45" s="498"/>
    </row>
    <row r="46" spans="1:25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f>'2023'!S46</f>
        <v>55588779.660000011</v>
      </c>
      <c r="H46" s="175">
        <f>SUM('2023'!G120:I120)</f>
        <v>72276713.680000007</v>
      </c>
      <c r="I46" s="176">
        <f t="shared" si="0"/>
        <v>-16687934.019999996</v>
      </c>
      <c r="J46" s="178">
        <f t="shared" si="1"/>
        <v>-0.23088949635818579</v>
      </c>
      <c r="K46" s="175">
        <f>SUM('2022'!G46:I46)</f>
        <v>62392622.010000005</v>
      </c>
      <c r="L46" s="176">
        <f t="shared" si="7"/>
        <v>-6803842.349999994</v>
      </c>
      <c r="M46" s="180">
        <f t="shared" si="2"/>
        <v>-0.10904882870461041</v>
      </c>
      <c r="N46" s="175">
        <f>'2023'!I46</f>
        <v>29154946.680000003</v>
      </c>
      <c r="O46" s="175">
        <f>'2023'!I120</f>
        <v>33895566.079999998</v>
      </c>
      <c r="P46" s="176">
        <f t="shared" si="6"/>
        <v>-4740619.3999999948</v>
      </c>
      <c r="Q46" s="178">
        <f t="shared" si="3"/>
        <v>-0.13985957304301189</v>
      </c>
      <c r="R46" s="175">
        <f>'2022'!I46</f>
        <v>30713814.850000001</v>
      </c>
      <c r="S46" s="176">
        <f t="shared" si="4"/>
        <v>-1558868.1699999981</v>
      </c>
      <c r="T46" s="180">
        <f t="shared" si="5"/>
        <v>-5.0754625487364313E-2</v>
      </c>
      <c r="W46" s="498"/>
      <c r="Y46" s="498"/>
    </row>
    <row r="47" spans="1:25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f>'2023'!S47</f>
        <v>14983133.249999998</v>
      </c>
      <c r="H47" s="175">
        <f>SUM('2023'!G121:I121)</f>
        <v>57170262.539999999</v>
      </c>
      <c r="I47" s="176">
        <f t="shared" si="0"/>
        <v>-42187129.289999999</v>
      </c>
      <c r="J47" s="178">
        <f t="shared" si="1"/>
        <v>-0.73792085982608824</v>
      </c>
      <c r="K47" s="175">
        <f>SUM('2022'!G47:I47)</f>
        <v>35660860.789999999</v>
      </c>
      <c r="L47" s="176">
        <f t="shared" si="7"/>
        <v>-20677727.539999999</v>
      </c>
      <c r="M47" s="180">
        <f t="shared" si="2"/>
        <v>-0.57984375816857558</v>
      </c>
      <c r="N47" s="175">
        <f>'2023'!I47</f>
        <v>10112490.899999999</v>
      </c>
      <c r="O47" s="175">
        <f>'2023'!I121</f>
        <v>18677278.289999999</v>
      </c>
      <c r="P47" s="176">
        <f t="shared" si="6"/>
        <v>-8564787.3900000006</v>
      </c>
      <c r="Q47" s="178">
        <f t="shared" si="3"/>
        <v>-0.45856720968738107</v>
      </c>
      <c r="R47" s="175">
        <f>'2022'!I47</f>
        <v>7993847.7400000002</v>
      </c>
      <c r="S47" s="176">
        <f t="shared" si="4"/>
        <v>2118643.1599999983</v>
      </c>
      <c r="T47" s="180">
        <f t="shared" si="5"/>
        <v>0.26503421492488899</v>
      </c>
      <c r="W47" s="498"/>
      <c r="Y47" s="498"/>
    </row>
    <row r="48" spans="1:25">
      <c r="A48" s="150">
        <v>451</v>
      </c>
      <c r="B48" s="540" t="str">
        <f>+VLOOKUP($A48,Master!$D$30:$G$226,4,FALSE)</f>
        <v>Pozajmice i krediti</v>
      </c>
      <c r="C48" s="541"/>
      <c r="D48" s="541"/>
      <c r="E48" s="541"/>
      <c r="F48" s="541"/>
      <c r="G48" s="163">
        <f>'2023'!S48</f>
        <v>1052216</v>
      </c>
      <c r="H48" s="163">
        <f>SUM('2023'!G122:I122)</f>
        <v>1504807</v>
      </c>
      <c r="I48" s="164">
        <f>G48-H48</f>
        <v>-452591</v>
      </c>
      <c r="J48" s="282">
        <f t="shared" si="1"/>
        <v>-0.30076348661323349</v>
      </c>
      <c r="K48" s="163">
        <f>SUM('2022'!G48:I48)</f>
        <v>6327172.6400000006</v>
      </c>
      <c r="L48" s="279">
        <f t="shared" si="7"/>
        <v>-5274956.6400000006</v>
      </c>
      <c r="M48" s="503">
        <f t="shared" si="2"/>
        <v>-0.83369886363650736</v>
      </c>
      <c r="N48" s="163">
        <f>'2023'!I48</f>
        <v>0</v>
      </c>
      <c r="O48" s="163">
        <f>'2023'!I122</f>
        <v>501600</v>
      </c>
      <c r="P48" s="164">
        <f t="shared" si="6"/>
        <v>-501600</v>
      </c>
      <c r="Q48" s="282">
        <f t="shared" si="3"/>
        <v>-1</v>
      </c>
      <c r="R48" s="163">
        <f>'2022'!I48</f>
        <v>130819.33</v>
      </c>
      <c r="S48" s="279">
        <f>+N48-R48-S58</f>
        <v>-130819.33</v>
      </c>
      <c r="T48" s="503">
        <f t="shared" si="5"/>
        <v>-1</v>
      </c>
      <c r="W48" s="498"/>
      <c r="Y48" s="498"/>
    </row>
    <row r="49" spans="1:25">
      <c r="A49" s="150">
        <v>47</v>
      </c>
      <c r="B49" s="540" t="str">
        <f>+VLOOKUP($A49,Master!$D$30:$G$226,4,FALSE)</f>
        <v>Rezerve</v>
      </c>
      <c r="C49" s="541"/>
      <c r="D49" s="541"/>
      <c r="E49" s="541"/>
      <c r="F49" s="541"/>
      <c r="G49" s="163">
        <f>'2023'!S49</f>
        <v>1736536.98</v>
      </c>
      <c r="H49" s="163">
        <f>SUM('2023'!G123:I123)</f>
        <v>9029275.5899999999</v>
      </c>
      <c r="I49" s="164">
        <f t="shared" ref="I49:I50" si="8">G49-H49</f>
        <v>-7292738.6099999994</v>
      </c>
      <c r="J49" s="283">
        <f t="shared" si="1"/>
        <v>-0.80767704311481758</v>
      </c>
      <c r="K49" s="163">
        <f>SUM('2022'!G49:I49)</f>
        <v>1863174.26</v>
      </c>
      <c r="L49" s="280">
        <f t="shared" si="7"/>
        <v>-126637.28000000003</v>
      </c>
      <c r="M49" s="504">
        <f t="shared" si="2"/>
        <v>-6.7968564572161938E-2</v>
      </c>
      <c r="N49" s="163">
        <f>'2023'!I49</f>
        <v>1537951.44</v>
      </c>
      <c r="O49" s="163">
        <f>'2023'!I123</f>
        <v>3237333.25</v>
      </c>
      <c r="P49" s="164">
        <f t="shared" si="6"/>
        <v>-1699381.81</v>
      </c>
      <c r="Q49" s="283">
        <f t="shared" si="3"/>
        <v>-0.52493261544822434</v>
      </c>
      <c r="R49" s="163">
        <f>'2022'!I49</f>
        <v>1101664.26</v>
      </c>
      <c r="S49" s="280">
        <f t="shared" si="4"/>
        <v>436287.17999999993</v>
      </c>
      <c r="T49" s="504">
        <f t="shared" si="5"/>
        <v>0.39602553685457664</v>
      </c>
      <c r="W49" s="498"/>
      <c r="Y49" s="498"/>
    </row>
    <row r="50" spans="1:25" ht="15.7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63">
        <f>'2023'!S50</f>
        <v>1168915.48</v>
      </c>
      <c r="H50" s="163">
        <f>SUM('2023'!G124:I124)</f>
        <v>0.48</v>
      </c>
      <c r="I50" s="164">
        <f t="shared" si="8"/>
        <v>1168915</v>
      </c>
      <c r="J50" s="284" t="str">
        <f t="shared" si="1"/>
        <v>...</v>
      </c>
      <c r="K50" s="163">
        <f>SUM('2022'!G50:I50)</f>
        <v>0</v>
      </c>
      <c r="L50" s="280">
        <f t="shared" si="7"/>
        <v>1168915.48</v>
      </c>
      <c r="M50" s="505" t="str">
        <f t="shared" si="2"/>
        <v>...</v>
      </c>
      <c r="N50" s="163">
        <f>'2023'!I50</f>
        <v>0</v>
      </c>
      <c r="O50" s="163">
        <f>'2023'!I124</f>
        <v>0.16</v>
      </c>
      <c r="P50" s="164">
        <f t="shared" si="6"/>
        <v>-0.16</v>
      </c>
      <c r="Q50" s="284">
        <f t="shared" si="3"/>
        <v>-1</v>
      </c>
      <c r="R50" s="163">
        <f>'2022'!I50</f>
        <v>0</v>
      </c>
      <c r="S50" s="280">
        <f t="shared" si="4"/>
        <v>0</v>
      </c>
      <c r="T50" s="505" t="str">
        <f t="shared" si="5"/>
        <v>...</v>
      </c>
      <c r="W50" s="498"/>
      <c r="Y50" s="498"/>
    </row>
    <row r="51" spans="1:25" ht="15" customHeight="1" thickBot="1">
      <c r="A51" s="144">
        <v>4630</v>
      </c>
      <c r="B51" s="542" t="str">
        <f>+VLOOKUP($A51,Master!$D$30:$G$226,4,FALSE)</f>
        <v>Otplata obaveza iz prethodnog perioda</v>
      </c>
      <c r="C51" s="543"/>
      <c r="D51" s="543"/>
      <c r="E51" s="543"/>
      <c r="F51" s="543"/>
      <c r="G51" s="314">
        <f>'2023'!S51</f>
        <v>4139970.7299999995</v>
      </c>
      <c r="H51" s="314">
        <f>SUM('2023'!G125:I125)</f>
        <v>6729137.2000000132</v>
      </c>
      <c r="I51" s="281">
        <f>G51-H51</f>
        <v>-2589166.4700000137</v>
      </c>
      <c r="J51" s="285">
        <f t="shared" si="1"/>
        <v>-0.38476945751678371</v>
      </c>
      <c r="K51" s="314">
        <f>SUM('2022'!G51:I51)</f>
        <v>23798819.629999995</v>
      </c>
      <c r="L51" s="287">
        <f t="shared" si="7"/>
        <v>-19658848.899999995</v>
      </c>
      <c r="M51" s="506">
        <f t="shared" si="2"/>
        <v>-0.82604302253792072</v>
      </c>
      <c r="N51" s="314">
        <f>'2023'!I51</f>
        <v>1288548.8699999999</v>
      </c>
      <c r="O51" s="314">
        <f>'2023'!I125</f>
        <v>2082110.4200000043</v>
      </c>
      <c r="P51" s="281">
        <f>N51-O51</f>
        <v>-793561.55000000447</v>
      </c>
      <c r="Q51" s="285">
        <f t="shared" si="3"/>
        <v>-0.38113326861886743</v>
      </c>
      <c r="R51" s="314">
        <f>'2022'!I51</f>
        <v>2323374.4</v>
      </c>
      <c r="S51" s="287">
        <f>+N51-R51</f>
        <v>-1034825.53</v>
      </c>
      <c r="T51" s="506">
        <f t="shared" si="5"/>
        <v>-0.44539766384617141</v>
      </c>
      <c r="W51" s="498"/>
      <c r="Y51" s="498"/>
    </row>
    <row r="52" spans="1:25" ht="15.75" thickBot="1">
      <c r="A52" s="144">
        <v>1005</v>
      </c>
      <c r="B52" s="542" t="str">
        <f>+VLOOKUP($A52,Master!$D$30:$G$228,4,FALSE)</f>
        <v>Neto povećanje obaveza</v>
      </c>
      <c r="C52" s="543"/>
      <c r="D52" s="543"/>
      <c r="E52" s="543"/>
      <c r="F52" s="543"/>
      <c r="G52" s="163">
        <f>'2023'!S52</f>
        <v>0</v>
      </c>
      <c r="H52" s="163">
        <f>SUM('2023'!G126:I126)</f>
        <v>0</v>
      </c>
      <c r="I52" s="281">
        <f>G52-H52</f>
        <v>0</v>
      </c>
      <c r="J52" s="285" t="str">
        <f t="shared" si="1"/>
        <v>...</v>
      </c>
      <c r="K52" s="163">
        <f>SUM('2022'!G52:I52)</f>
        <v>0</v>
      </c>
      <c r="L52" s="287">
        <f t="shared" si="7"/>
        <v>0</v>
      </c>
      <c r="M52" s="506" t="str">
        <f t="shared" si="2"/>
        <v>...</v>
      </c>
      <c r="N52" s="163">
        <f>'2023'!I52</f>
        <v>0</v>
      </c>
      <c r="O52" s="163">
        <f>'2023'!I126</f>
        <v>0</v>
      </c>
      <c r="P52" s="281">
        <f>N52-O52</f>
        <v>0</v>
      </c>
      <c r="Q52" s="285" t="str">
        <f t="shared" si="3"/>
        <v>...</v>
      </c>
      <c r="R52" s="163">
        <f>'2022'!I52</f>
        <v>0</v>
      </c>
      <c r="S52" s="287">
        <f>+N52-R52</f>
        <v>0</v>
      </c>
      <c r="T52" s="506" t="str">
        <f t="shared" si="5"/>
        <v>...</v>
      </c>
      <c r="W52" s="498"/>
      <c r="Y52" s="498"/>
    </row>
    <row r="53" spans="1:25" ht="15.7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>'2023'!S53</f>
        <v>65824510.039999977</v>
      </c>
      <c r="H53" s="151">
        <f>SUM('2023'!G127:I127)</f>
        <v>-91784772.411857769</v>
      </c>
      <c r="I53" s="320">
        <f>+G53-H53</f>
        <v>157609282.45185775</v>
      </c>
      <c r="J53" s="286">
        <f t="shared" si="1"/>
        <v>-1.717161554256859</v>
      </c>
      <c r="K53" s="151">
        <f>SUM('2022'!G53:I53)</f>
        <v>-28247061.459999993</v>
      </c>
      <c r="L53" s="288">
        <f t="shared" si="7"/>
        <v>94071571.49999997</v>
      </c>
      <c r="M53" s="507">
        <f t="shared" si="2"/>
        <v>-3.3303135490115507</v>
      </c>
      <c r="N53" s="151">
        <f>'2023'!I53</f>
        <v>39892687.48999998</v>
      </c>
      <c r="O53" s="151">
        <f>'2023'!I127</f>
        <v>-2316292.9897459149</v>
      </c>
      <c r="P53" s="320">
        <f>N53-O53</f>
        <v>42208980.479745895</v>
      </c>
      <c r="Q53" s="286">
        <f t="shared" si="3"/>
        <v>-18.222643105428556</v>
      </c>
      <c r="R53" s="151">
        <f>'2022'!I53</f>
        <v>32117481.950000018</v>
      </c>
      <c r="S53" s="288">
        <f t="shared" si="4"/>
        <v>7775205.5399999619</v>
      </c>
      <c r="T53" s="507">
        <f t="shared" si="5"/>
        <v>0.24208639868169857</v>
      </c>
      <c r="W53" s="498"/>
      <c r="Y53" s="498"/>
    </row>
    <row r="54" spans="1:25" ht="15.7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151">
        <f>'2023'!S54</f>
        <v>73958105.399999976</v>
      </c>
      <c r="H54" s="151">
        <f>SUM('2023'!G128:I128)</f>
        <v>-81899512.891857773</v>
      </c>
      <c r="I54" s="206">
        <f t="shared" si="0"/>
        <v>155857618.29185775</v>
      </c>
      <c r="J54" s="208">
        <f t="shared" si="1"/>
        <v>-1.903034740849511</v>
      </c>
      <c r="K54" s="151">
        <f>SUM('2022'!G54:I54)</f>
        <v>-22172872.459999997</v>
      </c>
      <c r="L54" s="206">
        <f t="shared" si="7"/>
        <v>96130977.85999997</v>
      </c>
      <c r="M54" s="210">
        <f t="shared" si="2"/>
        <v>-4.3355220679422963</v>
      </c>
      <c r="N54" s="151">
        <f>'2023'!I54</f>
        <v>41628320.299999982</v>
      </c>
      <c r="O54" s="151">
        <f>'2023'!I128</f>
        <v>-314464.45974591444</v>
      </c>
      <c r="P54" s="206">
        <f t="shared" si="6"/>
        <v>41942784.759745896</v>
      </c>
      <c r="Q54" s="208">
        <f t="shared" si="3"/>
        <v>-133.37845807324439</v>
      </c>
      <c r="R54" s="151">
        <f>'2022'!I54</f>
        <v>33066564.510000017</v>
      </c>
      <c r="S54" s="206">
        <f t="shared" si="4"/>
        <v>8561755.7899999656</v>
      </c>
      <c r="T54" s="210">
        <f t="shared" si="5"/>
        <v>0.2589248661562864</v>
      </c>
      <c r="W54" s="498"/>
      <c r="Y54" s="498"/>
    </row>
    <row r="55" spans="1:25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488">
        <f>'2023'!S55</f>
        <v>43784839.220000006</v>
      </c>
      <c r="H55" s="488">
        <f>SUM('2023'!G129:I129)</f>
        <v>46649550.839999996</v>
      </c>
      <c r="I55" s="489">
        <f t="shared" si="0"/>
        <v>-2864711.6199999899</v>
      </c>
      <c r="J55" s="490">
        <f t="shared" si="1"/>
        <v>-6.1409200483525828E-2</v>
      </c>
      <c r="K55" s="488">
        <f>SUM('2022'!G55:I55)</f>
        <v>54311943.090000004</v>
      </c>
      <c r="L55" s="489">
        <f t="shared" si="7"/>
        <v>-10527103.869999997</v>
      </c>
      <c r="M55" s="508">
        <f t="shared" si="2"/>
        <v>-0.19382668472301934</v>
      </c>
      <c r="N55" s="488">
        <f>'2023'!I55</f>
        <v>8077109.9900000002</v>
      </c>
      <c r="O55" s="488">
        <f>'2023'!I129</f>
        <v>9004349.7899999991</v>
      </c>
      <c r="P55" s="489">
        <f t="shared" si="6"/>
        <v>-927239.79999999888</v>
      </c>
      <c r="Q55" s="490">
        <f t="shared" si="3"/>
        <v>-0.10297687469113737</v>
      </c>
      <c r="R55" s="488">
        <f>'2022'!I55</f>
        <v>11671682.99</v>
      </c>
      <c r="S55" s="489">
        <f t="shared" si="4"/>
        <v>-3594573</v>
      </c>
      <c r="T55" s="508">
        <f t="shared" si="5"/>
        <v>-0.30797383745598117</v>
      </c>
      <c r="W55" s="498"/>
      <c r="Y55" s="498"/>
    </row>
    <row r="56" spans="1:25">
      <c r="A56" s="144">
        <v>4611</v>
      </c>
      <c r="B56" s="540" t="str">
        <f>+VLOOKUP($A56,Master!$D$30:$G$226,4,FALSE)</f>
        <v>Otplata hartija od vrijednosti i kredita rezidentima</v>
      </c>
      <c r="C56" s="541"/>
      <c r="D56" s="541"/>
      <c r="E56" s="541"/>
      <c r="F56" s="541"/>
      <c r="G56" s="163">
        <f>'2023'!S56</f>
        <v>5620993.71</v>
      </c>
      <c r="H56" s="163">
        <f>SUM('2023'!G130:I130)</f>
        <v>5844241.7300000004</v>
      </c>
      <c r="I56" s="212">
        <f t="shared" si="0"/>
        <v>-223248.02000000048</v>
      </c>
      <c r="J56" s="214">
        <f t="shared" si="1"/>
        <v>-3.8199655372571417E-2</v>
      </c>
      <c r="K56" s="163">
        <f>SUM('2022'!G56:I56)</f>
        <v>8038271.9500000011</v>
      </c>
      <c r="L56" s="212">
        <f t="shared" si="7"/>
        <v>-2417278.2400000012</v>
      </c>
      <c r="M56" s="216">
        <f t="shared" si="2"/>
        <v>-0.30072113198409522</v>
      </c>
      <c r="N56" s="163">
        <f>'2023'!I56</f>
        <v>1348967.54</v>
      </c>
      <c r="O56" s="163">
        <f>'2023'!I130</f>
        <v>938890.91</v>
      </c>
      <c r="P56" s="212">
        <f t="shared" si="6"/>
        <v>410076.63</v>
      </c>
      <c r="Q56" s="214">
        <f t="shared" si="3"/>
        <v>0.43676706807183807</v>
      </c>
      <c r="R56" s="163">
        <f>'2022'!I56</f>
        <v>2560106.65</v>
      </c>
      <c r="S56" s="212">
        <f t="shared" si="4"/>
        <v>-1211139.1099999999</v>
      </c>
      <c r="T56" s="216">
        <f t="shared" si="5"/>
        <v>-0.47308150619428291</v>
      </c>
      <c r="W56" s="498"/>
      <c r="Y56" s="498"/>
    </row>
    <row r="57" spans="1:25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163">
        <f>'2023'!S57</f>
        <v>38163845.509999998</v>
      </c>
      <c r="H57" s="163">
        <f>SUM('2023'!G131:I131)</f>
        <v>40805309.109999999</v>
      </c>
      <c r="I57" s="212">
        <f t="shared" si="0"/>
        <v>-2641463.6000000015</v>
      </c>
      <c r="J57" s="214">
        <f t="shared" si="1"/>
        <v>-6.4733331461338417E-2</v>
      </c>
      <c r="K57" s="163">
        <f>SUM('2022'!G57:I57)</f>
        <v>46273671.140000001</v>
      </c>
      <c r="L57" s="212">
        <f t="shared" si="7"/>
        <v>-8109825.6300000027</v>
      </c>
      <c r="M57" s="216">
        <f t="shared" si="2"/>
        <v>-0.1752578827269593</v>
      </c>
      <c r="N57" s="163">
        <f>'2023'!I57</f>
        <v>6728142.4500000002</v>
      </c>
      <c r="O57" s="163">
        <f>'2023'!I131</f>
        <v>8065458.8799999999</v>
      </c>
      <c r="P57" s="212">
        <f t="shared" si="6"/>
        <v>-1337316.4299999997</v>
      </c>
      <c r="Q57" s="214">
        <f t="shared" si="3"/>
        <v>-0.16580785419613964</v>
      </c>
      <c r="R57" s="163">
        <f>'2022'!I57</f>
        <v>9111576.3399999999</v>
      </c>
      <c r="S57" s="212">
        <f t="shared" si="4"/>
        <v>-2383433.8899999997</v>
      </c>
      <c r="T57" s="216">
        <f t="shared" si="5"/>
        <v>-0.26158304568405777</v>
      </c>
      <c r="W57" s="498"/>
      <c r="Y57" s="498"/>
    </row>
    <row r="58" spans="1:25" ht="15.75" thickBot="1">
      <c r="A58" s="144">
        <v>4418</v>
      </c>
      <c r="B58" s="538" t="str">
        <f>+VLOOKUP($A58,Master!$D$30:$G$226,4,FALSE)</f>
        <v>Izdaci za kupovinu hartija od vrijednosti</v>
      </c>
      <c r="C58" s="539"/>
      <c r="D58" s="539"/>
      <c r="E58" s="539"/>
      <c r="F58" s="539"/>
      <c r="G58" s="335">
        <f>'2023'!S58</f>
        <v>496372.98</v>
      </c>
      <c r="H58" s="335">
        <f>SUM('2023'!G132:I132)</f>
        <v>399000.01</v>
      </c>
      <c r="I58" s="336">
        <f t="shared" ref="I58:I64" si="9">+G58-H58</f>
        <v>97372.969999999972</v>
      </c>
      <c r="J58" s="337">
        <f t="shared" si="1"/>
        <v>0.24404252521196668</v>
      </c>
      <c r="K58" s="335">
        <f>SUM('2022'!G58:I58)</f>
        <v>0</v>
      </c>
      <c r="L58" s="336">
        <f t="shared" ref="L58:L64" si="10">+G58-K58</f>
        <v>496372.98</v>
      </c>
      <c r="M58" s="509" t="str">
        <f t="shared" si="2"/>
        <v>...</v>
      </c>
      <c r="N58" s="335">
        <f>'2023'!I58</f>
        <v>0</v>
      </c>
      <c r="O58" s="335">
        <f>'2023'!I132</f>
        <v>385666.67</v>
      </c>
      <c r="P58" s="336">
        <f t="shared" ref="P58:P64" si="11">+N58-O58</f>
        <v>-385666.67</v>
      </c>
      <c r="Q58" s="337">
        <f t="shared" si="3"/>
        <v>-1</v>
      </c>
      <c r="R58" s="335">
        <f>'2022'!I58</f>
        <v>0</v>
      </c>
      <c r="S58" s="336">
        <f t="shared" ref="S58:S64" si="12">+N58-R58</f>
        <v>0</v>
      </c>
      <c r="T58" s="509" t="str">
        <f t="shared" si="5"/>
        <v>...</v>
      </c>
      <c r="W58" s="498"/>
      <c r="Y58" s="498"/>
    </row>
    <row r="59" spans="1:25" ht="15.7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319">
        <f>'2023'!S59</f>
        <v>21543297.839999974</v>
      </c>
      <c r="H59" s="319">
        <f>SUM('2023'!G133:I133)</f>
        <v>-138833323.26185778</v>
      </c>
      <c r="I59" s="321">
        <f t="shared" si="9"/>
        <v>160376621.10185775</v>
      </c>
      <c r="J59" s="322">
        <f t="shared" si="1"/>
        <v>-1.1551738252304635</v>
      </c>
      <c r="K59" s="319">
        <f>SUM('2022'!G59:I59)</f>
        <v>-82559004.550000012</v>
      </c>
      <c r="L59" s="321">
        <f t="shared" si="10"/>
        <v>104102302.38999999</v>
      </c>
      <c r="M59" s="510">
        <f t="shared" si="2"/>
        <v>-1.2609442538391165</v>
      </c>
      <c r="N59" s="319">
        <f>'2023'!I59</f>
        <v>31815577.499999978</v>
      </c>
      <c r="O59" s="319">
        <f>'2023'!I133</f>
        <v>-11706309.449745914</v>
      </c>
      <c r="P59" s="321">
        <f t="shared" si="11"/>
        <v>43521886.949745893</v>
      </c>
      <c r="Q59" s="322">
        <f t="shared" si="3"/>
        <v>-3.7178144945323086</v>
      </c>
      <c r="R59" s="319">
        <f>'2022'!I59</f>
        <v>20445798.960000016</v>
      </c>
      <c r="S59" s="321">
        <f t="shared" si="12"/>
        <v>11369778.539999962</v>
      </c>
      <c r="T59" s="510">
        <f t="shared" si="5"/>
        <v>0.5560936289280598</v>
      </c>
      <c r="W59" s="498"/>
      <c r="Y59" s="498"/>
    </row>
    <row r="60" spans="1:25" ht="15.7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'2023'!S60</f>
        <v>-21543297.839999985</v>
      </c>
      <c r="H60" s="151">
        <f>SUM('2023'!G134:I134)</f>
        <v>138833323.26185775</v>
      </c>
      <c r="I60" s="320">
        <f t="shared" si="9"/>
        <v>-160376621.10185772</v>
      </c>
      <c r="J60" s="323">
        <f t="shared" si="1"/>
        <v>-1.1551738252304637</v>
      </c>
      <c r="K60" s="151">
        <f>SUM('2022'!G60:I60)</f>
        <v>82559004.550000012</v>
      </c>
      <c r="L60" s="320">
        <f t="shared" si="10"/>
        <v>-104102302.39</v>
      </c>
      <c r="M60" s="511">
        <f t="shared" si="2"/>
        <v>-1.2609442538391167</v>
      </c>
      <c r="N60" s="151">
        <f>'2023'!I60</f>
        <v>-31815577.499999985</v>
      </c>
      <c r="O60" s="151">
        <f>'2023'!I134</f>
        <v>11706309.449745908</v>
      </c>
      <c r="P60" s="320">
        <f t="shared" si="11"/>
        <v>-43521886.949745893</v>
      </c>
      <c r="Q60" s="323">
        <f t="shared" si="3"/>
        <v>-3.7178144945323104</v>
      </c>
      <c r="R60" s="151">
        <f>'2022'!I60</f>
        <v>-20445798.960000016</v>
      </c>
      <c r="S60" s="320">
        <f t="shared" si="12"/>
        <v>-11369778.539999969</v>
      </c>
      <c r="T60" s="511">
        <f t="shared" si="5"/>
        <v>0.55609362892806025</v>
      </c>
      <c r="W60" s="498"/>
      <c r="Y60" s="498"/>
    </row>
    <row r="61" spans="1:25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163">
        <f>'2023'!S61</f>
        <v>0</v>
      </c>
      <c r="H61" s="163">
        <f>SUM('2023'!G135:I135)</f>
        <v>100000000</v>
      </c>
      <c r="I61" s="212">
        <f t="shared" si="9"/>
        <v>-100000000</v>
      </c>
      <c r="J61" s="214">
        <f t="shared" si="1"/>
        <v>-1</v>
      </c>
      <c r="K61" s="163">
        <f>SUM('2022'!G61:I61)</f>
        <v>0</v>
      </c>
      <c r="L61" s="212">
        <f t="shared" si="10"/>
        <v>0</v>
      </c>
      <c r="M61" s="216" t="str">
        <f t="shared" si="2"/>
        <v>...</v>
      </c>
      <c r="N61" s="163">
        <f>'2023'!I61</f>
        <v>0</v>
      </c>
      <c r="O61" s="163">
        <f>'2023'!I135</f>
        <v>100000000</v>
      </c>
      <c r="P61" s="212">
        <f t="shared" si="11"/>
        <v>-100000000</v>
      </c>
      <c r="Q61" s="214">
        <f t="shared" si="3"/>
        <v>-1</v>
      </c>
      <c r="R61" s="163">
        <f>'2022'!I61</f>
        <v>0</v>
      </c>
      <c r="S61" s="212">
        <f t="shared" si="12"/>
        <v>0</v>
      </c>
      <c r="T61" s="216" t="str">
        <f t="shared" si="5"/>
        <v>...</v>
      </c>
      <c r="W61" s="498"/>
      <c r="Y61" s="498"/>
    </row>
    <row r="62" spans="1:25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163">
        <f>'2023'!S62</f>
        <v>102184423.97999999</v>
      </c>
      <c r="H62" s="163">
        <f>SUM('2023'!G136:I136)</f>
        <v>0</v>
      </c>
      <c r="I62" s="212">
        <f t="shared" si="9"/>
        <v>102184423.97999999</v>
      </c>
      <c r="J62" s="214" t="str">
        <f t="shared" si="1"/>
        <v>...</v>
      </c>
      <c r="K62" s="163">
        <f>SUM('2022'!G62:I62)</f>
        <v>31140206.790000003</v>
      </c>
      <c r="L62" s="212">
        <f t="shared" si="10"/>
        <v>71044217.189999983</v>
      </c>
      <c r="M62" s="216" t="str">
        <f t="shared" si="2"/>
        <v>...</v>
      </c>
      <c r="N62" s="163">
        <f>'2023'!I62</f>
        <v>101099873.19999999</v>
      </c>
      <c r="O62" s="163">
        <f>'2023'!I136</f>
        <v>0</v>
      </c>
      <c r="P62" s="212">
        <f t="shared" si="11"/>
        <v>101099873.19999999</v>
      </c>
      <c r="Q62" s="214" t="str">
        <f t="shared" si="3"/>
        <v>...</v>
      </c>
      <c r="R62" s="163">
        <f>'2022'!I62</f>
        <v>1402734.23</v>
      </c>
      <c r="S62" s="212">
        <f t="shared" si="12"/>
        <v>99697138.969999984</v>
      </c>
      <c r="T62" s="216" t="str">
        <f t="shared" si="5"/>
        <v>...</v>
      </c>
      <c r="W62" s="498"/>
      <c r="Y62" s="498"/>
    </row>
    <row r="63" spans="1:25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163">
        <f>'2023'!S63</f>
        <v>909468.25</v>
      </c>
      <c r="H63" s="163">
        <f>SUM('2023'!G137:I137)</f>
        <v>1500000</v>
      </c>
      <c r="I63" s="212">
        <f t="shared" si="9"/>
        <v>-590531.75</v>
      </c>
      <c r="J63" s="214">
        <f t="shared" si="1"/>
        <v>-0.39368783333333335</v>
      </c>
      <c r="K63" s="163">
        <f>SUM('2022'!G63:I63)</f>
        <v>1164544.68</v>
      </c>
      <c r="L63" s="212">
        <f t="shared" si="10"/>
        <v>-255076.42999999993</v>
      </c>
      <c r="M63" s="216">
        <f t="shared" si="2"/>
        <v>-0.21903533147392851</v>
      </c>
      <c r="N63" s="163">
        <f>'2023'!I63</f>
        <v>167618.51</v>
      </c>
      <c r="O63" s="163">
        <f>'2023'!I137</f>
        <v>500000</v>
      </c>
      <c r="P63" s="212">
        <f t="shared" si="11"/>
        <v>-332381.49</v>
      </c>
      <c r="Q63" s="214">
        <f t="shared" si="3"/>
        <v>-0.66476298</v>
      </c>
      <c r="R63" s="163">
        <f>'2022'!I63</f>
        <v>383792.48</v>
      </c>
      <c r="S63" s="212">
        <f t="shared" si="12"/>
        <v>-216173.96999999997</v>
      </c>
      <c r="T63" s="216">
        <f t="shared" si="5"/>
        <v>-0.56325744058351535</v>
      </c>
      <c r="W63" s="498"/>
      <c r="Y63" s="498"/>
    </row>
    <row r="64" spans="1:25" ht="15.7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317">
        <f>'2023'!S64</f>
        <v>-124637190.06999998</v>
      </c>
      <c r="H64" s="317">
        <f>SUM('2023'!G138:I138)</f>
        <v>37333323.261857763</v>
      </c>
      <c r="I64" s="226">
        <f t="shared" si="9"/>
        <v>-161970513.33185774</v>
      </c>
      <c r="J64" s="228">
        <f t="shared" si="1"/>
        <v>-4.3384970632212028</v>
      </c>
      <c r="K64" s="317">
        <f>SUM('2022'!G64:I64)</f>
        <v>50254253.079999983</v>
      </c>
      <c r="L64" s="226">
        <f t="shared" si="10"/>
        <v>-174891443.14999998</v>
      </c>
      <c r="M64" s="230">
        <f t="shared" si="2"/>
        <v>-3.4801321765063236</v>
      </c>
      <c r="N64" s="317">
        <f>'2023'!I64</f>
        <v>-133083069.20999998</v>
      </c>
      <c r="O64" s="317">
        <f>'2023'!I138</f>
        <v>-88793690.550254092</v>
      </c>
      <c r="P64" s="226">
        <f t="shared" si="11"/>
        <v>-44289378.659745887</v>
      </c>
      <c r="Q64" s="228">
        <f t="shared" si="3"/>
        <v>0.49878970437296632</v>
      </c>
      <c r="R64" s="317">
        <f>'2022'!I64</f>
        <v>-22232325.670000017</v>
      </c>
      <c r="S64" s="226">
        <f t="shared" si="12"/>
        <v>-110850743.53999996</v>
      </c>
      <c r="T64" s="230" t="str">
        <f t="shared" si="5"/>
        <v>...</v>
      </c>
      <c r="W64" s="498"/>
      <c r="Y64" s="498"/>
    </row>
    <row r="65" spans="6:18">
      <c r="G65" s="290"/>
    </row>
    <row r="66" spans="6:18">
      <c r="G66" s="5"/>
    </row>
    <row r="67" spans="6:18">
      <c r="F67" s="290"/>
      <c r="G67" s="5"/>
      <c r="H67" s="290"/>
      <c r="N67" s="498"/>
    </row>
    <row r="68" spans="6:18">
      <c r="G68" s="5"/>
    </row>
    <row r="69" spans="6:18">
      <c r="G69" s="5"/>
      <c r="R69" s="344"/>
    </row>
    <row r="70" spans="6:18">
      <c r="G70" s="5"/>
    </row>
  </sheetData>
  <sheetProtection algorithmName="SHA-512" hashValue="ceePfPVu4I0QjwyQPsK1oSGb6tDrpiD37yt6iVHBDsoxtaUEQZtWIbe4XoH8NAYtw1CsA1kOs189GlCQYhz63Q==" saltValue="A/hZwyglyJc+R0ANdcZmGw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2" style="258" bestFit="1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843</v>
      </c>
      <c r="H6" s="234" t="s">
        <v>844</v>
      </c>
      <c r="I6" s="234" t="s">
        <v>845</v>
      </c>
      <c r="J6" s="234" t="s">
        <v>846</v>
      </c>
      <c r="K6" s="234" t="s">
        <v>847</v>
      </c>
      <c r="L6" s="234" t="s">
        <v>848</v>
      </c>
      <c r="M6" s="234" t="s">
        <v>849</v>
      </c>
      <c r="N6" s="234" t="s">
        <v>850</v>
      </c>
      <c r="O6" s="234" t="s">
        <v>851</v>
      </c>
      <c r="P6" s="234" t="s">
        <v>852</v>
      </c>
      <c r="Q6" s="234" t="s">
        <v>853</v>
      </c>
      <c r="R6" s="234" t="s">
        <v>854</v>
      </c>
      <c r="S6" s="233"/>
      <c r="T6" s="233"/>
    </row>
    <row r="7" spans="1:23" ht="15" customHeight="1" thickBot="1">
      <c r="A7" s="144"/>
      <c r="B7" s="619" t="str">
        <f>+Master!G252</f>
        <v>Ostvarenje budžeta</v>
      </c>
      <c r="C7" s="551"/>
      <c r="D7" s="551"/>
      <c r="E7" s="551"/>
      <c r="F7" s="551"/>
      <c r="G7" s="559">
        <v>2023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tr">
        <f>+Master!G249</f>
        <v>BDP</v>
      </c>
      <c r="T7" s="236">
        <v>6174600000</v>
      </c>
    </row>
    <row r="8" spans="1:23" ht="16.5" customHeight="1">
      <c r="A8" s="144"/>
      <c r="B8" s="552"/>
      <c r="C8" s="553"/>
      <c r="D8" s="553"/>
      <c r="E8" s="553"/>
      <c r="F8" s="554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9" t="str">
        <f>+Master!G247</f>
        <v>Jan - Dec</v>
      </c>
      <c r="T8" s="563"/>
    </row>
    <row r="9" spans="1:23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0" t="str">
        <f>+VLOOKUP($A10,Master!$D$30:$G$226,4,FALSE)</f>
        <v>Prihodi budžeta</v>
      </c>
      <c r="C10" s="531"/>
      <c r="D10" s="531"/>
      <c r="E10" s="531"/>
      <c r="F10" s="531"/>
      <c r="G10" s="151">
        <f>+G11+G19+SUM(G24:G28)</f>
        <v>167796991.22</v>
      </c>
      <c r="H10" s="151">
        <f t="shared" ref="H10:R10" si="1">+H11+H19+SUM(H24:H28)</f>
        <v>144426307.12</v>
      </c>
      <c r="I10" s="151">
        <f t="shared" si="1"/>
        <v>233452908.54999995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545676206.88999999</v>
      </c>
      <c r="T10" s="461">
        <f>+S10/$T$7*100</f>
        <v>8.8374341154082856</v>
      </c>
    </row>
    <row r="11" spans="1:23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f t="shared" ref="G11:R11" si="2">+SUM(G12:G18)</f>
        <v>103490146.19</v>
      </c>
      <c r="H11" s="157">
        <f t="shared" si="2"/>
        <v>91059566.450000003</v>
      </c>
      <c r="I11" s="157">
        <f t="shared" si="2"/>
        <v>151829456.91999999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346379169.55999994</v>
      </c>
      <c r="T11" s="462">
        <f t="shared" ref="T11:T64" si="3">+S11/$T$7*100</f>
        <v>5.6097426482687123</v>
      </c>
    </row>
    <row r="12" spans="1:23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v>1481487.87</v>
      </c>
      <c r="H12" s="163">
        <v>3944575.24</v>
      </c>
      <c r="I12" s="163">
        <v>4159428.24</v>
      </c>
      <c r="J12" s="163"/>
      <c r="K12" s="163"/>
      <c r="L12" s="163"/>
      <c r="M12" s="163"/>
      <c r="N12" s="163"/>
      <c r="O12" s="163"/>
      <c r="P12" s="163"/>
      <c r="Q12" s="163"/>
      <c r="R12" s="163"/>
      <c r="S12" s="242">
        <f t="shared" ref="S12:S63" si="4">+SUM(G12:R12)</f>
        <v>9585491.3500000015</v>
      </c>
      <c r="T12" s="463">
        <f t="shared" si="3"/>
        <v>0.15524068522657339</v>
      </c>
    </row>
    <row r="13" spans="1:23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v>1258566.3799999999</v>
      </c>
      <c r="H13" s="163">
        <v>3765090.36</v>
      </c>
      <c r="I13" s="163">
        <v>37663055.619999997</v>
      </c>
      <c r="J13" s="163"/>
      <c r="K13" s="163"/>
      <c r="L13" s="163"/>
      <c r="M13" s="163"/>
      <c r="N13" s="163"/>
      <c r="O13" s="163"/>
      <c r="P13" s="163"/>
      <c r="Q13" s="163"/>
      <c r="R13" s="163"/>
      <c r="S13" s="242">
        <f t="shared" si="4"/>
        <v>42686712.359999999</v>
      </c>
      <c r="T13" s="463">
        <f t="shared" si="3"/>
        <v>0.69132757360800701</v>
      </c>
    </row>
    <row r="14" spans="1:23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v>0</v>
      </c>
      <c r="H14" s="163">
        <v>0</v>
      </c>
      <c r="I14" s="163">
        <v>0</v>
      </c>
      <c r="J14" s="163"/>
      <c r="K14" s="163"/>
      <c r="L14" s="163"/>
      <c r="M14" s="163"/>
      <c r="N14" s="163"/>
      <c r="O14" s="163"/>
      <c r="P14" s="163"/>
      <c r="Q14" s="163"/>
      <c r="R14" s="163"/>
      <c r="S14" s="242">
        <f t="shared" si="4"/>
        <v>0</v>
      </c>
      <c r="T14" s="463">
        <f t="shared" si="3"/>
        <v>0</v>
      </c>
    </row>
    <row r="15" spans="1:23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v>79816016.629999995</v>
      </c>
      <c r="H15" s="163">
        <v>61023809.460000001</v>
      </c>
      <c r="I15" s="163">
        <v>80926297.079999998</v>
      </c>
      <c r="J15" s="163"/>
      <c r="K15" s="163"/>
      <c r="L15" s="163"/>
      <c r="M15" s="163"/>
      <c r="N15" s="163"/>
      <c r="O15" s="163"/>
      <c r="P15" s="163"/>
      <c r="Q15" s="163"/>
      <c r="R15" s="163"/>
      <c r="S15" s="242">
        <f t="shared" si="4"/>
        <v>221766123.17000002</v>
      </c>
      <c r="T15" s="463">
        <f t="shared" si="3"/>
        <v>3.5915868747773141</v>
      </c>
    </row>
    <row r="16" spans="1:23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v>17494328.440000001</v>
      </c>
      <c r="H16" s="163">
        <v>18190262.670000002</v>
      </c>
      <c r="I16" s="163">
        <v>22619973.850000001</v>
      </c>
      <c r="J16" s="163"/>
      <c r="K16" s="163"/>
      <c r="L16" s="163"/>
      <c r="M16" s="163"/>
      <c r="N16" s="163"/>
      <c r="O16" s="163"/>
      <c r="P16" s="163"/>
      <c r="Q16" s="163"/>
      <c r="R16" s="163"/>
      <c r="S16" s="242">
        <f t="shared" si="4"/>
        <v>58304564.960000001</v>
      </c>
      <c r="T16" s="463">
        <f t="shared" si="3"/>
        <v>0.94426464807436916</v>
      </c>
      <c r="W16" s="311"/>
    </row>
    <row r="17" spans="1:23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v>2467588.1800000002</v>
      </c>
      <c r="H17" s="163">
        <v>3220443.49</v>
      </c>
      <c r="I17" s="163">
        <v>5443960.21</v>
      </c>
      <c r="J17" s="163"/>
      <c r="K17" s="163"/>
      <c r="L17" s="163"/>
      <c r="M17" s="163"/>
      <c r="N17" s="163"/>
      <c r="O17" s="163"/>
      <c r="P17" s="163"/>
      <c r="Q17" s="163"/>
      <c r="R17" s="163"/>
      <c r="S17" s="242">
        <f t="shared" si="4"/>
        <v>11131991.879999999</v>
      </c>
      <c r="T17" s="463">
        <f t="shared" si="3"/>
        <v>0.18028685064619568</v>
      </c>
    </row>
    <row r="18" spans="1:23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v>972158.69000000006</v>
      </c>
      <c r="H18" s="163">
        <v>915385.23</v>
      </c>
      <c r="I18" s="163">
        <v>1016741.92</v>
      </c>
      <c r="J18" s="163"/>
      <c r="K18" s="163"/>
      <c r="L18" s="163"/>
      <c r="M18" s="163"/>
      <c r="N18" s="163"/>
      <c r="O18" s="163"/>
      <c r="P18" s="163"/>
      <c r="Q18" s="163"/>
      <c r="R18" s="163"/>
      <c r="S18" s="242">
        <f t="shared" si="4"/>
        <v>2904285.84</v>
      </c>
      <c r="T18" s="463">
        <f t="shared" si="3"/>
        <v>4.7036015936254977E-2</v>
      </c>
    </row>
    <row r="19" spans="1:23">
      <c r="A19" s="150">
        <v>712</v>
      </c>
      <c r="B19" s="524" t="str">
        <f>+VLOOKUP($A19,Master!$D$30:$G$226,4,FALSE)</f>
        <v>Doprinosi</v>
      </c>
      <c r="C19" s="525"/>
      <c r="D19" s="525"/>
      <c r="E19" s="525"/>
      <c r="F19" s="525"/>
      <c r="G19" s="169">
        <v>15617329.630000003</v>
      </c>
      <c r="H19" s="169">
        <v>41494879.25999999</v>
      </c>
      <c r="I19" s="169">
        <v>42670635.130000003</v>
      </c>
      <c r="J19" s="169">
        <f t="shared" ref="J19:R19" si="5">SUM(J20:J23)</f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99782844.019999996</v>
      </c>
      <c r="T19" s="464">
        <f t="shared" si="3"/>
        <v>1.6160211838823566</v>
      </c>
    </row>
    <row r="20" spans="1:23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v>14209639.380000001</v>
      </c>
      <c r="H20" s="163">
        <v>37909924.049999997</v>
      </c>
      <c r="I20" s="163">
        <v>39108292.090000004</v>
      </c>
      <c r="J20" s="163"/>
      <c r="K20" s="163"/>
      <c r="L20" s="163"/>
      <c r="M20" s="163"/>
      <c r="N20" s="163"/>
      <c r="O20" s="163"/>
      <c r="P20" s="163"/>
      <c r="Q20" s="163"/>
      <c r="R20" s="163"/>
      <c r="S20" s="242">
        <f>+SUM(G20:R20)</f>
        <v>91227855.520000011</v>
      </c>
      <c r="T20" s="463">
        <f t="shared" si="3"/>
        <v>1.4774698850127945</v>
      </c>
    </row>
    <row r="21" spans="1:23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v>302309.90000000002</v>
      </c>
      <c r="H21" s="163">
        <v>645770.62</v>
      </c>
      <c r="I21" s="163">
        <v>422256.94</v>
      </c>
      <c r="J21" s="163"/>
      <c r="K21" s="163"/>
      <c r="L21" s="163"/>
      <c r="M21" s="163"/>
      <c r="N21" s="163"/>
      <c r="O21" s="163"/>
      <c r="P21" s="163"/>
      <c r="Q21" s="163"/>
      <c r="R21" s="163"/>
      <c r="S21" s="242">
        <f t="shared" si="4"/>
        <v>1370337.46</v>
      </c>
      <c r="T21" s="463">
        <f t="shared" si="3"/>
        <v>2.2193137369222297E-2</v>
      </c>
    </row>
    <row r="22" spans="1:23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v>658854.47</v>
      </c>
      <c r="H22" s="163">
        <v>1731553.43</v>
      </c>
      <c r="I22" s="163">
        <v>1770290.32</v>
      </c>
      <c r="J22" s="163"/>
      <c r="K22" s="163"/>
      <c r="L22" s="163"/>
      <c r="M22" s="163"/>
      <c r="N22" s="163"/>
      <c r="O22" s="163"/>
      <c r="P22" s="163"/>
      <c r="Q22" s="163"/>
      <c r="R22" s="163"/>
      <c r="S22" s="242">
        <f t="shared" si="4"/>
        <v>4160698.2199999997</v>
      </c>
      <c r="T22" s="463">
        <f t="shared" si="3"/>
        <v>6.7384093220613478E-2</v>
      </c>
    </row>
    <row r="23" spans="1:23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v>446525.88</v>
      </c>
      <c r="H23" s="163">
        <v>1207631.1599999999</v>
      </c>
      <c r="I23" s="163">
        <v>1369795.78</v>
      </c>
      <c r="J23" s="163"/>
      <c r="K23" s="163"/>
      <c r="L23" s="163"/>
      <c r="M23" s="163"/>
      <c r="N23" s="163"/>
      <c r="O23" s="163"/>
      <c r="P23" s="163"/>
      <c r="Q23" s="163"/>
      <c r="R23" s="163"/>
      <c r="S23" s="242">
        <f t="shared" si="4"/>
        <v>3023952.8200000003</v>
      </c>
      <c r="T23" s="463">
        <f t="shared" si="3"/>
        <v>4.8974068279726619E-2</v>
      </c>
      <c r="W23" s="305"/>
    </row>
    <row r="24" spans="1:23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v>747597.87999999989</v>
      </c>
      <c r="H24" s="175">
        <v>957673.57000000007</v>
      </c>
      <c r="I24" s="175">
        <v>1043403.23</v>
      </c>
      <c r="J24" s="175"/>
      <c r="K24" s="175"/>
      <c r="L24" s="175"/>
      <c r="M24" s="175"/>
      <c r="N24" s="175"/>
      <c r="O24" s="175"/>
      <c r="P24" s="175"/>
      <c r="Q24" s="175"/>
      <c r="R24" s="175"/>
      <c r="S24" s="243">
        <f t="shared" si="4"/>
        <v>2748674.6799999997</v>
      </c>
      <c r="T24" s="464">
        <f t="shared" si="3"/>
        <v>4.4515833900171664E-2</v>
      </c>
      <c r="W24" s="305"/>
    </row>
    <row r="25" spans="1:23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v>11787074.77</v>
      </c>
      <c r="H25" s="175">
        <v>3748417.33</v>
      </c>
      <c r="I25" s="175">
        <v>3332694.04</v>
      </c>
      <c r="J25" s="175"/>
      <c r="K25" s="175"/>
      <c r="L25" s="175"/>
      <c r="M25" s="175"/>
      <c r="N25" s="175"/>
      <c r="O25" s="175"/>
      <c r="P25" s="175"/>
      <c r="Q25" s="175"/>
      <c r="R25" s="175"/>
      <c r="S25" s="243">
        <f t="shared" si="4"/>
        <v>18868186.140000001</v>
      </c>
      <c r="T25" s="464">
        <f t="shared" si="3"/>
        <v>0.30557746477504616</v>
      </c>
    </row>
    <row r="26" spans="1:23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v>34599402.370000005</v>
      </c>
      <c r="H26" s="175">
        <v>2087535.6200000003</v>
      </c>
      <c r="I26" s="175">
        <v>3231416.12</v>
      </c>
      <c r="J26" s="175"/>
      <c r="K26" s="175"/>
      <c r="L26" s="175"/>
      <c r="M26" s="175"/>
      <c r="N26" s="175"/>
      <c r="O26" s="175"/>
      <c r="P26" s="175"/>
      <c r="Q26" s="175"/>
      <c r="R26" s="175"/>
      <c r="S26" s="243">
        <f t="shared" si="4"/>
        <v>39918354.109999999</v>
      </c>
      <c r="T26" s="464">
        <f t="shared" si="3"/>
        <v>0.64649295679072327</v>
      </c>
    </row>
    <row r="27" spans="1:23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v>139531.08000000002</v>
      </c>
      <c r="H27" s="175">
        <v>2017853.4</v>
      </c>
      <c r="I27" s="175">
        <v>1080976.0299999998</v>
      </c>
      <c r="J27" s="175"/>
      <c r="K27" s="175"/>
      <c r="L27" s="175"/>
      <c r="M27" s="175"/>
      <c r="N27" s="175"/>
      <c r="O27" s="175"/>
      <c r="P27" s="175"/>
      <c r="Q27" s="175"/>
      <c r="R27" s="175"/>
      <c r="S27" s="243">
        <f t="shared" si="4"/>
        <v>3238360.51</v>
      </c>
      <c r="T27" s="464">
        <f t="shared" si="3"/>
        <v>5.2446482525183809E-2</v>
      </c>
    </row>
    <row r="28" spans="1:23" ht="13.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v>1415909.3000000003</v>
      </c>
      <c r="H28" s="175">
        <v>3060381.4899999993</v>
      </c>
      <c r="I28" s="175">
        <v>30264327.079999987</v>
      </c>
      <c r="J28" s="175"/>
      <c r="K28" s="175"/>
      <c r="L28" s="175"/>
      <c r="M28" s="175"/>
      <c r="N28" s="175"/>
      <c r="O28" s="175"/>
      <c r="P28" s="175"/>
      <c r="Q28" s="175"/>
      <c r="R28" s="175"/>
      <c r="S28" s="243">
        <f t="shared" si="4"/>
        <v>34740617.86999999</v>
      </c>
      <c r="T28" s="465">
        <f t="shared" si="3"/>
        <v>0.56263754526609</v>
      </c>
    </row>
    <row r="29" spans="1:23" ht="13.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>+G30+G40+G46+SUM(G47:G51)</f>
        <v>114740371.96999998</v>
      </c>
      <c r="H29" s="151">
        <f t="shared" ref="H29:R29" si="6">+H30+H40+H46+SUM(H47:H51)</f>
        <v>171551103.82000002</v>
      </c>
      <c r="I29" s="151">
        <f t="shared" si="6"/>
        <v>193560221.05999997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479851696.85000002</v>
      </c>
      <c r="T29" s="466">
        <f t="shared" si="3"/>
        <v>7.7713810910828238</v>
      </c>
    </row>
    <row r="30" spans="1:23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187">
        <f t="shared" ref="G30:R30" si="7">+SUM(G31:G39)</f>
        <v>53321750.879999988</v>
      </c>
      <c r="H30" s="187">
        <f t="shared" si="7"/>
        <v>71586974.050000027</v>
      </c>
      <c r="I30" s="187">
        <f t="shared" si="7"/>
        <v>83324755.549999982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3">
        <f t="shared" si="4"/>
        <v>208233480.47999999</v>
      </c>
      <c r="T30" s="462">
        <f t="shared" si="3"/>
        <v>3.3724205694295981</v>
      </c>
      <c r="U30" s="500"/>
    </row>
    <row r="31" spans="1:23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v>45778601.379999995</v>
      </c>
      <c r="H31" s="163">
        <v>54859279.480000019</v>
      </c>
      <c r="I31" s="163">
        <v>52148833.669999994</v>
      </c>
      <c r="J31" s="163"/>
      <c r="K31" s="163"/>
      <c r="L31" s="163"/>
      <c r="M31" s="163"/>
      <c r="N31" s="163"/>
      <c r="O31" s="163"/>
      <c r="P31" s="163"/>
      <c r="Q31" s="163"/>
      <c r="R31" s="163"/>
      <c r="S31" s="242">
        <f t="shared" si="4"/>
        <v>152786714.53</v>
      </c>
      <c r="T31" s="463">
        <f t="shared" si="3"/>
        <v>2.474439065364558</v>
      </c>
      <c r="U31" s="500"/>
    </row>
    <row r="32" spans="1:23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v>299493.63000000006</v>
      </c>
      <c r="H32" s="163">
        <v>1011550.84</v>
      </c>
      <c r="I32" s="163">
        <v>2090344.1199999999</v>
      </c>
      <c r="J32" s="163"/>
      <c r="K32" s="163"/>
      <c r="L32" s="163"/>
      <c r="M32" s="163"/>
      <c r="N32" s="163"/>
      <c r="O32" s="163"/>
      <c r="P32" s="163"/>
      <c r="Q32" s="163"/>
      <c r="R32" s="163"/>
      <c r="S32" s="242">
        <f t="shared" si="4"/>
        <v>3401388.59</v>
      </c>
      <c r="T32" s="463">
        <f t="shared" si="3"/>
        <v>5.5086784407087093E-2</v>
      </c>
      <c r="U32" s="500"/>
      <c r="V32" s="291"/>
    </row>
    <row r="33" spans="1:24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v>94282.16</v>
      </c>
      <c r="H33" s="163">
        <v>2774531.1399999997</v>
      </c>
      <c r="I33" s="163">
        <v>5143114.03</v>
      </c>
      <c r="J33" s="163"/>
      <c r="K33" s="163"/>
      <c r="L33" s="163"/>
      <c r="M33" s="163"/>
      <c r="N33" s="163"/>
      <c r="O33" s="163"/>
      <c r="P33" s="163"/>
      <c r="Q33" s="163"/>
      <c r="R33" s="163"/>
      <c r="S33" s="242">
        <f t="shared" si="4"/>
        <v>8011927.3300000001</v>
      </c>
      <c r="T33" s="463">
        <f t="shared" si="3"/>
        <v>0.12975621627311892</v>
      </c>
      <c r="U33" s="500"/>
    </row>
    <row r="34" spans="1:24" s="360" customFormat="1">
      <c r="A34" s="359">
        <v>414</v>
      </c>
      <c r="B34" s="617" t="str">
        <f>+VLOOKUP($A34,Master!$D$30:$G$226,4,FALSE)</f>
        <v>Rashodi za usluge</v>
      </c>
      <c r="C34" s="618"/>
      <c r="D34" s="618"/>
      <c r="E34" s="618"/>
      <c r="F34" s="618"/>
      <c r="G34" s="163">
        <v>878544.59</v>
      </c>
      <c r="H34" s="163">
        <v>3754705.580000001</v>
      </c>
      <c r="I34" s="163">
        <v>7000663.9900000002</v>
      </c>
      <c r="J34" s="163"/>
      <c r="K34" s="163"/>
      <c r="L34" s="163"/>
      <c r="M34" s="163"/>
      <c r="N34" s="163"/>
      <c r="O34" s="163"/>
      <c r="P34" s="163"/>
      <c r="Q34" s="163"/>
      <c r="R34" s="163"/>
      <c r="S34" s="242">
        <f t="shared" si="4"/>
        <v>11633914.16</v>
      </c>
      <c r="T34" s="463">
        <f t="shared" si="3"/>
        <v>0.18841567324199138</v>
      </c>
      <c r="U34" s="500"/>
    </row>
    <row r="35" spans="1:24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v>4072.0400000000004</v>
      </c>
      <c r="H35" s="163">
        <v>554177.94999999995</v>
      </c>
      <c r="I35" s="163">
        <v>3339189.7600000007</v>
      </c>
      <c r="J35" s="163"/>
      <c r="K35" s="163"/>
      <c r="L35" s="163"/>
      <c r="M35" s="163"/>
      <c r="N35" s="163"/>
      <c r="O35" s="163"/>
      <c r="P35" s="163"/>
      <c r="Q35" s="163"/>
      <c r="R35" s="163"/>
      <c r="S35" s="242">
        <f t="shared" si="4"/>
        <v>3897439.7500000009</v>
      </c>
      <c r="T35" s="463">
        <f t="shared" si="3"/>
        <v>6.3120521977132138E-2</v>
      </c>
      <c r="U35" s="500"/>
    </row>
    <row r="36" spans="1:24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v>3966895.7600000002</v>
      </c>
      <c r="H36" s="163">
        <v>2431066.79</v>
      </c>
      <c r="I36" s="163">
        <v>1735632.8099999998</v>
      </c>
      <c r="J36" s="163"/>
      <c r="K36" s="163"/>
      <c r="L36" s="163"/>
      <c r="M36" s="163"/>
      <c r="N36" s="163"/>
      <c r="O36" s="163"/>
      <c r="P36" s="163"/>
      <c r="Q36" s="163"/>
      <c r="R36" s="163"/>
      <c r="S36" s="242">
        <f>+SUM(G36:R36)</f>
        <v>8133595.3600000003</v>
      </c>
      <c r="T36" s="463">
        <f t="shared" si="3"/>
        <v>0.13172667638389532</v>
      </c>
      <c r="U36" s="500"/>
      <c r="V36" s="291"/>
    </row>
    <row r="37" spans="1:24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v>2378.37</v>
      </c>
      <c r="H37" s="163">
        <v>930382.83999999985</v>
      </c>
      <c r="I37" s="163">
        <v>862022.10999999987</v>
      </c>
      <c r="J37" s="163"/>
      <c r="K37" s="163"/>
      <c r="L37" s="163"/>
      <c r="M37" s="163"/>
      <c r="N37" s="163"/>
      <c r="O37" s="163"/>
      <c r="P37" s="163"/>
      <c r="Q37" s="163"/>
      <c r="R37" s="163"/>
      <c r="S37" s="242">
        <f t="shared" si="4"/>
        <v>1794783.3199999998</v>
      </c>
      <c r="T37" s="463">
        <f t="shared" si="3"/>
        <v>2.9067199818611732E-2</v>
      </c>
      <c r="U37" s="500"/>
      <c r="V37" s="291"/>
    </row>
    <row r="38" spans="1:24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v>1880948.3</v>
      </c>
      <c r="H38" s="163">
        <v>2045866.6400000001</v>
      </c>
      <c r="I38" s="163">
        <v>5710797.709999999</v>
      </c>
      <c r="J38" s="163"/>
      <c r="K38" s="163"/>
      <c r="L38" s="163"/>
      <c r="M38" s="163"/>
      <c r="N38" s="163"/>
      <c r="O38" s="163"/>
      <c r="P38" s="163"/>
      <c r="Q38" s="163"/>
      <c r="R38" s="163"/>
      <c r="S38" s="242">
        <f t="shared" si="4"/>
        <v>9637612.6499999985</v>
      </c>
      <c r="T38" s="463">
        <f t="shared" si="3"/>
        <v>0.15608480954231851</v>
      </c>
      <c r="U38" s="500"/>
    </row>
    <row r="39" spans="1:24">
      <c r="A39" s="150">
        <v>419</v>
      </c>
      <c r="B39" s="522" t="str">
        <f>+VLOOKUP($A39,Master!$D$30:$G$226,4,FALSE)</f>
        <v>Ostali izdaci</v>
      </c>
      <c r="C39" s="523"/>
      <c r="D39" s="523"/>
      <c r="E39" s="523"/>
      <c r="F39" s="523"/>
      <c r="G39" s="163">
        <v>416534.64999999997</v>
      </c>
      <c r="H39" s="163">
        <v>3225412.79</v>
      </c>
      <c r="I39" s="163">
        <v>5294157.3499999987</v>
      </c>
      <c r="J39" s="163"/>
      <c r="K39" s="163"/>
      <c r="L39" s="163"/>
      <c r="M39" s="163"/>
      <c r="N39" s="163"/>
      <c r="O39" s="163"/>
      <c r="P39" s="163"/>
      <c r="Q39" s="163"/>
      <c r="R39" s="163"/>
      <c r="S39" s="242">
        <f t="shared" si="4"/>
        <v>8936104.7899999991</v>
      </c>
      <c r="T39" s="463">
        <f t="shared" si="3"/>
        <v>0.14472362242088554</v>
      </c>
      <c r="U39" s="500"/>
      <c r="V39" s="291"/>
    </row>
    <row r="40" spans="1:24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+SUM(G41:G45)</f>
        <v>58454756.119999997</v>
      </c>
      <c r="H40" s="193">
        <f t="shared" ref="H40:R40" si="8">+SUM(H41:H45)</f>
        <v>66352380.529999986</v>
      </c>
      <c r="I40" s="193">
        <f t="shared" si="8"/>
        <v>68141527.619999975</v>
      </c>
      <c r="J40" s="193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193">
        <f t="shared" si="8"/>
        <v>0</v>
      </c>
      <c r="S40" s="486">
        <f t="shared" si="4"/>
        <v>192948664.26999995</v>
      </c>
      <c r="T40" s="487">
        <f t="shared" si="3"/>
        <v>3.1248771462118996</v>
      </c>
      <c r="U40" s="500"/>
    </row>
    <row r="41" spans="1:24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v>15193246.93</v>
      </c>
      <c r="H41" s="163">
        <v>18599658.189999998</v>
      </c>
      <c r="I41" s="163">
        <v>18659851.780000001</v>
      </c>
      <c r="J41" s="163"/>
      <c r="K41" s="163"/>
      <c r="L41" s="163"/>
      <c r="M41" s="163"/>
      <c r="N41" s="163"/>
      <c r="O41" s="163"/>
      <c r="P41" s="163"/>
      <c r="Q41" s="163"/>
      <c r="R41" s="163"/>
      <c r="S41" s="242">
        <f t="shared" si="4"/>
        <v>52452756.899999999</v>
      </c>
      <c r="T41" s="463">
        <f t="shared" si="3"/>
        <v>0.84949238655135551</v>
      </c>
      <c r="U41" s="500"/>
    </row>
    <row r="42" spans="1:24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v>0</v>
      </c>
      <c r="H42" s="163">
        <v>2161292.37</v>
      </c>
      <c r="I42" s="163">
        <v>2136078.06</v>
      </c>
      <c r="J42" s="163"/>
      <c r="K42" s="163"/>
      <c r="L42" s="163"/>
      <c r="M42" s="163"/>
      <c r="N42" s="163"/>
      <c r="O42" s="163"/>
      <c r="P42" s="163"/>
      <c r="Q42" s="163"/>
      <c r="R42" s="163"/>
      <c r="S42" s="242">
        <f t="shared" si="4"/>
        <v>4297370.43</v>
      </c>
      <c r="T42" s="463">
        <f t="shared" si="3"/>
        <v>6.9597551744242536E-2</v>
      </c>
      <c r="U42" s="500"/>
      <c r="V42" s="291"/>
    </row>
    <row r="43" spans="1:24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v>42310100.469999999</v>
      </c>
      <c r="H43" s="163">
        <v>43437180.119999997</v>
      </c>
      <c r="I43" s="163">
        <v>43546253.729999982</v>
      </c>
      <c r="J43" s="163"/>
      <c r="K43" s="163"/>
      <c r="L43" s="163"/>
      <c r="M43" s="163"/>
      <c r="N43" s="163"/>
      <c r="O43" s="163"/>
      <c r="P43" s="163"/>
      <c r="Q43" s="163"/>
      <c r="R43" s="163"/>
      <c r="S43" s="242">
        <f t="shared" si="4"/>
        <v>129293534.31999999</v>
      </c>
      <c r="T43" s="463">
        <f t="shared" si="3"/>
        <v>2.0939580591455313</v>
      </c>
      <c r="U43" s="500"/>
    </row>
    <row r="44" spans="1:24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v>951408.72</v>
      </c>
      <c r="H44" s="163">
        <v>1207435.98</v>
      </c>
      <c r="I44" s="163">
        <v>2523574.06</v>
      </c>
      <c r="J44" s="163"/>
      <c r="K44" s="163"/>
      <c r="L44" s="163"/>
      <c r="M44" s="163"/>
      <c r="N44" s="163"/>
      <c r="O44" s="163"/>
      <c r="P44" s="163"/>
      <c r="Q44" s="163"/>
      <c r="R44" s="163"/>
      <c r="S44" s="242">
        <f t="shared" si="4"/>
        <v>4682418.76</v>
      </c>
      <c r="T44" s="463">
        <f t="shared" si="3"/>
        <v>7.5833556181776951E-2</v>
      </c>
      <c r="U44" s="500"/>
    </row>
    <row r="45" spans="1:24" s="360" customFormat="1">
      <c r="A45" s="359">
        <v>425</v>
      </c>
      <c r="B45" s="613" t="str">
        <f>+VLOOKUP($A45,Master!$D$30:$G$226,4,FALSE)</f>
        <v>Ostala prava iz zdravstvenog osiguranja</v>
      </c>
      <c r="C45" s="614"/>
      <c r="D45" s="614"/>
      <c r="E45" s="614"/>
      <c r="F45" s="614"/>
      <c r="G45" s="163">
        <v>0</v>
      </c>
      <c r="H45" s="163">
        <v>946813.87</v>
      </c>
      <c r="I45" s="163">
        <v>1275769.99</v>
      </c>
      <c r="J45" s="163"/>
      <c r="K45" s="163"/>
      <c r="L45" s="163"/>
      <c r="M45" s="163"/>
      <c r="N45" s="163"/>
      <c r="O45" s="163"/>
      <c r="P45" s="163"/>
      <c r="Q45" s="163"/>
      <c r="R45" s="163"/>
      <c r="S45" s="242">
        <f t="shared" si="4"/>
        <v>2222583.86</v>
      </c>
      <c r="T45" s="463">
        <f t="shared" si="3"/>
        <v>3.5995592588993618E-2</v>
      </c>
      <c r="U45" s="500"/>
    </row>
    <row r="46" spans="1:24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v>1575619.12</v>
      </c>
      <c r="H46" s="175">
        <v>24858213.860000003</v>
      </c>
      <c r="I46" s="175">
        <v>29154946.680000003</v>
      </c>
      <c r="J46" s="175"/>
      <c r="K46" s="175"/>
      <c r="L46" s="175"/>
      <c r="M46" s="175"/>
      <c r="N46" s="175"/>
      <c r="O46" s="175"/>
      <c r="P46" s="175"/>
      <c r="Q46" s="175"/>
      <c r="R46" s="175"/>
      <c r="S46" s="243">
        <f t="shared" si="4"/>
        <v>55588779.660000011</v>
      </c>
      <c r="T46" s="464">
        <f t="shared" si="3"/>
        <v>0.90028147021669436</v>
      </c>
      <c r="U46" s="500"/>
    </row>
    <row r="47" spans="1:24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v>420202.33999999997</v>
      </c>
      <c r="H47" s="175">
        <v>4450440.01</v>
      </c>
      <c r="I47" s="175">
        <v>10112490.899999999</v>
      </c>
      <c r="J47" s="175"/>
      <c r="K47" s="175"/>
      <c r="L47" s="175"/>
      <c r="M47" s="175"/>
      <c r="N47" s="175"/>
      <c r="O47" s="175"/>
      <c r="P47" s="175"/>
      <c r="Q47" s="175"/>
      <c r="R47" s="175"/>
      <c r="S47" s="243">
        <f t="shared" si="4"/>
        <v>14983133.249999998</v>
      </c>
      <c r="T47" s="464">
        <f t="shared" si="3"/>
        <v>0.2426575527159654</v>
      </c>
      <c r="U47" s="500"/>
      <c r="V47" s="291"/>
      <c r="W47" s="311"/>
      <c r="X47" s="311"/>
    </row>
    <row r="48" spans="1:24">
      <c r="A48" s="150">
        <v>451</v>
      </c>
      <c r="B48" s="615" t="str">
        <f>+VLOOKUP($A48,Master!$D$30:$G$226,4,FALSE)</f>
        <v>Pozajmice i krediti</v>
      </c>
      <c r="C48" s="616"/>
      <c r="D48" s="616"/>
      <c r="E48" s="616"/>
      <c r="F48" s="616"/>
      <c r="G48" s="163">
        <v>0</v>
      </c>
      <c r="H48" s="163">
        <v>1052216</v>
      </c>
      <c r="I48" s="163">
        <v>0</v>
      </c>
      <c r="J48" s="163"/>
      <c r="K48" s="163"/>
      <c r="L48" s="163"/>
      <c r="M48" s="163"/>
      <c r="N48" s="163"/>
      <c r="O48" s="163"/>
      <c r="P48" s="163"/>
      <c r="Q48" s="163"/>
      <c r="R48" s="163"/>
      <c r="S48" s="242">
        <f t="shared" si="4"/>
        <v>1052216</v>
      </c>
      <c r="T48" s="463">
        <f t="shared" si="3"/>
        <v>1.7041039095649919E-2</v>
      </c>
      <c r="U48" s="500"/>
      <c r="V48" s="311"/>
    </row>
    <row r="49" spans="1:21" s="360" customFormat="1">
      <c r="A49" s="359">
        <v>47</v>
      </c>
      <c r="B49" s="607" t="str">
        <f>+VLOOKUP($A49,Master!$D$30:$G$226,4,FALSE)</f>
        <v>Rezerve</v>
      </c>
      <c r="C49" s="608"/>
      <c r="D49" s="608"/>
      <c r="E49" s="608"/>
      <c r="F49" s="608"/>
      <c r="G49" s="163">
        <v>0</v>
      </c>
      <c r="H49" s="163">
        <v>198585.54</v>
      </c>
      <c r="I49" s="163">
        <v>1537951.44</v>
      </c>
      <c r="J49" s="163"/>
      <c r="K49" s="163"/>
      <c r="L49" s="163"/>
      <c r="M49" s="163"/>
      <c r="N49" s="163"/>
      <c r="O49" s="163"/>
      <c r="P49" s="163"/>
      <c r="Q49" s="163"/>
      <c r="R49" s="163"/>
      <c r="S49" s="242">
        <f t="shared" si="4"/>
        <v>1736536.98</v>
      </c>
      <c r="T49" s="463">
        <f t="shared" si="3"/>
        <v>2.8123878145952772E-2</v>
      </c>
      <c r="U49" s="500"/>
    </row>
    <row r="50" spans="1:21" ht="13.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63">
        <v>0</v>
      </c>
      <c r="H50" s="163">
        <v>1168915.48</v>
      </c>
      <c r="I50" s="163">
        <v>0</v>
      </c>
      <c r="J50" s="163"/>
      <c r="K50" s="163"/>
      <c r="L50" s="163"/>
      <c r="M50" s="163"/>
      <c r="N50" s="163"/>
      <c r="O50" s="163"/>
      <c r="P50" s="163"/>
      <c r="Q50" s="163"/>
      <c r="R50" s="163"/>
      <c r="S50" s="242">
        <f t="shared" si="4"/>
        <v>1168915.48</v>
      </c>
      <c r="T50" s="463">
        <f t="shared" si="3"/>
        <v>1.8931031645774626E-2</v>
      </c>
      <c r="U50" s="500"/>
    </row>
    <row r="51" spans="1:21" ht="13.5" thickBot="1">
      <c r="A51" s="144">
        <v>4630</v>
      </c>
      <c r="B51" s="609" t="str">
        <f>+VLOOKUP($A51,Master!$D$30:$G$226,4,TRUE)</f>
        <v>Otplata obaveza iz prethodnog perioda</v>
      </c>
      <c r="C51" s="610"/>
      <c r="D51" s="610"/>
      <c r="E51" s="610"/>
      <c r="F51" s="610"/>
      <c r="G51" s="457">
        <v>968043.51</v>
      </c>
      <c r="H51" s="457">
        <v>1883378.3499999994</v>
      </c>
      <c r="I51" s="457">
        <v>1288548.8699999999</v>
      </c>
      <c r="J51" s="457"/>
      <c r="K51" s="457"/>
      <c r="L51" s="457"/>
      <c r="M51" s="457"/>
      <c r="N51" s="457"/>
      <c r="O51" s="457"/>
      <c r="P51" s="457"/>
      <c r="Q51" s="457"/>
      <c r="R51" s="457"/>
      <c r="S51" s="424">
        <f>+SUM(G51:R51)</f>
        <v>4139970.7299999995</v>
      </c>
      <c r="T51" s="467">
        <f t="shared" si="3"/>
        <v>6.7048403621287209E-2</v>
      </c>
      <c r="U51" s="500"/>
    </row>
    <row r="52" spans="1:21" ht="13.5" thickBot="1">
      <c r="A52" s="70">
        <v>1005</v>
      </c>
      <c r="B52" s="611" t="str">
        <f>+VLOOKUP($A52,Master!$D$30:$G$228,4,FALSE)</f>
        <v>Neto povećanje obaveza</v>
      </c>
      <c r="C52" s="612"/>
      <c r="D52" s="612"/>
      <c r="E52" s="612"/>
      <c r="F52" s="612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</row>
    <row r="53" spans="1:21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9">+G10-G29</f>
        <v>53056619.250000015</v>
      </c>
      <c r="H53" s="151">
        <f t="shared" si="9"/>
        <v>-27124796.700000018</v>
      </c>
      <c r="I53" s="151">
        <f t="shared" si="9"/>
        <v>39892687.48999998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>SUM(G53:R53)</f>
        <v>65824510.039999977</v>
      </c>
      <c r="T53" s="469">
        <f t="shared" si="3"/>
        <v>1.066053024325462</v>
      </c>
    </row>
    <row r="54" spans="1:21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10">+G53+G36</f>
        <v>57023515.010000013</v>
      </c>
      <c r="H54" s="205">
        <f t="shared" si="10"/>
        <v>-24693729.910000019</v>
      </c>
      <c r="I54" s="205">
        <f t="shared" si="10"/>
        <v>41628320.299999982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73958105.399999976</v>
      </c>
      <c r="T54" s="469">
        <f t="shared" si="3"/>
        <v>1.1977797007093571</v>
      </c>
    </row>
    <row r="55" spans="1:21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1">+SUM(G56:G57)</f>
        <v>29896704.300000001</v>
      </c>
      <c r="H55" s="193">
        <f t="shared" si="11"/>
        <v>5811024.9299999997</v>
      </c>
      <c r="I55" s="193">
        <f t="shared" si="11"/>
        <v>8077109.9900000002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43784839.220000006</v>
      </c>
      <c r="T55" s="470">
        <f t="shared" si="3"/>
        <v>0.70911215657694426</v>
      </c>
    </row>
    <row r="56" spans="1:21">
      <c r="A56" s="144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211">
        <v>1871833.35</v>
      </c>
      <c r="H56" s="211">
        <v>2400192.8200000003</v>
      </c>
      <c r="I56" s="211">
        <v>1348967.54</v>
      </c>
      <c r="J56" s="211"/>
      <c r="K56" s="211"/>
      <c r="L56" s="211"/>
      <c r="M56" s="211"/>
      <c r="N56" s="211"/>
      <c r="O56" s="211"/>
      <c r="P56" s="211"/>
      <c r="Q56" s="211"/>
      <c r="R56" s="211"/>
      <c r="S56" s="250">
        <f t="shared" si="4"/>
        <v>5620993.71</v>
      </c>
      <c r="T56" s="471">
        <f t="shared" si="3"/>
        <v>9.1034135166650473E-2</v>
      </c>
    </row>
    <row r="57" spans="1:21" ht="13.5" thickBot="1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211">
        <v>28024870.949999999</v>
      </c>
      <c r="H57" s="211">
        <v>3410832.11</v>
      </c>
      <c r="I57" s="211">
        <v>6728142.4500000002</v>
      </c>
      <c r="J57" s="211"/>
      <c r="K57" s="211"/>
      <c r="L57" s="211"/>
      <c r="M57" s="211"/>
      <c r="N57" s="211"/>
      <c r="O57" s="211"/>
      <c r="P57" s="211"/>
      <c r="Q57" s="211"/>
      <c r="R57" s="211"/>
      <c r="S57" s="250">
        <f t="shared" si="4"/>
        <v>38163845.509999998</v>
      </c>
      <c r="T57" s="471">
        <f t="shared" si="3"/>
        <v>0.61807802141029378</v>
      </c>
    </row>
    <row r="58" spans="1:21" ht="13.5" thickBot="1">
      <c r="A58" s="144">
        <v>4418</v>
      </c>
      <c r="B58" s="532" t="str">
        <f>+VLOOKUP($A58,Master!$D$30:$G$226,4,FALSE)</f>
        <v>Izdaci za kupovinu hartija od vrijednosti</v>
      </c>
      <c r="C58" s="533"/>
      <c r="D58" s="533"/>
      <c r="E58" s="533"/>
      <c r="F58" s="533"/>
      <c r="G58" s="459">
        <v>0</v>
      </c>
      <c r="H58" s="459">
        <v>496372.98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/>
      <c r="P58" s="459"/>
      <c r="Q58" s="459"/>
      <c r="R58" s="459"/>
      <c r="S58" s="249">
        <f>SUM(G58:R58)</f>
        <v>496372.98</v>
      </c>
      <c r="T58" s="472">
        <f t="shared" si="3"/>
        <v>8.0389495675833242E-3</v>
      </c>
    </row>
    <row r="59" spans="1:21" ht="13.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217">
        <f>+G53-G55-G58</f>
        <v>23159914.950000014</v>
      </c>
      <c r="H59" s="217">
        <f t="shared" ref="H59:R59" si="12">+H53-H55-H58</f>
        <v>-33432194.610000018</v>
      </c>
      <c r="I59" s="217">
        <f t="shared" si="12"/>
        <v>31815577.499999978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21543297.839999974</v>
      </c>
      <c r="T59" s="473">
        <f t="shared" si="3"/>
        <v>0.34890191818093441</v>
      </c>
    </row>
    <row r="60" spans="1:21" ht="13.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+SUM(G61:G64)</f>
        <v>-23159914.950000018</v>
      </c>
      <c r="H60" s="151">
        <f t="shared" ref="H60:R60" si="13">+SUM(H61:H64)</f>
        <v>33432194.610000018</v>
      </c>
      <c r="I60" s="151">
        <f t="shared" si="13"/>
        <v>-31815577.499999985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-21543297.839999985</v>
      </c>
      <c r="T60" s="474">
        <f t="shared" si="3"/>
        <v>-0.34890191818093458</v>
      </c>
    </row>
    <row r="61" spans="1:21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211">
        <v>0</v>
      </c>
      <c r="H61" s="211">
        <v>0</v>
      </c>
      <c r="I61" s="211">
        <v>0</v>
      </c>
      <c r="J61" s="211"/>
      <c r="K61" s="211"/>
      <c r="L61" s="211"/>
      <c r="M61" s="211"/>
      <c r="N61" s="211"/>
      <c r="O61" s="211"/>
      <c r="P61" s="211"/>
      <c r="Q61" s="211"/>
      <c r="R61" s="211"/>
      <c r="S61" s="250">
        <f t="shared" si="4"/>
        <v>0</v>
      </c>
      <c r="T61" s="471">
        <f t="shared" si="3"/>
        <v>0</v>
      </c>
    </row>
    <row r="62" spans="1:21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211">
        <v>21765.27</v>
      </c>
      <c r="H62" s="211">
        <v>1062785.51</v>
      </c>
      <c r="I62" s="211">
        <v>101099873.19999999</v>
      </c>
      <c r="J62" s="211"/>
      <c r="K62" s="211"/>
      <c r="L62" s="211"/>
      <c r="M62" s="211"/>
      <c r="N62" s="211"/>
      <c r="O62" s="211"/>
      <c r="P62" s="211"/>
      <c r="Q62" s="211"/>
      <c r="R62" s="211"/>
      <c r="S62" s="250">
        <f t="shared" si="4"/>
        <v>102184423.97999999</v>
      </c>
      <c r="T62" s="471">
        <f t="shared" si="3"/>
        <v>1.6549156865222034</v>
      </c>
    </row>
    <row r="63" spans="1:21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211">
        <v>664808.06000000006</v>
      </c>
      <c r="H63" s="211">
        <v>77041.679999999993</v>
      </c>
      <c r="I63" s="211">
        <v>167618.51</v>
      </c>
      <c r="J63" s="211"/>
      <c r="K63" s="211"/>
      <c r="L63" s="211"/>
      <c r="M63" s="211"/>
      <c r="N63" s="211"/>
      <c r="O63" s="211"/>
      <c r="P63" s="211"/>
      <c r="Q63" s="211"/>
      <c r="R63" s="211"/>
      <c r="S63" s="250">
        <f t="shared" si="4"/>
        <v>909468.25</v>
      </c>
      <c r="T63" s="471">
        <f t="shared" si="3"/>
        <v>1.4729184886470379E-2</v>
      </c>
    </row>
    <row r="64" spans="1:21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-23846488.280000016</v>
      </c>
      <c r="H64" s="225">
        <f t="shared" ref="H64:L64" si="14">-H59-SUM(H61:H63)</f>
        <v>32292367.420000017</v>
      </c>
      <c r="I64" s="225">
        <f t="shared" si="14"/>
        <v>-133083069.20999998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ref="M64:R64" si="15">-M59-SUM(M61:M63)</f>
        <v>0</v>
      </c>
      <c r="N64" s="225">
        <f t="shared" si="15"/>
        <v>0</v>
      </c>
      <c r="O64" s="225">
        <f t="shared" si="15"/>
        <v>0</v>
      </c>
      <c r="P64" s="225">
        <f t="shared" si="15"/>
        <v>0</v>
      </c>
      <c r="Q64" s="225">
        <f t="shared" si="15"/>
        <v>0</v>
      </c>
      <c r="R64" s="225">
        <f t="shared" si="15"/>
        <v>0</v>
      </c>
      <c r="S64" s="253">
        <f>+SUM(G64:R64)</f>
        <v>-124637190.06999998</v>
      </c>
      <c r="T64" s="475">
        <f t="shared" si="3"/>
        <v>-2.018546789589609</v>
      </c>
    </row>
    <row r="65" spans="7:18">
      <c r="R65" s="312"/>
    </row>
    <row r="66" spans="7:18">
      <c r="G66" s="311"/>
    </row>
    <row r="67" spans="7:18" hidden="1">
      <c r="G67" s="311"/>
    </row>
    <row r="68" spans="7:18" ht="9" hidden="1" customHeight="1"/>
    <row r="69" spans="7:18" hidden="1"/>
    <row r="70" spans="7:18" hidden="1"/>
    <row r="71" spans="7:18" hidden="1"/>
    <row r="72" spans="7:18" hidden="1"/>
    <row r="73" spans="7:18" hidden="1"/>
    <row r="74" spans="7:18" hidden="1"/>
    <row r="77" spans="7:18">
      <c r="Q77" s="311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6">+CONCATENATE(G6,"p")</f>
        <v>2023-01p</v>
      </c>
      <c r="H80" s="68" t="str">
        <f t="shared" si="16"/>
        <v>2023-02p</v>
      </c>
      <c r="I80" s="68" t="str">
        <f t="shared" si="16"/>
        <v>2023-03p</v>
      </c>
      <c r="J80" s="68" t="str">
        <f t="shared" si="16"/>
        <v>2023-04p</v>
      </c>
      <c r="K80" s="68" t="str">
        <f t="shared" si="16"/>
        <v>2023-05p</v>
      </c>
      <c r="L80" s="68" t="str">
        <f t="shared" si="16"/>
        <v>2023-06p</v>
      </c>
      <c r="M80" s="68" t="str">
        <f t="shared" si="16"/>
        <v>2023-07p</v>
      </c>
      <c r="N80" s="68" t="str">
        <f t="shared" si="16"/>
        <v>2023-08p</v>
      </c>
      <c r="O80" s="68" t="str">
        <f t="shared" si="16"/>
        <v>2023-09p</v>
      </c>
      <c r="P80" s="68" t="str">
        <f t="shared" si="16"/>
        <v>2023-10p</v>
      </c>
      <c r="Q80" s="68" t="str">
        <f t="shared" si="16"/>
        <v>2023-11p</v>
      </c>
      <c r="R80" s="68" t="str">
        <f t="shared" si="16"/>
        <v>2023-12p</v>
      </c>
    </row>
    <row r="81" spans="1:26" ht="15.75" customHeight="1" thickBot="1">
      <c r="B81" s="596" t="str">
        <f>+Master!G253</f>
        <v>Plan ostvarenja budžeta</v>
      </c>
      <c r="C81" s="597"/>
      <c r="D81" s="597"/>
      <c r="E81" s="597"/>
      <c r="F81" s="597"/>
      <c r="G81" s="604">
        <v>2023</v>
      </c>
      <c r="H81" s="605"/>
      <c r="I81" s="605"/>
      <c r="J81" s="605"/>
      <c r="K81" s="605"/>
      <c r="L81" s="605"/>
      <c r="M81" s="605"/>
      <c r="N81" s="605"/>
      <c r="O81" s="605"/>
      <c r="P81" s="605"/>
      <c r="Q81" s="605"/>
      <c r="R81" s="606"/>
      <c r="S81" s="107" t="str">
        <f>+S7</f>
        <v>BDP</v>
      </c>
      <c r="T81" s="108">
        <v>6174600000</v>
      </c>
    </row>
    <row r="82" spans="1:26" ht="15.75" customHeight="1">
      <c r="B82" s="598"/>
      <c r="C82" s="599"/>
      <c r="D82" s="599"/>
      <c r="E82" s="599"/>
      <c r="F82" s="600"/>
      <c r="G82" s="71" t="str">
        <f t="shared" ref="G82:R82" si="17">+G8</f>
        <v>Januar</v>
      </c>
      <c r="H82" s="71" t="str">
        <f t="shared" si="17"/>
        <v>Februar</v>
      </c>
      <c r="I82" s="71" t="str">
        <f t="shared" si="17"/>
        <v>Mart</v>
      </c>
      <c r="J82" s="71" t="str">
        <f t="shared" si="17"/>
        <v>April</v>
      </c>
      <c r="K82" s="71" t="str">
        <f t="shared" si="17"/>
        <v>Maj</v>
      </c>
      <c r="L82" s="71" t="str">
        <f t="shared" si="17"/>
        <v>Jun</v>
      </c>
      <c r="M82" s="71" t="str">
        <f t="shared" si="17"/>
        <v>Jul</v>
      </c>
      <c r="N82" s="71" t="str">
        <f t="shared" si="17"/>
        <v>Avgust</v>
      </c>
      <c r="O82" s="71" t="str">
        <f t="shared" si="17"/>
        <v>Septembar</v>
      </c>
      <c r="P82" s="71" t="str">
        <f t="shared" si="17"/>
        <v>Oktobar</v>
      </c>
      <c r="Q82" s="71" t="str">
        <f t="shared" si="17"/>
        <v>Novembar</v>
      </c>
      <c r="R82" s="71" t="str">
        <f t="shared" si="17"/>
        <v>Decembar</v>
      </c>
      <c r="S82" s="604" t="str">
        <f>+Master!G247</f>
        <v>Jan - Dec</v>
      </c>
      <c r="T82" s="606">
        <f>+T8</f>
        <v>0</v>
      </c>
    </row>
    <row r="83" spans="1:26" ht="13.5" thickBot="1">
      <c r="B83" s="601"/>
      <c r="C83" s="602"/>
      <c r="D83" s="602"/>
      <c r="E83" s="602"/>
      <c r="F83" s="603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6" ht="13.5" thickBot="1">
      <c r="A84" s="116" t="str">
        <f t="shared" ref="A84:A138" si="18">+CONCATENATE(A10,"p")</f>
        <v>7p</v>
      </c>
      <c r="B84" s="570" t="str">
        <f>+VLOOKUP(LEFT($A84,LEN(A84)-1)*1,Master!$D$30:$G$226,4,FALSE)</f>
        <v>Prihodi budžeta</v>
      </c>
      <c r="C84" s="571"/>
      <c r="D84" s="571"/>
      <c r="E84" s="571"/>
      <c r="F84" s="571"/>
      <c r="G84" s="93">
        <f t="shared" ref="G84:Q84" si="19">+G85+G93+SUM(G98:G102)</f>
        <v>153112731.45240748</v>
      </c>
      <c r="H84" s="93">
        <f t="shared" si="19"/>
        <v>127832756.55548061</v>
      </c>
      <c r="I84" s="93">
        <f t="shared" si="19"/>
        <v>201740232.63025409</v>
      </c>
      <c r="J84" s="93">
        <f t="shared" si="19"/>
        <v>197163981.770235</v>
      </c>
      <c r="K84" s="93">
        <f t="shared" si="19"/>
        <v>158296327.97128749</v>
      </c>
      <c r="L84" s="93">
        <f t="shared" si="19"/>
        <v>167200464.48127508</v>
      </c>
      <c r="M84" s="93">
        <f t="shared" si="19"/>
        <v>181861975.69392896</v>
      </c>
      <c r="N84" s="93">
        <f t="shared" si="19"/>
        <v>202109513.21302867</v>
      </c>
      <c r="O84" s="93">
        <f t="shared" si="19"/>
        <v>185021882.2158348</v>
      </c>
      <c r="P84" s="93">
        <f t="shared" si="19"/>
        <v>177565269.2391125</v>
      </c>
      <c r="Q84" s="93">
        <f t="shared" si="19"/>
        <v>168967337.33964974</v>
      </c>
      <c r="R84" s="93">
        <f>+R85+R93+SUM(R98:R102)</f>
        <v>226593742.01140162</v>
      </c>
      <c r="S84" s="452">
        <f>+SUM(G84:R84)</f>
        <v>2147466214.5738959</v>
      </c>
      <c r="T84" s="476">
        <f>+S84/$T$81*100</f>
        <v>34.779033695687104</v>
      </c>
      <c r="U84" s="258"/>
    </row>
    <row r="85" spans="1:26">
      <c r="A85" s="116" t="str">
        <f t="shared" si="18"/>
        <v>711p</v>
      </c>
      <c r="B85" s="594" t="str">
        <f>+VLOOKUP(LEFT($A85,LEN(A85)-1)*1,Master!$D$30:$G$226,4,FALSE)</f>
        <v>Porezi</v>
      </c>
      <c r="C85" s="595"/>
      <c r="D85" s="595"/>
      <c r="E85" s="595"/>
      <c r="F85" s="595"/>
      <c r="G85" s="79">
        <f t="shared" ref="G85:R85" si="20">+SUM(G86:G92)</f>
        <v>89053259.19649069</v>
      </c>
      <c r="H85" s="79">
        <f t="shared" si="20"/>
        <v>86133720.726993382</v>
      </c>
      <c r="I85" s="79">
        <f t="shared" si="20"/>
        <v>151611174.865978</v>
      </c>
      <c r="J85" s="79">
        <f t="shared" si="20"/>
        <v>145526098.37503338</v>
      </c>
      <c r="K85" s="79">
        <f t="shared" si="20"/>
        <v>114721167.87287787</v>
      </c>
      <c r="L85" s="79">
        <f t="shared" si="20"/>
        <v>116649816.05907366</v>
      </c>
      <c r="M85" s="79">
        <f t="shared" si="20"/>
        <v>123219445.94451815</v>
      </c>
      <c r="N85" s="79">
        <f t="shared" si="20"/>
        <v>144506632.21078962</v>
      </c>
      <c r="O85" s="79">
        <f t="shared" si="20"/>
        <v>130700085.51141171</v>
      </c>
      <c r="P85" s="79">
        <f t="shared" si="20"/>
        <v>120588265.76124729</v>
      </c>
      <c r="Q85" s="79">
        <f t="shared" si="20"/>
        <v>112197774.08556552</v>
      </c>
      <c r="R85" s="80">
        <f t="shared" si="20"/>
        <v>130556572.94447696</v>
      </c>
      <c r="S85" s="111">
        <f t="shared" ref="S85:S137" si="21">+SUM(G85:R85)</f>
        <v>1465464013.5544562</v>
      </c>
      <c r="T85" s="462">
        <f t="shared" ref="T85:T138" si="22">+S85/$T$81*100</f>
        <v>23.733748154608499</v>
      </c>
      <c r="V85" s="311"/>
    </row>
    <row r="86" spans="1:26">
      <c r="A86" s="116" t="str">
        <f t="shared" si="18"/>
        <v>7111p</v>
      </c>
      <c r="B86" s="586" t="str">
        <f>+VLOOKUP(LEFT($A86,LEN(A86)-1)*1,Master!$D$30:$G$229,4,FALSE)</f>
        <v>Porez na dohodak fizičkih lica</v>
      </c>
      <c r="C86" s="587"/>
      <c r="D86" s="587"/>
      <c r="E86" s="587"/>
      <c r="F86" s="587"/>
      <c r="G86" s="87">
        <v>2070902.7064199252</v>
      </c>
      <c r="H86" s="87">
        <v>4571441.5054620681</v>
      </c>
      <c r="I86" s="87">
        <v>4416792.289274618</v>
      </c>
      <c r="J86" s="87">
        <v>5257739.5478638252</v>
      </c>
      <c r="K86" s="87">
        <v>4986046.1475269934</v>
      </c>
      <c r="L86" s="87">
        <v>4944578.7228755346</v>
      </c>
      <c r="M86" s="87">
        <v>5364995.4780979399</v>
      </c>
      <c r="N86" s="87">
        <v>5116178.4586187964</v>
      </c>
      <c r="O86" s="87">
        <v>5045281.5655734073</v>
      </c>
      <c r="P86" s="87">
        <v>5285963.732247252</v>
      </c>
      <c r="Q86" s="87">
        <v>4877225.8311620513</v>
      </c>
      <c r="R86" s="87">
        <v>9102707.6780775897</v>
      </c>
      <c r="S86" s="112">
        <f t="shared" si="21"/>
        <v>61039853.663200006</v>
      </c>
      <c r="T86" s="463">
        <f t="shared" si="22"/>
        <v>0.98856369097917274</v>
      </c>
      <c r="V86" s="311"/>
    </row>
    <row r="87" spans="1:26">
      <c r="A87" s="116" t="str">
        <f t="shared" si="18"/>
        <v>7112p</v>
      </c>
      <c r="B87" s="586" t="str">
        <f>+VLOOKUP(LEFT($A87,LEN(A87)-1)*1,Master!$D$30:$G$229,4,FALSE)</f>
        <v>Porez na dobit pravnih lica</v>
      </c>
      <c r="C87" s="587"/>
      <c r="D87" s="587"/>
      <c r="E87" s="587"/>
      <c r="F87" s="587"/>
      <c r="G87" s="87">
        <v>534161.88979689125</v>
      </c>
      <c r="H87" s="87">
        <v>2931735.7925026831</v>
      </c>
      <c r="I87" s="87">
        <v>52182708.518122546</v>
      </c>
      <c r="J87" s="87">
        <v>38816261.383036874</v>
      </c>
      <c r="K87" s="87">
        <v>2899918.0051999893</v>
      </c>
      <c r="L87" s="87">
        <v>4080555.7993856557</v>
      </c>
      <c r="M87" s="87">
        <v>2527233.3334094649</v>
      </c>
      <c r="N87" s="87">
        <v>3169336.8152234615</v>
      </c>
      <c r="O87" s="87">
        <v>3538278.3583860644</v>
      </c>
      <c r="P87" s="87">
        <v>1664293.4786487306</v>
      </c>
      <c r="Q87" s="87">
        <v>2887333.7182166665</v>
      </c>
      <c r="R87" s="87">
        <v>6416604.0733927749</v>
      </c>
      <c r="S87" s="112">
        <f t="shared" si="21"/>
        <v>121648421.1653218</v>
      </c>
      <c r="T87" s="463">
        <f t="shared" si="22"/>
        <v>1.9701425382263109</v>
      </c>
      <c r="V87" s="311"/>
    </row>
    <row r="88" spans="1:26">
      <c r="A88" s="116" t="str">
        <f t="shared" si="18"/>
        <v>7113p</v>
      </c>
      <c r="B88" s="586" t="str">
        <f>+VLOOKUP(LEFT($A88,LEN(A88)-1)*1,Master!$D$30:$G$229,4,FALSE)</f>
        <v>Porez na promet nepokretnosti</v>
      </c>
      <c r="C88" s="587"/>
      <c r="D88" s="587"/>
      <c r="E88" s="587"/>
      <c r="F88" s="587"/>
      <c r="G88" s="87">
        <v>0</v>
      </c>
      <c r="H88" s="87">
        <v>0</v>
      </c>
      <c r="I88" s="87">
        <v>0</v>
      </c>
      <c r="J88" s="87">
        <v>0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1"/>
        <v>0</v>
      </c>
      <c r="T88" s="463">
        <f t="shared" si="22"/>
        <v>0</v>
      </c>
      <c r="V88" s="311"/>
    </row>
    <row r="89" spans="1:26">
      <c r="A89" s="116" t="str">
        <f t="shared" si="18"/>
        <v>7114p</v>
      </c>
      <c r="B89" s="586" t="str">
        <f>+VLOOKUP(LEFT($A89,LEN(A89)-1)*1,Master!$D$30:$G$229,4,FALSE)</f>
        <v>Porez na dodatu vrijednost</v>
      </c>
      <c r="C89" s="587"/>
      <c r="D89" s="587"/>
      <c r="E89" s="587"/>
      <c r="F89" s="587"/>
      <c r="G89" s="87">
        <v>65000000</v>
      </c>
      <c r="H89" s="87">
        <v>59157257.036181271</v>
      </c>
      <c r="I89" s="87">
        <v>70779064.900745258</v>
      </c>
      <c r="J89" s="87">
        <v>77609564.108106285</v>
      </c>
      <c r="K89" s="87">
        <v>80764321.173744261</v>
      </c>
      <c r="L89" s="87">
        <v>82000000</v>
      </c>
      <c r="M89" s="87">
        <v>86587361.219999999</v>
      </c>
      <c r="N89" s="87">
        <v>99000000</v>
      </c>
      <c r="O89" s="87">
        <v>89355645.696232229</v>
      </c>
      <c r="P89" s="87">
        <v>85000000</v>
      </c>
      <c r="Q89" s="87">
        <v>80002523.512198836</v>
      </c>
      <c r="R89" s="87">
        <v>83726072.568305194</v>
      </c>
      <c r="S89" s="112">
        <f t="shared" si="21"/>
        <v>958981810.21551323</v>
      </c>
      <c r="T89" s="463">
        <f t="shared" si="22"/>
        <v>15.531075862655285</v>
      </c>
      <c r="V89" s="311"/>
    </row>
    <row r="90" spans="1:26">
      <c r="A90" s="116" t="str">
        <f t="shared" si="18"/>
        <v>7115p</v>
      </c>
      <c r="B90" s="586" t="str">
        <f>+VLOOKUP(LEFT($A90,LEN(A90)-1)*1,Master!$D$30:$G$229,4,FALSE)</f>
        <v>Akcize</v>
      </c>
      <c r="C90" s="587"/>
      <c r="D90" s="587"/>
      <c r="E90" s="587"/>
      <c r="F90" s="587"/>
      <c r="G90" s="87">
        <v>18950000</v>
      </c>
      <c r="H90" s="87">
        <v>16468285.819688315</v>
      </c>
      <c r="I90" s="87">
        <v>20008845.7876136</v>
      </c>
      <c r="J90" s="87">
        <v>19694697.412667502</v>
      </c>
      <c r="K90" s="87">
        <v>21753669.00624115</v>
      </c>
      <c r="L90" s="87">
        <v>20861971.060195781</v>
      </c>
      <c r="M90" s="87">
        <v>23890190.547238827</v>
      </c>
      <c r="N90" s="87">
        <v>31837007.557229187</v>
      </c>
      <c r="O90" s="87">
        <v>27952742.360335764</v>
      </c>
      <c r="P90" s="87">
        <v>24243081.612867884</v>
      </c>
      <c r="Q90" s="87">
        <v>19387116.28225591</v>
      </c>
      <c r="R90" s="87">
        <v>26404567.592340976</v>
      </c>
      <c r="S90" s="112">
        <f t="shared" si="21"/>
        <v>271452175.03867495</v>
      </c>
      <c r="T90" s="463">
        <f t="shared" si="22"/>
        <v>4.3962714190178307</v>
      </c>
      <c r="V90" s="311"/>
      <c r="X90" s="257"/>
      <c r="Y90" s="257"/>
      <c r="Z90" s="257"/>
    </row>
    <row r="91" spans="1:26">
      <c r="A91" s="116" t="str">
        <f t="shared" si="18"/>
        <v>7116p</v>
      </c>
      <c r="B91" s="586" t="str">
        <f>+VLOOKUP(LEFT($A91,LEN(A91)-1)*1,Master!$D$30:$G$229,4,FALSE)</f>
        <v>Porez na međunarodnu trgovinu i transakcije</v>
      </c>
      <c r="C91" s="587"/>
      <c r="D91" s="587"/>
      <c r="E91" s="587"/>
      <c r="F91" s="587"/>
      <c r="G91" s="87">
        <v>1690050.6290672496</v>
      </c>
      <c r="H91" s="87">
        <v>2149690.2071043747</v>
      </c>
      <c r="I91" s="87">
        <v>3285503.6338270181</v>
      </c>
      <c r="J91" s="87">
        <v>3112309.3959054868</v>
      </c>
      <c r="K91" s="87">
        <v>3395864.9730360894</v>
      </c>
      <c r="L91" s="87">
        <v>3721386.9341526693</v>
      </c>
      <c r="M91" s="87">
        <v>3649795.5179858184</v>
      </c>
      <c r="N91" s="87">
        <v>4254913.4315361446</v>
      </c>
      <c r="O91" s="87">
        <v>3771141.3156107357</v>
      </c>
      <c r="P91" s="87">
        <v>3431995.0529172528</v>
      </c>
      <c r="Q91" s="87">
        <v>3902366.8888178305</v>
      </c>
      <c r="R91" s="87">
        <v>3887332.176758409</v>
      </c>
      <c r="S91" s="112">
        <f t="shared" si="21"/>
        <v>40252350.156719081</v>
      </c>
      <c r="T91" s="463">
        <f t="shared" si="22"/>
        <v>0.6519021500456561</v>
      </c>
      <c r="V91" s="311"/>
    </row>
    <row r="92" spans="1:26">
      <c r="A92" s="116" t="str">
        <f t="shared" si="18"/>
        <v>7118p</v>
      </c>
      <c r="B92" s="586" t="str">
        <f>+VLOOKUP(LEFT($A92,LEN(A92)-1)*1,Master!$D$30:$G$229,4,FALSE)</f>
        <v>Ostali državni porezi</v>
      </c>
      <c r="C92" s="587"/>
      <c r="D92" s="587"/>
      <c r="E92" s="587"/>
      <c r="F92" s="587"/>
      <c r="G92" s="87">
        <v>808143.97120662592</v>
      </c>
      <c r="H92" s="87">
        <v>855310.36605466809</v>
      </c>
      <c r="I92" s="87">
        <v>938259.73639494251</v>
      </c>
      <c r="J92" s="87">
        <v>1035526.5274533973</v>
      </c>
      <c r="K92" s="87">
        <v>921348.56712938857</v>
      </c>
      <c r="L92" s="87">
        <v>1041323.5424640164</v>
      </c>
      <c r="M92" s="87">
        <v>1199869.8477860999</v>
      </c>
      <c r="N92" s="87">
        <v>1129195.9481820336</v>
      </c>
      <c r="O92" s="87">
        <v>1036996.2152735114</v>
      </c>
      <c r="P92" s="87">
        <v>962931.88456615142</v>
      </c>
      <c r="Q92" s="87">
        <v>1141207.8529142153</v>
      </c>
      <c r="R92" s="87">
        <v>1019288.8556020237</v>
      </c>
      <c r="S92" s="112">
        <f t="shared" si="21"/>
        <v>12089403.315027073</v>
      </c>
      <c r="T92" s="463">
        <f t="shared" si="22"/>
        <v>0.19579249368423984</v>
      </c>
      <c r="V92" s="311"/>
    </row>
    <row r="93" spans="1:26">
      <c r="A93" s="116" t="str">
        <f t="shared" si="18"/>
        <v>712p</v>
      </c>
      <c r="B93" s="592" t="str">
        <f>+VLOOKUP(LEFT($A93,LEN(A93)-1)*1,Master!$D$30:$G$229,4,FALSE)</f>
        <v>Doprinosi</v>
      </c>
      <c r="C93" s="593"/>
      <c r="D93" s="593"/>
      <c r="E93" s="593"/>
      <c r="F93" s="593"/>
      <c r="G93" s="81">
        <f>+SUM(G94:G97)</f>
        <v>14028547.954861166</v>
      </c>
      <c r="H93" s="81">
        <f t="shared" ref="H93:R93" si="23">+SUM(H94:H97)</f>
        <v>35494684.891336001</v>
      </c>
      <c r="I93" s="479">
        <f t="shared" si="23"/>
        <v>34746900.973094396</v>
      </c>
      <c r="J93" s="81">
        <f t="shared" si="23"/>
        <v>42833596.089660697</v>
      </c>
      <c r="K93" s="81">
        <f t="shared" si="23"/>
        <v>31865136.166640289</v>
      </c>
      <c r="L93" s="81">
        <f t="shared" si="23"/>
        <v>38887014.54653661</v>
      </c>
      <c r="M93" s="81">
        <f t="shared" si="23"/>
        <v>41674957.146424204</v>
      </c>
      <c r="N93" s="81">
        <f t="shared" si="23"/>
        <v>39623582.115929469</v>
      </c>
      <c r="O93" s="81">
        <f t="shared" si="23"/>
        <v>38556106.773443051</v>
      </c>
      <c r="P93" s="81">
        <f t="shared" si="23"/>
        <v>41225764.80063308</v>
      </c>
      <c r="Q93" s="81">
        <f t="shared" si="23"/>
        <v>39258499.915648282</v>
      </c>
      <c r="R93" s="82">
        <f t="shared" si="23"/>
        <v>76561513.993556961</v>
      </c>
      <c r="S93" s="113">
        <f t="shared" si="21"/>
        <v>474756305.36776417</v>
      </c>
      <c r="T93" s="464">
        <f t="shared" si="22"/>
        <v>7.6888592842899008</v>
      </c>
      <c r="V93" s="311"/>
    </row>
    <row r="94" spans="1:26">
      <c r="A94" s="116" t="str">
        <f t="shared" si="18"/>
        <v>7121p</v>
      </c>
      <c r="B94" s="586" t="str">
        <f>+VLOOKUP(LEFT($A94,LEN(A94)-1)*1,Master!$D$30:$G$229,4,FALSE)</f>
        <v>Doprinosi za penzijsko i invalidsko osiguranje</v>
      </c>
      <c r="C94" s="587"/>
      <c r="D94" s="587"/>
      <c r="E94" s="587"/>
      <c r="F94" s="587"/>
      <c r="G94" s="87">
        <v>12922296.768241206</v>
      </c>
      <c r="H94" s="87">
        <v>32778046.640397433</v>
      </c>
      <c r="I94" s="87">
        <v>31885035.782585178</v>
      </c>
      <c r="J94" s="87">
        <v>39517642.627177365</v>
      </c>
      <c r="K94" s="87">
        <v>29460956.519365169</v>
      </c>
      <c r="L94" s="87">
        <v>35997729.315968178</v>
      </c>
      <c r="M94" s="87">
        <v>38602836.994617537</v>
      </c>
      <c r="N94" s="87">
        <v>36676993.713693559</v>
      </c>
      <c r="O94" s="87">
        <v>35626366.833726309</v>
      </c>
      <c r="P94" s="87">
        <v>38068802.692633055</v>
      </c>
      <c r="Q94" s="87">
        <v>36305288.307839207</v>
      </c>
      <c r="R94" s="87">
        <v>70883550.649357751</v>
      </c>
      <c r="S94" s="112">
        <f t="shared" si="21"/>
        <v>438725546.84560192</v>
      </c>
      <c r="T94" s="463">
        <f t="shared" si="22"/>
        <v>7.1053274195187051</v>
      </c>
      <c r="V94" s="311"/>
      <c r="W94" s="311"/>
    </row>
    <row r="95" spans="1:26">
      <c r="A95" s="116" t="str">
        <f t="shared" si="18"/>
        <v>7122p</v>
      </c>
      <c r="B95" s="586" t="str">
        <f>+VLOOKUP(LEFT($A95,LEN(A95)-1)*1,Master!$D$30:$G$229,4,FALSE)</f>
        <v>Doprinosi za zdravstveno osiguranje</v>
      </c>
      <c r="C95" s="587"/>
      <c r="D95" s="587"/>
      <c r="E95" s="587"/>
      <c r="F95" s="587"/>
      <c r="G95" s="87">
        <v>100023.86869410829</v>
      </c>
      <c r="H95" s="87">
        <v>100023.86869410829</v>
      </c>
      <c r="I95" s="87">
        <v>100023.86869410829</v>
      </c>
      <c r="J95" s="87">
        <v>100023.86869410829</v>
      </c>
      <c r="K95" s="87">
        <v>100023.86869410829</v>
      </c>
      <c r="L95" s="87">
        <v>100023.86869410829</v>
      </c>
      <c r="M95" s="87">
        <v>100023.86869410829</v>
      </c>
      <c r="N95" s="87">
        <v>100023.86869410829</v>
      </c>
      <c r="O95" s="87">
        <v>100023.86869410829</v>
      </c>
      <c r="P95" s="87">
        <v>100023.86869410829</v>
      </c>
      <c r="Q95" s="87">
        <v>100023.86869410829</v>
      </c>
      <c r="R95" s="87">
        <v>100023.86869410829</v>
      </c>
      <c r="S95" s="112">
        <f t="shared" si="21"/>
        <v>1200286.4243292995</v>
      </c>
      <c r="T95" s="463">
        <f t="shared" si="22"/>
        <v>1.9439096043942922E-2</v>
      </c>
      <c r="V95" s="311"/>
    </row>
    <row r="96" spans="1:26">
      <c r="A96" s="116" t="str">
        <f t="shared" si="18"/>
        <v>7123p</v>
      </c>
      <c r="B96" s="586" t="str">
        <f>+VLOOKUP(LEFT($A96,LEN(A96)-1)*1,Master!$D$30:$G$229,4,FALSE)</f>
        <v>Doprinosi za osiguranje od nezaposlenosti</v>
      </c>
      <c r="C96" s="587"/>
      <c r="D96" s="587"/>
      <c r="E96" s="587"/>
      <c r="F96" s="587"/>
      <c r="G96" s="87">
        <v>619197.91655976803</v>
      </c>
      <c r="H96" s="87">
        <v>1562283.5053246473</v>
      </c>
      <c r="I96" s="87">
        <v>1529231.4074864856</v>
      </c>
      <c r="J96" s="87">
        <v>1852310.804590398</v>
      </c>
      <c r="K96" s="87">
        <v>1381579.4426863664</v>
      </c>
      <c r="L96" s="87">
        <v>1646351.3865687051</v>
      </c>
      <c r="M96" s="87">
        <v>1773247.4402761667</v>
      </c>
      <c r="N96" s="87">
        <v>1691805.2177619261</v>
      </c>
      <c r="O96" s="87">
        <v>1673177.7559083714</v>
      </c>
      <c r="P96" s="87">
        <v>1765599.6533184864</v>
      </c>
      <c r="Q96" s="87">
        <v>1660050.5394028926</v>
      </c>
      <c r="R96" s="87">
        <v>3206078.6416049507</v>
      </c>
      <c r="S96" s="112">
        <f t="shared" si="21"/>
        <v>20360913.711489163</v>
      </c>
      <c r="T96" s="463">
        <f t="shared" si="22"/>
        <v>0.32975275663993076</v>
      </c>
      <c r="V96" s="311"/>
    </row>
    <row r="97" spans="1:23">
      <c r="A97" s="116" t="str">
        <f t="shared" si="18"/>
        <v>7124p</v>
      </c>
      <c r="B97" s="586" t="str">
        <f>+VLOOKUP(LEFT($A97,LEN(A97)-1)*1,Master!$D$30:$G$229,4,FALSE)</f>
        <v>Ostali doprinosi</v>
      </c>
      <c r="C97" s="587"/>
      <c r="D97" s="587"/>
      <c r="E97" s="587"/>
      <c r="F97" s="587"/>
      <c r="G97" s="87">
        <v>387029.40136608307</v>
      </c>
      <c r="H97" s="87">
        <v>1054330.8769198155</v>
      </c>
      <c r="I97" s="87">
        <v>1232609.9143286212</v>
      </c>
      <c r="J97" s="87">
        <v>1363618.7891988268</v>
      </c>
      <c r="K97" s="87">
        <v>922576.33589464275</v>
      </c>
      <c r="L97" s="87">
        <v>1142909.9753056148</v>
      </c>
      <c r="M97" s="87">
        <v>1198848.8428363875</v>
      </c>
      <c r="N97" s="87">
        <v>1154759.3157798722</v>
      </c>
      <c r="O97" s="87">
        <v>1156538.3151142579</v>
      </c>
      <c r="P97" s="87">
        <v>1291338.5859874277</v>
      </c>
      <c r="Q97" s="87">
        <v>1193137.199712065</v>
      </c>
      <c r="R97" s="87">
        <v>2371860.8339001467</v>
      </c>
      <c r="S97" s="112">
        <f t="shared" si="21"/>
        <v>14469558.386343762</v>
      </c>
      <c r="T97" s="463">
        <f t="shared" si="22"/>
        <v>0.23434001208732166</v>
      </c>
      <c r="V97" s="311"/>
    </row>
    <row r="98" spans="1:23">
      <c r="A98" s="116" t="str">
        <f t="shared" si="18"/>
        <v>713p</v>
      </c>
      <c r="B98" s="592" t="str">
        <f>+VLOOKUP(LEFT($A98,LEN(A98)-1)*1,Master!$D$30:$G$229,4,FALSE)</f>
        <v>Takse</v>
      </c>
      <c r="C98" s="593"/>
      <c r="D98" s="593"/>
      <c r="E98" s="593"/>
      <c r="F98" s="593"/>
      <c r="G98" s="83">
        <v>670553.32707319653</v>
      </c>
      <c r="H98" s="83">
        <v>853610.81100259756</v>
      </c>
      <c r="I98" s="83">
        <v>866806.93435184658</v>
      </c>
      <c r="J98" s="83">
        <v>1045994.3342145921</v>
      </c>
      <c r="K98" s="83">
        <v>975864.39322560804</v>
      </c>
      <c r="L98" s="83">
        <v>1069123.3509492602</v>
      </c>
      <c r="M98" s="83">
        <v>1754495.9179910745</v>
      </c>
      <c r="N98" s="83">
        <v>1873370.8901127889</v>
      </c>
      <c r="O98" s="83">
        <v>1507509.8465881622</v>
      </c>
      <c r="P98" s="83">
        <v>1219130.6368902784</v>
      </c>
      <c r="Q98" s="83">
        <v>1025348.8829897568</v>
      </c>
      <c r="R98" s="83">
        <v>1389128.8981358397</v>
      </c>
      <c r="S98" s="113">
        <f t="shared" si="21"/>
        <v>14250938.223525003</v>
      </c>
      <c r="T98" s="464">
        <f t="shared" si="22"/>
        <v>0.23079937523928679</v>
      </c>
      <c r="V98" s="311"/>
    </row>
    <row r="99" spans="1:23">
      <c r="A99" s="116" t="str">
        <f t="shared" si="18"/>
        <v>714p</v>
      </c>
      <c r="B99" s="592" t="str">
        <f>+VLOOKUP(LEFT($A99,LEN(A99)-1)*1,Master!$D$30:$G$229,4,FALSE)</f>
        <v>Naknade</v>
      </c>
      <c r="C99" s="593"/>
      <c r="D99" s="593"/>
      <c r="E99" s="593"/>
      <c r="F99" s="593"/>
      <c r="G99" s="83">
        <v>12301859.137453955</v>
      </c>
      <c r="H99" s="83">
        <v>1737839.0434846203</v>
      </c>
      <c r="I99" s="83">
        <v>2414564.2682698909</v>
      </c>
      <c r="J99" s="83">
        <v>2360898.2221326954</v>
      </c>
      <c r="K99" s="83">
        <v>1893341.290231579</v>
      </c>
      <c r="L99" s="83">
        <v>3087651.9216982825</v>
      </c>
      <c r="M99" s="83">
        <v>2833106.8014261499</v>
      </c>
      <c r="N99" s="83">
        <v>1908379.2093100648</v>
      </c>
      <c r="O99" s="83">
        <v>2810433.9965217365</v>
      </c>
      <c r="P99" s="83">
        <v>3370011.6773951356</v>
      </c>
      <c r="Q99" s="83">
        <v>2865853.2964798021</v>
      </c>
      <c r="R99" s="83">
        <v>4104318.4117466188</v>
      </c>
      <c r="S99" s="113">
        <f t="shared" si="21"/>
        <v>41688257.276150532</v>
      </c>
      <c r="T99" s="464">
        <f t="shared" si="22"/>
        <v>0.67515721303648069</v>
      </c>
      <c r="V99" s="311"/>
    </row>
    <row r="100" spans="1:23">
      <c r="A100" s="116" t="str">
        <f t="shared" si="18"/>
        <v>715p</v>
      </c>
      <c r="B100" s="592" t="str">
        <f>+VLOOKUP(LEFT($A100,LEN(A100)-1)*1,Master!$D$30:$G$229,4,FALSE)</f>
        <v>Ostali prihodi</v>
      </c>
      <c r="C100" s="593"/>
      <c r="D100" s="593"/>
      <c r="E100" s="593"/>
      <c r="F100" s="593"/>
      <c r="G100" s="83">
        <v>35476989.500013761</v>
      </c>
      <c r="H100" s="83">
        <v>1666927.9695483148</v>
      </c>
      <c r="I100" s="83">
        <v>1797638.0792588741</v>
      </c>
      <c r="J100" s="83">
        <v>1832014.0594961573</v>
      </c>
      <c r="K100" s="83">
        <v>4733890.0403573457</v>
      </c>
      <c r="L100" s="83">
        <v>2822218.6125436462</v>
      </c>
      <c r="M100" s="83">
        <v>9067540.6215341613</v>
      </c>
      <c r="N100" s="83">
        <v>9516386.4239806794</v>
      </c>
      <c r="O100" s="83">
        <v>8077599.8803823311</v>
      </c>
      <c r="P100" s="83">
        <v>7745200.2754089963</v>
      </c>
      <c r="Q100" s="83">
        <v>8762559.2854723595</v>
      </c>
      <c r="R100" s="83">
        <v>8676446.8240033779</v>
      </c>
      <c r="S100" s="113">
        <f t="shared" si="21"/>
        <v>100175411.57200001</v>
      </c>
      <c r="T100" s="464">
        <f t="shared" si="22"/>
        <v>1.6223789649855862</v>
      </c>
      <c r="V100" s="311"/>
    </row>
    <row r="101" spans="1:23">
      <c r="A101" s="116" t="str">
        <f t="shared" si="18"/>
        <v>73p</v>
      </c>
      <c r="B101" s="592" t="str">
        <f>+VLOOKUP(LEFT($A101,LEN(A101)-1)*1,Master!$D$30:$G$229,4,FALSE)</f>
        <v>Primici od otplate kredita i sredstva prenesena iz prethodne godine</v>
      </c>
      <c r="C101" s="593"/>
      <c r="D101" s="593"/>
      <c r="E101" s="593"/>
      <c r="F101" s="593"/>
      <c r="G101" s="83">
        <v>81522.336514710114</v>
      </c>
      <c r="H101" s="83">
        <v>445973.11311571056</v>
      </c>
      <c r="I101" s="83">
        <v>303147.50930105889</v>
      </c>
      <c r="J101" s="83">
        <v>411671.2919196891</v>
      </c>
      <c r="K101" s="83">
        <v>953218.81017704192</v>
      </c>
      <c r="L101" s="83">
        <v>1530930.5926958604</v>
      </c>
      <c r="M101" s="83">
        <v>158719.86425742233</v>
      </c>
      <c r="N101" s="83">
        <v>1527452.9651282593</v>
      </c>
      <c r="O101" s="83">
        <v>216436.80971001115</v>
      </c>
      <c r="P101" s="83">
        <v>263186.6897599264</v>
      </c>
      <c r="Q101" s="83">
        <v>1703592.4757162347</v>
      </c>
      <c r="R101" s="83">
        <v>2152051.5417040759</v>
      </c>
      <c r="S101" s="113">
        <f t="shared" si="21"/>
        <v>9747904</v>
      </c>
      <c r="T101" s="464">
        <f t="shared" si="22"/>
        <v>0.15787101998510025</v>
      </c>
      <c r="V101" s="311"/>
      <c r="W101" s="311"/>
    </row>
    <row r="102" spans="1:23" ht="13.5" thickBot="1">
      <c r="A102" s="116" t="str">
        <f t="shared" si="18"/>
        <v>74p</v>
      </c>
      <c r="B102" s="588" t="str">
        <f>+VLOOKUP(LEFT($A102,LEN(A102)-1)*1,Master!$D$30:$G$229,4,FALSE)</f>
        <v>Donacije i transferi</v>
      </c>
      <c r="C102" s="589"/>
      <c r="D102" s="589"/>
      <c r="E102" s="589"/>
      <c r="F102" s="589"/>
      <c r="G102" s="83">
        <v>1500000</v>
      </c>
      <c r="H102" s="83">
        <v>1500000</v>
      </c>
      <c r="I102" s="83">
        <v>10000000</v>
      </c>
      <c r="J102" s="83">
        <v>3153709.3977777776</v>
      </c>
      <c r="K102" s="83">
        <v>3153709.3977777776</v>
      </c>
      <c r="L102" s="83">
        <v>3153709.3977777776</v>
      </c>
      <c r="M102" s="83">
        <v>3153709.3977777776</v>
      </c>
      <c r="N102" s="83">
        <v>3153709.3977777776</v>
      </c>
      <c r="O102" s="83">
        <v>3153709.3977777776</v>
      </c>
      <c r="P102" s="83">
        <v>3153709.3977777776</v>
      </c>
      <c r="Q102" s="83">
        <v>3153709.3977777776</v>
      </c>
      <c r="R102" s="83">
        <v>3153709.3977777776</v>
      </c>
      <c r="S102" s="114">
        <f t="shared" si="21"/>
        <v>41383384.580000006</v>
      </c>
      <c r="T102" s="465">
        <f t="shared" si="22"/>
        <v>0.67021968354225381</v>
      </c>
      <c r="V102" s="311"/>
    </row>
    <row r="103" spans="1:23" ht="13.5" thickBot="1">
      <c r="A103" s="116" t="str">
        <f t="shared" si="18"/>
        <v>4p</v>
      </c>
      <c r="B103" s="570" t="str">
        <f>+VLOOKUP(LEFT($A103,LEN(A103)-1)*1,Master!$D$30:$G$229,4,FALSE)</f>
        <v>Izdaci budžeta</v>
      </c>
      <c r="C103" s="571"/>
      <c r="D103" s="571"/>
      <c r="E103" s="571"/>
      <c r="F103" s="571"/>
      <c r="G103" s="93">
        <f t="shared" ref="G103:R103" si="24">+G104+G114+G120+SUM(G121:G125)</f>
        <v>175509865.05999997</v>
      </c>
      <c r="H103" s="93">
        <f t="shared" si="24"/>
        <v>194904102.36999997</v>
      </c>
      <c r="I103" s="93">
        <f t="shared" si="24"/>
        <v>204056525.62</v>
      </c>
      <c r="J103" s="93">
        <f t="shared" si="24"/>
        <v>215049716.38000003</v>
      </c>
      <c r="K103" s="93">
        <f t="shared" si="24"/>
        <v>199767991.34</v>
      </c>
      <c r="L103" s="93">
        <f t="shared" si="24"/>
        <v>194478060.15000001</v>
      </c>
      <c r="M103" s="93">
        <f t="shared" si="24"/>
        <v>237229120.77000004</v>
      </c>
      <c r="N103" s="93">
        <f t="shared" si="24"/>
        <v>208577181.37000003</v>
      </c>
      <c r="O103" s="93">
        <f t="shared" si="24"/>
        <v>212332628.14999998</v>
      </c>
      <c r="P103" s="93">
        <f t="shared" si="24"/>
        <v>219165654.14000002</v>
      </c>
      <c r="Q103" s="93">
        <f t="shared" si="24"/>
        <v>215801622.55000001</v>
      </c>
      <c r="R103" s="93">
        <f t="shared" si="24"/>
        <v>236910680.68000001</v>
      </c>
      <c r="S103" s="450">
        <f>+SUM(G103:R103)</f>
        <v>2513783148.5799999</v>
      </c>
      <c r="T103" s="477">
        <f t="shared" si="22"/>
        <v>40.711676036990248</v>
      </c>
      <c r="V103" s="291"/>
    </row>
    <row r="104" spans="1:23">
      <c r="A104" s="116" t="str">
        <f t="shared" si="18"/>
        <v>41p</v>
      </c>
      <c r="B104" s="590" t="str">
        <f>+VLOOKUP(LEFT($A104,LEN(A104)-1)*1,Master!$D$30:$G$229,4,FALSE)</f>
        <v>Tekući izdaci</v>
      </c>
      <c r="C104" s="591"/>
      <c r="D104" s="591"/>
      <c r="E104" s="591"/>
      <c r="F104" s="591"/>
      <c r="G104" s="85">
        <f t="shared" ref="G104:R104" si="25">+SUM(G105:G113)</f>
        <v>71899625.829999968</v>
      </c>
      <c r="H104" s="85">
        <f t="shared" si="25"/>
        <v>80973595.029999986</v>
      </c>
      <c r="I104" s="85">
        <f t="shared" si="25"/>
        <v>81069361.99000001</v>
      </c>
      <c r="J104" s="85">
        <f t="shared" si="25"/>
        <v>100567396.8</v>
      </c>
      <c r="K104" s="85">
        <f t="shared" si="25"/>
        <v>84597904.25999999</v>
      </c>
      <c r="L104" s="85">
        <f t="shared" si="25"/>
        <v>78964000.50999999</v>
      </c>
      <c r="M104" s="85">
        <f t="shared" si="25"/>
        <v>94970976.420000017</v>
      </c>
      <c r="N104" s="85">
        <f t="shared" si="25"/>
        <v>81866855.860000014</v>
      </c>
      <c r="O104" s="85">
        <f t="shared" si="25"/>
        <v>80815803.73999998</v>
      </c>
      <c r="P104" s="85">
        <f t="shared" si="25"/>
        <v>93936445.850000009</v>
      </c>
      <c r="Q104" s="85">
        <f t="shared" si="25"/>
        <v>91854698.299999997</v>
      </c>
      <c r="R104" s="86">
        <f t="shared" si="25"/>
        <v>112771922.60000001</v>
      </c>
      <c r="S104" s="111">
        <f t="shared" si="21"/>
        <v>1054288587.1899999</v>
      </c>
      <c r="T104" s="462">
        <f t="shared" si="22"/>
        <v>17.074605435007932</v>
      </c>
      <c r="V104" s="291"/>
      <c r="W104" s="291"/>
    </row>
    <row r="105" spans="1:23">
      <c r="A105" s="116" t="str">
        <f t="shared" si="18"/>
        <v>411p</v>
      </c>
      <c r="B105" s="586" t="str">
        <f>+VLOOKUP(LEFT($A105,LEN(A105)-1)*1,Master!$D$30:$G$229,4,FALSE)</f>
        <v>Bruto zarade i doprinosi na teret poslodavca</v>
      </c>
      <c r="C105" s="587"/>
      <c r="D105" s="587"/>
      <c r="E105" s="587"/>
      <c r="F105" s="587"/>
      <c r="G105" s="87">
        <v>40912611.519999981</v>
      </c>
      <c r="H105" s="87">
        <v>53719884.62999998</v>
      </c>
      <c r="I105" s="87">
        <v>53690308.509999998</v>
      </c>
      <c r="J105" s="87">
        <v>51811285.369999997</v>
      </c>
      <c r="K105" s="87">
        <v>51811014.989999995</v>
      </c>
      <c r="L105" s="87">
        <v>51811018.119999997</v>
      </c>
      <c r="M105" s="87">
        <v>51929663.729999997</v>
      </c>
      <c r="N105" s="87">
        <v>51915159.310000002</v>
      </c>
      <c r="O105" s="87">
        <v>51913746.32</v>
      </c>
      <c r="P105" s="87">
        <v>51913177.569999985</v>
      </c>
      <c r="Q105" s="87">
        <v>51907184.879999995</v>
      </c>
      <c r="R105" s="87">
        <f>63970907.57+366.55</f>
        <v>63971274.119999997</v>
      </c>
      <c r="S105" s="112">
        <f t="shared" si="21"/>
        <v>627306329.07000005</v>
      </c>
      <c r="T105" s="463">
        <f t="shared" si="22"/>
        <v>10.159465051501313</v>
      </c>
      <c r="V105" s="516"/>
    </row>
    <row r="106" spans="1:23">
      <c r="A106" s="116" t="str">
        <f t="shared" si="18"/>
        <v>412p</v>
      </c>
      <c r="B106" s="586" t="str">
        <f>+VLOOKUP(LEFT($A106,LEN(A106)-1)*1,Master!$D$30:$G$229,4,FALSE)</f>
        <v>Ostala lična primanja</v>
      </c>
      <c r="C106" s="587"/>
      <c r="D106" s="587"/>
      <c r="E106" s="587"/>
      <c r="F106" s="587"/>
      <c r="G106" s="87">
        <v>1165964.5099999995</v>
      </c>
      <c r="H106" s="87">
        <v>1655470.5600000005</v>
      </c>
      <c r="I106" s="87">
        <v>1609325.4600000002</v>
      </c>
      <c r="J106" s="87">
        <v>1540575.46</v>
      </c>
      <c r="K106" s="87">
        <v>1497392.13</v>
      </c>
      <c r="L106" s="87">
        <v>1495762.0999999996</v>
      </c>
      <c r="M106" s="87">
        <v>1729357.3499999999</v>
      </c>
      <c r="N106" s="87">
        <v>1675061.92</v>
      </c>
      <c r="O106" s="87">
        <v>1685727.83</v>
      </c>
      <c r="P106" s="87">
        <v>1678180.67</v>
      </c>
      <c r="Q106" s="87">
        <v>1850540.7499999998</v>
      </c>
      <c r="R106" s="87">
        <v>2068659.9999999998</v>
      </c>
      <c r="S106" s="112">
        <f t="shared" si="21"/>
        <v>19652018.739999998</v>
      </c>
      <c r="T106" s="463">
        <f t="shared" si="22"/>
        <v>0.31827193243287011</v>
      </c>
      <c r="V106" s="516"/>
    </row>
    <row r="107" spans="1:23">
      <c r="A107" s="116" t="str">
        <f t="shared" si="18"/>
        <v>413p</v>
      </c>
      <c r="B107" s="586" t="str">
        <f>+VLOOKUP(LEFT($A107,LEN(A107)-1)*1,Master!$D$30:$G$229,4,FALSE)</f>
        <v>Rashodi za materijal</v>
      </c>
      <c r="C107" s="587"/>
      <c r="D107" s="587"/>
      <c r="E107" s="587"/>
      <c r="F107" s="587"/>
      <c r="G107" s="87">
        <v>5182242.0599999996</v>
      </c>
      <c r="H107" s="87">
        <v>3920733.4100000006</v>
      </c>
      <c r="I107" s="87">
        <v>3493205.9000000008</v>
      </c>
      <c r="J107" s="87">
        <v>3370769.6700000009</v>
      </c>
      <c r="K107" s="87">
        <v>3856859.5300000012</v>
      </c>
      <c r="L107" s="87">
        <v>5585838.6699999999</v>
      </c>
      <c r="M107" s="87">
        <v>7274194.5</v>
      </c>
      <c r="N107" s="87">
        <v>4335388.25</v>
      </c>
      <c r="O107" s="87">
        <v>4231272.1999999993</v>
      </c>
      <c r="P107" s="87">
        <v>4144269.8699999992</v>
      </c>
      <c r="Q107" s="87">
        <v>4526021.2399999993</v>
      </c>
      <c r="R107" s="87">
        <f>3848934.29-43000</f>
        <v>3805934.29</v>
      </c>
      <c r="S107" s="112">
        <f t="shared" si="21"/>
        <v>53726729.589999996</v>
      </c>
      <c r="T107" s="463">
        <f t="shared" si="22"/>
        <v>0.8701248597479998</v>
      </c>
      <c r="V107" s="516"/>
    </row>
    <row r="108" spans="1:23">
      <c r="A108" s="116" t="str">
        <f t="shared" si="18"/>
        <v>414p</v>
      </c>
      <c r="B108" s="586" t="str">
        <f>+VLOOKUP(LEFT($A108,LEN(A108)-1)*1,Master!$D$30:$G$229,4,FALSE)</f>
        <v>Rashodi za usluge</v>
      </c>
      <c r="C108" s="587"/>
      <c r="D108" s="587"/>
      <c r="E108" s="587"/>
      <c r="F108" s="587"/>
      <c r="G108" s="87">
        <v>4903806.9999999953</v>
      </c>
      <c r="H108" s="87">
        <v>5497012.4799999967</v>
      </c>
      <c r="I108" s="87">
        <v>5255623.4299999969</v>
      </c>
      <c r="J108" s="87">
        <v>4569713.719999996</v>
      </c>
      <c r="K108" s="87">
        <v>4499440.6099999957</v>
      </c>
      <c r="L108" s="87">
        <v>4528417.7899999954</v>
      </c>
      <c r="M108" s="87">
        <v>6713144.6699999999</v>
      </c>
      <c r="N108" s="87">
        <v>6175898.5099999979</v>
      </c>
      <c r="O108" s="87">
        <v>6240994.7799999993</v>
      </c>
      <c r="P108" s="87">
        <v>6091379.0299999975</v>
      </c>
      <c r="Q108" s="87">
        <v>6109468.629999999</v>
      </c>
      <c r="R108" s="87">
        <f>5878859.37-49097</f>
        <v>5829762.3700000001</v>
      </c>
      <c r="S108" s="112">
        <f t="shared" si="21"/>
        <v>66414663.019999959</v>
      </c>
      <c r="T108" s="463">
        <f t="shared" si="22"/>
        <v>1.0756107767304759</v>
      </c>
      <c r="V108" s="516"/>
    </row>
    <row r="109" spans="1:23">
      <c r="A109" s="116" t="str">
        <f t="shared" si="18"/>
        <v>415p</v>
      </c>
      <c r="B109" s="586" t="str">
        <f>+VLOOKUP(LEFT($A109,LEN(A109)-1)*1,Master!$D$30:$G$229,4,FALSE)</f>
        <v>Rashodi za tekuće održavanje</v>
      </c>
      <c r="C109" s="587"/>
      <c r="D109" s="587"/>
      <c r="E109" s="587"/>
      <c r="F109" s="587"/>
      <c r="G109" s="87">
        <v>2513250.9200000004</v>
      </c>
      <c r="H109" s="87">
        <v>2548372.8700000006</v>
      </c>
      <c r="I109" s="87">
        <v>2555227.9700000002</v>
      </c>
      <c r="J109" s="87">
        <v>2542473.6500000004</v>
      </c>
      <c r="K109" s="87">
        <v>2537575.9700000007</v>
      </c>
      <c r="L109" s="87">
        <v>2476854.13</v>
      </c>
      <c r="M109" s="87">
        <v>3526793.7800000003</v>
      </c>
      <c r="N109" s="87">
        <v>3499062.67</v>
      </c>
      <c r="O109" s="87">
        <v>3410065.46</v>
      </c>
      <c r="P109" s="87">
        <v>3389523.09</v>
      </c>
      <c r="Q109" s="87">
        <v>3371550.8900000006</v>
      </c>
      <c r="R109" s="87">
        <v>3208370.3400000008</v>
      </c>
      <c r="S109" s="112">
        <f t="shared" si="21"/>
        <v>35579121.740000002</v>
      </c>
      <c r="T109" s="463">
        <f t="shared" si="22"/>
        <v>0.57621743497554501</v>
      </c>
      <c r="V109" s="516"/>
    </row>
    <row r="110" spans="1:23">
      <c r="A110" s="116" t="str">
        <f t="shared" si="18"/>
        <v>416p</v>
      </c>
      <c r="B110" s="586" t="str">
        <f>+VLOOKUP(LEFT($A110,LEN(A110)-1)*1,Master!$D$30:$G$229,4,FALSE)</f>
        <v>Kamate</v>
      </c>
      <c r="C110" s="587"/>
      <c r="D110" s="587"/>
      <c r="E110" s="587"/>
      <c r="F110" s="587"/>
      <c r="G110" s="87">
        <v>5442120.379999999</v>
      </c>
      <c r="H110" s="87">
        <v>2441310.6099999994</v>
      </c>
      <c r="I110" s="87">
        <v>2001828.5300000005</v>
      </c>
      <c r="J110" s="87">
        <v>24590093.790000003</v>
      </c>
      <c r="K110" s="87">
        <v>10610307.359999999</v>
      </c>
      <c r="L110" s="87">
        <v>3076552.5300000007</v>
      </c>
      <c r="M110" s="87">
        <v>9738888.0899999999</v>
      </c>
      <c r="N110" s="87">
        <v>2779747.3099999996</v>
      </c>
      <c r="O110" s="87">
        <v>1876426.6100000003</v>
      </c>
      <c r="P110" s="87">
        <v>14798289.619999999</v>
      </c>
      <c r="Q110" s="87">
        <v>8831135.459999999</v>
      </c>
      <c r="R110" s="87">
        <v>23741109.09</v>
      </c>
      <c r="S110" s="112">
        <f t="shared" si="21"/>
        <v>109927809.38000001</v>
      </c>
      <c r="T110" s="463">
        <f t="shared" si="22"/>
        <v>1.7803227639037349</v>
      </c>
      <c r="V110" s="516"/>
    </row>
    <row r="111" spans="1:23">
      <c r="A111" s="116" t="str">
        <f t="shared" si="18"/>
        <v>417p</v>
      </c>
      <c r="B111" s="586" t="str">
        <f>+VLOOKUP(LEFT($A111,LEN(A111)-1)*1,Master!$D$30:$G$229,4,FALSE)</f>
        <v>Renta</v>
      </c>
      <c r="C111" s="587"/>
      <c r="D111" s="587"/>
      <c r="E111" s="587"/>
      <c r="F111" s="587"/>
      <c r="G111" s="87">
        <v>1013549.2999999997</v>
      </c>
      <c r="H111" s="87">
        <v>924144.61999999965</v>
      </c>
      <c r="I111" s="87">
        <v>907422.25999999966</v>
      </c>
      <c r="J111" s="87">
        <v>908352.60999999964</v>
      </c>
      <c r="K111" s="87">
        <v>914133.31999999983</v>
      </c>
      <c r="L111" s="87">
        <v>900023.33999999985</v>
      </c>
      <c r="M111" s="87">
        <v>1080755.29</v>
      </c>
      <c r="N111" s="87">
        <v>1073045.7599999998</v>
      </c>
      <c r="O111" s="87">
        <v>1082703.83</v>
      </c>
      <c r="P111" s="87">
        <v>1160848.45</v>
      </c>
      <c r="Q111" s="87">
        <v>1121692.7700000003</v>
      </c>
      <c r="R111" s="87">
        <f>1082716.93+84917.8-0.01</f>
        <v>1167634.72</v>
      </c>
      <c r="S111" s="112">
        <f t="shared" si="21"/>
        <v>12254306.269999998</v>
      </c>
      <c r="T111" s="463">
        <f t="shared" si="22"/>
        <v>0.19846315988080193</v>
      </c>
      <c r="V111" s="516"/>
    </row>
    <row r="112" spans="1:23">
      <c r="A112" s="116" t="str">
        <f t="shared" si="18"/>
        <v>418p</v>
      </c>
      <c r="B112" s="586" t="str">
        <f>+VLOOKUP(LEFT($A112,LEN(A112)-1)*1,Master!$D$30:$G$229,4,FALSE)</f>
        <v>Subvencije</v>
      </c>
      <c r="C112" s="587"/>
      <c r="D112" s="587"/>
      <c r="E112" s="587"/>
      <c r="F112" s="587"/>
      <c r="G112" s="87">
        <v>5902017.9700000007</v>
      </c>
      <c r="H112" s="87">
        <v>5336017.9700000007</v>
      </c>
      <c r="I112" s="87">
        <v>5216117.9700000007</v>
      </c>
      <c r="J112" s="87">
        <v>5169451.3000000007</v>
      </c>
      <c r="K112" s="87">
        <v>4981951.32</v>
      </c>
      <c r="L112" s="87">
        <v>4982351.3599999994</v>
      </c>
      <c r="M112" s="87">
        <v>5318459.6400000006</v>
      </c>
      <c r="N112" s="87">
        <v>4749126.3100000005</v>
      </c>
      <c r="O112" s="87">
        <v>4841793.18</v>
      </c>
      <c r="P112" s="87">
        <v>4841792.9800000004</v>
      </c>
      <c r="Q112" s="87">
        <v>4841792.9800000004</v>
      </c>
      <c r="R112" s="87">
        <v>4792392.9800000004</v>
      </c>
      <c r="S112" s="112">
        <f t="shared" si="21"/>
        <v>60973265.960000008</v>
      </c>
      <c r="T112" s="463">
        <f t="shared" si="22"/>
        <v>0.98748527775078565</v>
      </c>
      <c r="V112" s="516"/>
    </row>
    <row r="113" spans="1:22">
      <c r="A113" s="116" t="str">
        <f t="shared" si="18"/>
        <v>419p</v>
      </c>
      <c r="B113" s="586" t="str">
        <f>+VLOOKUP(LEFT($A113,LEN(A113)-1)*1,Master!$D$30:$G$229,4,FALSE)</f>
        <v>Ostali izdaci</v>
      </c>
      <c r="C113" s="587"/>
      <c r="D113" s="587"/>
      <c r="E113" s="587"/>
      <c r="F113" s="587"/>
      <c r="G113" s="87">
        <v>4864062.17</v>
      </c>
      <c r="H113" s="87">
        <v>4930647.88</v>
      </c>
      <c r="I113" s="87">
        <v>6340301.9600000009</v>
      </c>
      <c r="J113" s="87">
        <v>6064681.2299999986</v>
      </c>
      <c r="K113" s="87">
        <v>3889229.03</v>
      </c>
      <c r="L113" s="87">
        <v>4107182.4699999997</v>
      </c>
      <c r="M113" s="87">
        <v>7659719.3700000038</v>
      </c>
      <c r="N113" s="87">
        <v>5664365.820000004</v>
      </c>
      <c r="O113" s="87">
        <v>5533073.530000004</v>
      </c>
      <c r="P113" s="87">
        <v>5918984.570000004</v>
      </c>
      <c r="Q113" s="87">
        <v>9295310.6999999993</v>
      </c>
      <c r="R113" s="87">
        <f>4255973.43-69188.7-0.04</f>
        <v>4186784.6899999995</v>
      </c>
      <c r="S113" s="112">
        <f t="shared" si="21"/>
        <v>68454343.420000017</v>
      </c>
      <c r="T113" s="463">
        <f t="shared" si="22"/>
        <v>1.1086441780844105</v>
      </c>
      <c r="V113" s="516"/>
    </row>
    <row r="114" spans="1:22">
      <c r="A114" s="116" t="str">
        <f t="shared" si="18"/>
        <v>42p</v>
      </c>
      <c r="B114" s="582" t="str">
        <f>+VLOOKUP(LEFT($A114,LEN(A114)-1)*1,Master!$D$30:$G$229,4,FALSE)</f>
        <v>Transferi za socijalnu zaštitu</v>
      </c>
      <c r="C114" s="583"/>
      <c r="D114" s="583"/>
      <c r="E114" s="583"/>
      <c r="F114" s="583"/>
      <c r="G114" s="84">
        <f t="shared" ref="G114:R114" si="26">+SUM(G115:G119)</f>
        <v>64631162.970000006</v>
      </c>
      <c r="H114" s="84">
        <f t="shared" si="26"/>
        <v>64593275.310000002</v>
      </c>
      <c r="I114" s="84">
        <f t="shared" si="26"/>
        <v>64593275.430000007</v>
      </c>
      <c r="J114" s="84">
        <f t="shared" si="26"/>
        <v>64693275.430000007</v>
      </c>
      <c r="K114" s="84">
        <f t="shared" si="26"/>
        <v>64693275.430000007</v>
      </c>
      <c r="L114" s="84">
        <f t="shared" si="26"/>
        <v>64793279.390000008</v>
      </c>
      <c r="M114" s="84">
        <f t="shared" si="26"/>
        <v>66194886.530000009</v>
      </c>
      <c r="N114" s="84">
        <f t="shared" si="26"/>
        <v>66197971.850000009</v>
      </c>
      <c r="O114" s="84">
        <f t="shared" si="26"/>
        <v>66197971.850000009</v>
      </c>
      <c r="P114" s="84">
        <f t="shared" si="26"/>
        <v>66197971.760000005</v>
      </c>
      <c r="Q114" s="84">
        <f t="shared" si="26"/>
        <v>66197971.850000009</v>
      </c>
      <c r="R114" s="84">
        <f t="shared" si="26"/>
        <v>66197971.939999998</v>
      </c>
      <c r="S114" s="113">
        <f t="shared" si="21"/>
        <v>785182289.74000001</v>
      </c>
      <c r="T114" s="464">
        <f t="shared" si="22"/>
        <v>12.716326397499433</v>
      </c>
      <c r="V114" s="311"/>
    </row>
    <row r="115" spans="1:22">
      <c r="A115" s="116" t="str">
        <f t="shared" si="18"/>
        <v>421p</v>
      </c>
      <c r="B115" s="586" t="str">
        <f>+VLOOKUP(LEFT($A115,LEN(A115)-1)*1,Master!$D$30:$G$229,4,FALSE)</f>
        <v>Prava iz oblasti socijalne zaštite</v>
      </c>
      <c r="C115" s="587"/>
      <c r="D115" s="587"/>
      <c r="E115" s="587"/>
      <c r="F115" s="587"/>
      <c r="G115" s="87">
        <v>15844748.540000001</v>
      </c>
      <c r="H115" s="87">
        <v>15844748.42</v>
      </c>
      <c r="I115" s="87">
        <v>15844748.540000001</v>
      </c>
      <c r="J115" s="87">
        <v>15844748.540000001</v>
      </c>
      <c r="K115" s="87">
        <v>15844748.540000001</v>
      </c>
      <c r="L115" s="87">
        <v>15844748.540000001</v>
      </c>
      <c r="M115" s="87">
        <v>15846148.98</v>
      </c>
      <c r="N115" s="87">
        <v>15849234.300000001</v>
      </c>
      <c r="O115" s="87">
        <v>15849234.300000001</v>
      </c>
      <c r="P115" s="87">
        <v>15849234.300000001</v>
      </c>
      <c r="Q115" s="87">
        <v>15849234.300000001</v>
      </c>
      <c r="R115" s="87">
        <v>15849234.41</v>
      </c>
      <c r="S115" s="112">
        <f t="shared" si="21"/>
        <v>190160811.71000004</v>
      </c>
      <c r="T115" s="463">
        <f t="shared" si="22"/>
        <v>3.0797268116153282</v>
      </c>
      <c r="V115" s="516"/>
    </row>
    <row r="116" spans="1:22">
      <c r="A116" s="116" t="str">
        <f t="shared" si="18"/>
        <v>422p</v>
      </c>
      <c r="B116" s="586" t="str">
        <f>+VLOOKUP(LEFT($A116,LEN(A116)-1)*1,Master!$D$30:$G$229,4,FALSE)</f>
        <v>Sredstva za tehnološke viškove</v>
      </c>
      <c r="C116" s="587"/>
      <c r="D116" s="587"/>
      <c r="E116" s="587"/>
      <c r="F116" s="587"/>
      <c r="G116" s="87">
        <v>1909150.6700000002</v>
      </c>
      <c r="H116" s="87">
        <v>1909150.6700000002</v>
      </c>
      <c r="I116" s="87">
        <v>1909150.6700000002</v>
      </c>
      <c r="J116" s="87">
        <v>1909150.6700000002</v>
      </c>
      <c r="K116" s="87">
        <v>1909150.6700000002</v>
      </c>
      <c r="L116" s="87">
        <v>1909154.6300000001</v>
      </c>
      <c r="M116" s="87">
        <v>2859361.33</v>
      </c>
      <c r="N116" s="87">
        <v>2859361.33</v>
      </c>
      <c r="O116" s="87">
        <v>2859361.33</v>
      </c>
      <c r="P116" s="87">
        <v>2859361.33</v>
      </c>
      <c r="Q116" s="87">
        <v>2859361.33</v>
      </c>
      <c r="R116" s="87">
        <v>2859361.37</v>
      </c>
      <c r="S116" s="112">
        <f t="shared" si="21"/>
        <v>28611075.999999996</v>
      </c>
      <c r="T116" s="463">
        <f t="shared" si="22"/>
        <v>0.46336727885207135</v>
      </c>
      <c r="V116" s="516"/>
    </row>
    <row r="117" spans="1:22">
      <c r="A117" s="116" t="str">
        <f t="shared" si="18"/>
        <v>423p</v>
      </c>
      <c r="B117" s="586" t="str">
        <f>+VLOOKUP(LEFT($A117,LEN(A117)-1)*1,Master!$D$30:$G$229,4,FALSE)</f>
        <v>Prava iz oblasti penzijskog i invalidskog osiguranja</v>
      </c>
      <c r="C117" s="587"/>
      <c r="D117" s="587"/>
      <c r="E117" s="587"/>
      <c r="F117" s="587"/>
      <c r="G117" s="87">
        <v>44272263.760000005</v>
      </c>
      <c r="H117" s="87">
        <v>44134376.220000006</v>
      </c>
      <c r="I117" s="87">
        <v>44134376.220000006</v>
      </c>
      <c r="J117" s="87">
        <v>44134376.220000006</v>
      </c>
      <c r="K117" s="87">
        <v>44134376.220000006</v>
      </c>
      <c r="L117" s="87">
        <v>44134376.220000006</v>
      </c>
      <c r="M117" s="87">
        <v>44134376.220000006</v>
      </c>
      <c r="N117" s="87">
        <v>44134376.220000006</v>
      </c>
      <c r="O117" s="87">
        <v>44134376.220000006</v>
      </c>
      <c r="P117" s="87">
        <v>44134376.130000003</v>
      </c>
      <c r="Q117" s="87">
        <v>44134376.220000006</v>
      </c>
      <c r="R117" s="87">
        <v>44134376.159999996</v>
      </c>
      <c r="S117" s="112">
        <f t="shared" si="21"/>
        <v>529750402.03000009</v>
      </c>
      <c r="T117" s="463">
        <f t="shared" si="22"/>
        <v>8.5795096367376029</v>
      </c>
      <c r="V117" s="516"/>
    </row>
    <row r="118" spans="1:22">
      <c r="A118" s="116" t="str">
        <f t="shared" si="18"/>
        <v>424p</v>
      </c>
      <c r="B118" s="586" t="str">
        <f>+VLOOKUP(LEFT($A118,LEN(A118)-1)*1,Master!$D$30:$G$229,4,FALSE)</f>
        <v>Ostala prava iz oblasti zdravstvene zaštite</v>
      </c>
      <c r="C118" s="587"/>
      <c r="D118" s="587"/>
      <c r="E118" s="587"/>
      <c r="F118" s="587"/>
      <c r="G118" s="87">
        <v>1755000</v>
      </c>
      <c r="H118" s="87">
        <v>1755000</v>
      </c>
      <c r="I118" s="87">
        <v>1755000</v>
      </c>
      <c r="J118" s="87">
        <v>1755000</v>
      </c>
      <c r="K118" s="87">
        <v>1755000</v>
      </c>
      <c r="L118" s="87">
        <v>1755000</v>
      </c>
      <c r="M118" s="87">
        <v>1755000</v>
      </c>
      <c r="N118" s="87">
        <v>1755000</v>
      </c>
      <c r="O118" s="87">
        <v>1755000</v>
      </c>
      <c r="P118" s="87">
        <v>1755000</v>
      </c>
      <c r="Q118" s="87">
        <v>1755000</v>
      </c>
      <c r="R118" s="87">
        <v>1755000</v>
      </c>
      <c r="S118" s="112">
        <f t="shared" si="21"/>
        <v>21060000</v>
      </c>
      <c r="T118" s="463">
        <f t="shared" si="22"/>
        <v>0.34107472548829071</v>
      </c>
      <c r="V118" s="516"/>
    </row>
    <row r="119" spans="1:22">
      <c r="A119" s="116" t="str">
        <f t="shared" si="18"/>
        <v>425p</v>
      </c>
      <c r="B119" s="586" t="str">
        <f>+VLOOKUP(LEFT($A119,LEN(A119)-1)*1,Master!$D$30:$G$229,4,FALSE)</f>
        <v>Ostala prava iz zdravstvenog osiguranja</v>
      </c>
      <c r="C119" s="587"/>
      <c r="D119" s="587"/>
      <c r="E119" s="587"/>
      <c r="F119" s="587"/>
      <c r="G119" s="87">
        <v>850000</v>
      </c>
      <c r="H119" s="87">
        <v>950000</v>
      </c>
      <c r="I119" s="87">
        <v>950000</v>
      </c>
      <c r="J119" s="87">
        <v>1050000</v>
      </c>
      <c r="K119" s="87">
        <v>1050000</v>
      </c>
      <c r="L119" s="87">
        <v>1150000</v>
      </c>
      <c r="M119" s="87">
        <v>1600000</v>
      </c>
      <c r="N119" s="87">
        <v>1600000</v>
      </c>
      <c r="O119" s="87">
        <v>1600000</v>
      </c>
      <c r="P119" s="87">
        <v>1600000</v>
      </c>
      <c r="Q119" s="87">
        <v>1600000</v>
      </c>
      <c r="R119" s="87">
        <v>1600000</v>
      </c>
      <c r="S119" s="112">
        <f t="shared" si="21"/>
        <v>15600000</v>
      </c>
      <c r="T119" s="463">
        <f t="shared" si="22"/>
        <v>0.25264794480614128</v>
      </c>
      <c r="V119" s="516"/>
    </row>
    <row r="120" spans="1:22">
      <c r="A120" s="116" t="str">
        <f t="shared" si="18"/>
        <v>43p</v>
      </c>
      <c r="B120" s="584" t="str">
        <f>+VLOOKUP(LEFT($A120,LEN(A120)-1)*1,Master!$D$30:$G$229,4,FALSE)</f>
        <v xml:space="preserve">Transferi institucijama, pojedincima, nevladinom i javnom sektoru </v>
      </c>
      <c r="C120" s="585"/>
      <c r="D120" s="585"/>
      <c r="E120" s="585"/>
      <c r="F120" s="585"/>
      <c r="G120" s="83">
        <v>13426609.789999997</v>
      </c>
      <c r="H120" s="83">
        <v>24954537.810000002</v>
      </c>
      <c r="I120" s="83">
        <v>33895566.079999998</v>
      </c>
      <c r="J120" s="83">
        <v>24784469.770000003</v>
      </c>
      <c r="K120" s="83">
        <v>25016309.34</v>
      </c>
      <c r="L120" s="83">
        <v>25865702.82</v>
      </c>
      <c r="M120" s="83">
        <v>44313993.49000001</v>
      </c>
      <c r="N120" s="83">
        <v>30937460.280000001</v>
      </c>
      <c r="O120" s="83">
        <v>36630444.020000003</v>
      </c>
      <c r="P120" s="83">
        <v>31446133.059999999</v>
      </c>
      <c r="Q120" s="83">
        <v>30458525.310000002</v>
      </c>
      <c r="R120" s="83">
        <f>31380558.45-680724.2+0.04</f>
        <v>30699834.289999999</v>
      </c>
      <c r="S120" s="113">
        <f>+SUM(G120:R120)</f>
        <v>352429586.06000006</v>
      </c>
      <c r="T120" s="464">
        <f t="shared" si="22"/>
        <v>5.7077314491626998</v>
      </c>
      <c r="V120" s="516"/>
    </row>
    <row r="121" spans="1:22">
      <c r="A121" s="116" t="str">
        <f t="shared" si="18"/>
        <v>44p</v>
      </c>
      <c r="B121" s="584" t="str">
        <f>+VLOOKUP(LEFT($A121,LEN(A121)-1)*1,Master!$D$30:$G$229,4,FALSE)</f>
        <v>Kapitalni izdaci</v>
      </c>
      <c r="C121" s="585"/>
      <c r="D121" s="585"/>
      <c r="E121" s="585"/>
      <c r="F121" s="585"/>
      <c r="G121" s="83">
        <f>20412001.55-G132</f>
        <v>20405334.879999999</v>
      </c>
      <c r="H121" s="83">
        <f>18094316.04-H132</f>
        <v>18087649.369999997</v>
      </c>
      <c r="I121" s="83">
        <f>19062944.96-I132</f>
        <v>18677278.289999999</v>
      </c>
      <c r="J121" s="83">
        <f>19443197.22-J132</f>
        <v>19136530.549999997</v>
      </c>
      <c r="K121" s="83">
        <f>19674125.2-K132</f>
        <v>19667458.529999997</v>
      </c>
      <c r="L121" s="83">
        <f>18915702.28-L132</f>
        <v>18909035.630000003</v>
      </c>
      <c r="M121" s="83">
        <f>26124418.27-M132</f>
        <v>26114418.27</v>
      </c>
      <c r="N121" s="83">
        <f>23948047.32-N132</f>
        <v>23938047.32</v>
      </c>
      <c r="O121" s="83">
        <f>22585312.23-O132</f>
        <v>22575312.23</v>
      </c>
      <c r="P121" s="83">
        <f>21462007.16-P132</f>
        <v>21452007.16</v>
      </c>
      <c r="Q121" s="83">
        <f>21427329.81-Q132</f>
        <v>21417329.809999999</v>
      </c>
      <c r="R121" s="83">
        <f>20634123.89+74001-R132</f>
        <v>20698124.890000001</v>
      </c>
      <c r="S121" s="113">
        <f>+SUM(G121:R121)</f>
        <v>251078526.93000001</v>
      </c>
      <c r="T121" s="464">
        <f t="shared" si="22"/>
        <v>4.0663124239626862</v>
      </c>
      <c r="U121" s="311"/>
      <c r="V121" s="516"/>
    </row>
    <row r="122" spans="1:22">
      <c r="A122" s="116" t="str">
        <f t="shared" si="18"/>
        <v>451p</v>
      </c>
      <c r="B122" s="576" t="str">
        <f>+VLOOKUP(LEFT($A122,LEN(A122)-1)*1,Master!$D$30:$G$229,4,FALSE)</f>
        <v>Pozajmice i krediti</v>
      </c>
      <c r="C122" s="577"/>
      <c r="D122" s="577"/>
      <c r="E122" s="577"/>
      <c r="F122" s="577"/>
      <c r="G122" s="87">
        <v>1607</v>
      </c>
      <c r="H122" s="87">
        <v>1001600</v>
      </c>
      <c r="I122" s="87">
        <v>501600</v>
      </c>
      <c r="J122" s="87">
        <v>501600</v>
      </c>
      <c r="K122" s="87">
        <v>491600</v>
      </c>
      <c r="L122" s="87">
        <v>491600</v>
      </c>
      <c r="M122" s="87">
        <v>2400</v>
      </c>
      <c r="N122" s="87">
        <v>2400</v>
      </c>
      <c r="O122" s="87">
        <v>502400</v>
      </c>
      <c r="P122" s="87">
        <v>502400</v>
      </c>
      <c r="Q122" s="87">
        <v>262400</v>
      </c>
      <c r="R122" s="87">
        <v>262400</v>
      </c>
      <c r="S122" s="112">
        <f t="shared" si="21"/>
        <v>4524007</v>
      </c>
      <c r="T122" s="463">
        <f t="shared" si="22"/>
        <v>7.3268017361448515E-2</v>
      </c>
      <c r="U122" s="311"/>
      <c r="V122" s="516"/>
    </row>
    <row r="123" spans="1:22">
      <c r="A123" s="116" t="str">
        <f t="shared" si="18"/>
        <v>47p</v>
      </c>
      <c r="B123" s="576" t="str">
        <f>+VLOOKUP(LEFT($A123,LEN(A123)-1)*1,Master!$D$30:$G$229,4,FALSE)</f>
        <v>Rezerve</v>
      </c>
      <c r="C123" s="577"/>
      <c r="D123" s="577"/>
      <c r="E123" s="577"/>
      <c r="F123" s="577"/>
      <c r="G123" s="87">
        <v>2554609.09</v>
      </c>
      <c r="H123" s="87">
        <v>3237333.25</v>
      </c>
      <c r="I123" s="87">
        <v>3237333.25</v>
      </c>
      <c r="J123" s="87">
        <v>3237333.25</v>
      </c>
      <c r="K123" s="87">
        <v>3237333.25</v>
      </c>
      <c r="L123" s="87">
        <v>3237333.25</v>
      </c>
      <c r="M123" s="87">
        <v>3237333.25</v>
      </c>
      <c r="N123" s="87">
        <v>3237333.25</v>
      </c>
      <c r="O123" s="87">
        <v>3237333.25</v>
      </c>
      <c r="P123" s="87">
        <v>3237333.25</v>
      </c>
      <c r="Q123" s="87">
        <v>3237333.25</v>
      </c>
      <c r="R123" s="87">
        <f>3237333.25+682724.2-0.04</f>
        <v>3920057.41</v>
      </c>
      <c r="S123" s="112">
        <f t="shared" si="21"/>
        <v>38847999</v>
      </c>
      <c r="T123" s="463">
        <f t="shared" si="22"/>
        <v>0.62915814789621993</v>
      </c>
      <c r="U123" s="311"/>
      <c r="V123" s="516"/>
    </row>
    <row r="124" spans="1:22">
      <c r="A124" s="116" t="str">
        <f t="shared" si="18"/>
        <v>462p</v>
      </c>
      <c r="B124" s="576" t="str">
        <f>+VLOOKUP(LEFT($A124,LEN(A124)-1)*1,Master!$D$30:$G$229,4,FALSE)</f>
        <v>Otplata garancija</v>
      </c>
      <c r="C124" s="577"/>
      <c r="D124" s="577"/>
      <c r="E124" s="577"/>
      <c r="F124" s="577"/>
      <c r="G124" s="87">
        <v>0.16</v>
      </c>
      <c r="H124" s="87">
        <v>0.16</v>
      </c>
      <c r="I124" s="87">
        <v>0.16</v>
      </c>
      <c r="J124" s="87">
        <v>0.16</v>
      </c>
      <c r="K124" s="87">
        <v>0.16</v>
      </c>
      <c r="L124" s="87">
        <v>0.16</v>
      </c>
      <c r="M124" s="87">
        <v>0.16</v>
      </c>
      <c r="N124" s="87">
        <v>0.16</v>
      </c>
      <c r="O124" s="87">
        <v>0.16</v>
      </c>
      <c r="P124" s="87">
        <v>0.16</v>
      </c>
      <c r="Q124" s="87">
        <v>0.16</v>
      </c>
      <c r="R124" s="87">
        <v>0.24</v>
      </c>
      <c r="S124" s="112">
        <f t="shared" si="21"/>
        <v>1.9999999999999998</v>
      </c>
      <c r="T124" s="463">
        <f t="shared" si="22"/>
        <v>3.23907621546335E-8</v>
      </c>
      <c r="U124" s="311"/>
      <c r="V124" s="516"/>
    </row>
    <row r="125" spans="1:22">
      <c r="A125" s="117" t="str">
        <f t="shared" si="18"/>
        <v>4630p</v>
      </c>
      <c r="B125" s="576" t="str">
        <f>+VLOOKUP(LEFT($A125,LEN(A125)-1)*1,Master!$D$30:$G$229,4,FALSE)</f>
        <v>Otplata obaveza iz prethodnog perioda</v>
      </c>
      <c r="C125" s="577"/>
      <c r="D125" s="577"/>
      <c r="E125" s="577"/>
      <c r="F125" s="577"/>
      <c r="G125" s="87">
        <v>2590915.3400000045</v>
      </c>
      <c r="H125" s="87">
        <v>2056111.4400000044</v>
      </c>
      <c r="I125" s="87">
        <v>2082110.4200000043</v>
      </c>
      <c r="J125" s="87">
        <v>2129110.4200000046</v>
      </c>
      <c r="K125" s="87">
        <v>2064110.3700000043</v>
      </c>
      <c r="L125" s="87">
        <v>2217108.3900000043</v>
      </c>
      <c r="M125" s="87">
        <v>2395112.6500000046</v>
      </c>
      <c r="N125" s="87">
        <v>2397112.6500000046</v>
      </c>
      <c r="O125" s="87">
        <v>2373362.9000000046</v>
      </c>
      <c r="P125" s="87">
        <v>2393362.9000000046</v>
      </c>
      <c r="Q125" s="87">
        <v>2373363.8700000048</v>
      </c>
      <c r="R125" s="87">
        <v>2360369.3100000061</v>
      </c>
      <c r="S125" s="103">
        <f>+SUM(G125:R125)</f>
        <v>27432150.66000006</v>
      </c>
      <c r="T125" s="471">
        <f t="shared" si="22"/>
        <v>0.44427413370906715</v>
      </c>
      <c r="U125" s="311"/>
      <c r="V125" s="516"/>
    </row>
    <row r="126" spans="1:22" ht="13.5" thickBot="1">
      <c r="A126" s="116" t="str">
        <f t="shared" si="18"/>
        <v>1005p</v>
      </c>
      <c r="B126" s="576" t="str">
        <f>+VLOOKUP(LEFT($A126,LEN(A126)-1)*1,Master!$D$30:$G$229,4,FALSE)</f>
        <v>Neto povećanje obaveza</v>
      </c>
      <c r="C126" s="577"/>
      <c r="D126" s="577"/>
      <c r="E126" s="577"/>
      <c r="F126" s="577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2"/>
        <v>0</v>
      </c>
      <c r="U126" s="311"/>
      <c r="V126" s="311"/>
    </row>
    <row r="127" spans="1:22" ht="13.5" thickBot="1">
      <c r="A127" s="117" t="str">
        <f t="shared" si="18"/>
        <v>1000p</v>
      </c>
      <c r="B127" s="578" t="str">
        <f>+VLOOKUP(LEFT($A127,LEN(A127)-1)*1,Master!$D$30:$G$226,4,FALSE)</f>
        <v>Suficit / deficit</v>
      </c>
      <c r="C127" s="579"/>
      <c r="D127" s="579"/>
      <c r="E127" s="579"/>
      <c r="F127" s="579"/>
      <c r="G127" s="93">
        <f t="shared" ref="G127:R127" si="27">+G84-G103</f>
        <v>-22397133.607592493</v>
      </c>
      <c r="H127" s="93">
        <f t="shared" si="27"/>
        <v>-67071345.814519361</v>
      </c>
      <c r="I127" s="93">
        <f t="shared" si="27"/>
        <v>-2316292.9897459149</v>
      </c>
      <c r="J127" s="93">
        <f t="shared" si="27"/>
        <v>-17885734.609765023</v>
      </c>
      <c r="K127" s="93">
        <f t="shared" si="27"/>
        <v>-41471663.368712515</v>
      </c>
      <c r="L127" s="93">
        <f t="shared" si="27"/>
        <v>-27277595.668724924</v>
      </c>
      <c r="M127" s="93">
        <f t="shared" si="27"/>
        <v>-55367145.076071084</v>
      </c>
      <c r="N127" s="93">
        <f t="shared" si="27"/>
        <v>-6467668.1569713652</v>
      </c>
      <c r="O127" s="93">
        <f t="shared" si="27"/>
        <v>-27310745.93416518</v>
      </c>
      <c r="P127" s="93">
        <f t="shared" si="27"/>
        <v>-41600384.900887519</v>
      </c>
      <c r="Q127" s="93">
        <f t="shared" si="27"/>
        <v>-46834285.210350275</v>
      </c>
      <c r="R127" s="93">
        <f t="shared" si="27"/>
        <v>-10316938.668598384</v>
      </c>
      <c r="S127" s="106">
        <f t="shared" si="21"/>
        <v>-366316934.00610411</v>
      </c>
      <c r="T127" s="469">
        <f t="shared" si="22"/>
        <v>-5.932642341303147</v>
      </c>
      <c r="U127" s="311"/>
      <c r="V127" s="311"/>
    </row>
    <row r="128" spans="1:22" ht="13.5" thickBot="1">
      <c r="A128" s="117" t="str">
        <f t="shared" si="18"/>
        <v>1001p</v>
      </c>
      <c r="B128" s="580" t="str">
        <f>+VLOOKUP(LEFT($A128,LEN(A128)-1)*1,Master!$D$30:$G$226,4,FALSE)</f>
        <v>Primarni suficit/deficit</v>
      </c>
      <c r="C128" s="581"/>
      <c r="D128" s="581"/>
      <c r="E128" s="581"/>
      <c r="F128" s="581"/>
      <c r="G128" s="94">
        <f>+G127+G110</f>
        <v>-16955013.227592494</v>
      </c>
      <c r="H128" s="94">
        <f t="shared" ref="H128:R128" si="28">+H127+H110</f>
        <v>-64630035.204519361</v>
      </c>
      <c r="I128" s="94">
        <f t="shared" si="28"/>
        <v>-314464.45974591444</v>
      </c>
      <c r="J128" s="94">
        <f t="shared" si="28"/>
        <v>6704359.1802349798</v>
      </c>
      <c r="K128" s="94">
        <f t="shared" si="28"/>
        <v>-30861356.008712515</v>
      </c>
      <c r="L128" s="94">
        <f t="shared" si="28"/>
        <v>-24201043.138724923</v>
      </c>
      <c r="M128" s="94">
        <f t="shared" si="28"/>
        <v>-45628256.98607108</v>
      </c>
      <c r="N128" s="94">
        <f t="shared" si="28"/>
        <v>-3687920.8469713656</v>
      </c>
      <c r="O128" s="94">
        <f t="shared" si="28"/>
        <v>-25434319.32416518</v>
      </c>
      <c r="P128" s="94">
        <f t="shared" si="28"/>
        <v>-26802095.280887522</v>
      </c>
      <c r="Q128" s="94">
        <f t="shared" si="28"/>
        <v>-38003149.750350274</v>
      </c>
      <c r="R128" s="94">
        <f t="shared" si="28"/>
        <v>13424170.421401616</v>
      </c>
      <c r="S128" s="106">
        <f t="shared" si="21"/>
        <v>-256389124.626104</v>
      </c>
      <c r="T128" s="469">
        <f t="shared" si="22"/>
        <v>-4.1523195773994104</v>
      </c>
      <c r="U128" s="311"/>
      <c r="V128" s="311"/>
    </row>
    <row r="129" spans="1:22">
      <c r="A129" s="117" t="str">
        <f t="shared" si="18"/>
        <v>46p</v>
      </c>
      <c r="B129" s="582" t="str">
        <f>+VLOOKUP(LEFT($A129,LEN(A129)-1)*1,Master!$D$30:$G$226,4,FALSE)</f>
        <v>Otplata dugova</v>
      </c>
      <c r="C129" s="583"/>
      <c r="D129" s="583"/>
      <c r="E129" s="583"/>
      <c r="F129" s="583"/>
      <c r="G129" s="84">
        <f>+SUM(G130:G131)</f>
        <v>30842089.259999998</v>
      </c>
      <c r="H129" s="84">
        <f t="shared" ref="H129:R129" si="29">+SUM(H130:H131)</f>
        <v>6803111.790000001</v>
      </c>
      <c r="I129" s="84">
        <f t="shared" si="29"/>
        <v>9004349.7899999991</v>
      </c>
      <c r="J129" s="84">
        <f t="shared" si="29"/>
        <v>7976370.0700000003</v>
      </c>
      <c r="K129" s="84">
        <f t="shared" si="29"/>
        <v>92780108.99000001</v>
      </c>
      <c r="L129" s="84">
        <f t="shared" si="29"/>
        <v>14226825.530000001</v>
      </c>
      <c r="M129" s="483">
        <f t="shared" ref="M129" si="30">+SUM(M130:M131)</f>
        <v>40968432.359999999</v>
      </c>
      <c r="N129" s="84">
        <f t="shared" si="29"/>
        <v>9320542.290000001</v>
      </c>
      <c r="O129" s="84">
        <f t="shared" si="29"/>
        <v>19467352.800000001</v>
      </c>
      <c r="P129" s="84">
        <f t="shared" si="29"/>
        <v>19749872.740000002</v>
      </c>
      <c r="Q129" s="84">
        <f t="shared" si="29"/>
        <v>64752298.200000003</v>
      </c>
      <c r="R129" s="84">
        <f t="shared" si="29"/>
        <v>22194542.870000001</v>
      </c>
      <c r="S129" s="104">
        <f t="shared" si="21"/>
        <v>338085896.69000006</v>
      </c>
      <c r="T129" s="470">
        <f t="shared" si="22"/>
        <v>5.4754299337608927</v>
      </c>
      <c r="U129" s="311"/>
      <c r="V129" s="311"/>
    </row>
    <row r="130" spans="1:22">
      <c r="A130" s="117" t="str">
        <f t="shared" si="18"/>
        <v>4611p</v>
      </c>
      <c r="B130" s="574" t="str">
        <f>+VLOOKUP(LEFT($A130,LEN(A130)-1)*1,Master!$D$30:$G$226,4,FALSE)</f>
        <v>Otplata hartija od vrijednosti i kredita rezidentima</v>
      </c>
      <c r="C130" s="575"/>
      <c r="D130" s="575"/>
      <c r="E130" s="575"/>
      <c r="F130" s="575"/>
      <c r="G130" s="96">
        <v>2477159.06</v>
      </c>
      <c r="H130" s="96">
        <v>2428191.7600000002</v>
      </c>
      <c r="I130" s="96">
        <v>938890.91</v>
      </c>
      <c r="J130" s="96">
        <v>2699238.12</v>
      </c>
      <c r="K130" s="96">
        <v>45296973.57</v>
      </c>
      <c r="L130" s="96">
        <v>3740213.81</v>
      </c>
      <c r="M130" s="96">
        <v>2522037.56</v>
      </c>
      <c r="N130" s="96">
        <v>2461861.56</v>
      </c>
      <c r="O130" s="96">
        <v>746378.5</v>
      </c>
      <c r="P130" s="96">
        <v>12943542.380000001</v>
      </c>
      <c r="Q130" s="96">
        <v>19547811.449999999</v>
      </c>
      <c r="R130" s="96">
        <v>753598.01</v>
      </c>
      <c r="S130" s="103">
        <f t="shared" si="21"/>
        <v>96555896.690000013</v>
      </c>
      <c r="T130" s="471">
        <f t="shared" si="22"/>
        <v>1.5637595421565773</v>
      </c>
      <c r="U130" s="311"/>
      <c r="V130" s="311"/>
    </row>
    <row r="131" spans="1:22" ht="13.5" thickBot="1">
      <c r="A131" s="117" t="str">
        <f t="shared" si="18"/>
        <v>4612p</v>
      </c>
      <c r="B131" s="576" t="str">
        <f>+VLOOKUP(LEFT($A131,LEN(A131)-1)*1,Master!$D$30:$G$226,4,FALSE)</f>
        <v>Otplata hartija od vrijednosti i kredita nerezidentima</v>
      </c>
      <c r="C131" s="577"/>
      <c r="D131" s="577"/>
      <c r="E131" s="577"/>
      <c r="F131" s="577"/>
      <c r="G131" s="96">
        <v>28364930.199999999</v>
      </c>
      <c r="H131" s="96">
        <v>4374920.03</v>
      </c>
      <c r="I131" s="96">
        <v>8065458.8799999999</v>
      </c>
      <c r="J131" s="96">
        <v>5277131.95</v>
      </c>
      <c r="K131" s="96">
        <v>47483135.420000002</v>
      </c>
      <c r="L131" s="96">
        <v>10486611.720000001</v>
      </c>
      <c r="M131" s="96">
        <v>38446394.799999997</v>
      </c>
      <c r="N131" s="96">
        <v>6858680.7300000004</v>
      </c>
      <c r="O131" s="96">
        <v>18720974.300000001</v>
      </c>
      <c r="P131" s="96">
        <v>6806330.3600000003</v>
      </c>
      <c r="Q131" s="96">
        <v>45204486.75</v>
      </c>
      <c r="R131" s="96">
        <v>21440944.859999999</v>
      </c>
      <c r="S131" s="103">
        <f t="shared" si="21"/>
        <v>241530000</v>
      </c>
      <c r="T131" s="471">
        <f t="shared" si="22"/>
        <v>3.9116703916043147</v>
      </c>
      <c r="U131" s="311"/>
      <c r="V131" s="311"/>
    </row>
    <row r="132" spans="1:22" ht="13.5" thickBot="1">
      <c r="A132" s="117" t="str">
        <f t="shared" si="18"/>
        <v>4418p</v>
      </c>
      <c r="B132" s="570" t="str">
        <f>+VLOOKUP(LEFT($A132,LEN(A132)-1)*1,Master!$D$30:$G$226,4,FALSE)</f>
        <v>Izdaci za kupovinu hartija od vrijednosti</v>
      </c>
      <c r="C132" s="571"/>
      <c r="D132" s="571"/>
      <c r="E132" s="571"/>
      <c r="F132" s="571"/>
      <c r="G132" s="93">
        <v>6666.67</v>
      </c>
      <c r="H132" s="93">
        <v>6666.67</v>
      </c>
      <c r="I132" s="93">
        <v>385666.67</v>
      </c>
      <c r="J132" s="93">
        <v>306666.67</v>
      </c>
      <c r="K132" s="93">
        <v>6666.67</v>
      </c>
      <c r="L132" s="93">
        <v>6666.65</v>
      </c>
      <c r="M132" s="93">
        <v>10000</v>
      </c>
      <c r="N132" s="93">
        <v>10000</v>
      </c>
      <c r="O132" s="93">
        <v>10000</v>
      </c>
      <c r="P132" s="93">
        <v>10000</v>
      </c>
      <c r="Q132" s="93">
        <v>10000</v>
      </c>
      <c r="R132" s="93">
        <v>10000</v>
      </c>
      <c r="S132" s="448">
        <f t="shared" si="21"/>
        <v>779000</v>
      </c>
      <c r="T132" s="478">
        <f t="shared" si="22"/>
        <v>1.2616201859229747E-2</v>
      </c>
      <c r="U132" s="311"/>
      <c r="V132" s="311"/>
    </row>
    <row r="133" spans="1:22" ht="13.5" thickBot="1">
      <c r="A133" s="117" t="str">
        <f t="shared" si="18"/>
        <v>1002p</v>
      </c>
      <c r="B133" s="572" t="str">
        <f>+VLOOKUP(LEFT($A133,LEN(A133)-1)*1,Master!$D$30:$G$226,4,FALSE)</f>
        <v>Nedostajuća sredstva</v>
      </c>
      <c r="C133" s="573"/>
      <c r="D133" s="573"/>
      <c r="E133" s="573"/>
      <c r="F133" s="573"/>
      <c r="G133" s="77">
        <f t="shared" ref="G133:R133" si="31">+G127-G129-G132</f>
        <v>-53245889.537592493</v>
      </c>
      <c r="H133" s="77">
        <f t="shared" si="31"/>
        <v>-73881124.274519369</v>
      </c>
      <c r="I133" s="77">
        <f t="shared" si="31"/>
        <v>-11706309.449745914</v>
      </c>
      <c r="J133" s="77">
        <f t="shared" si="31"/>
        <v>-26168771.349765025</v>
      </c>
      <c r="K133" s="77">
        <f t="shared" si="31"/>
        <v>-134258439.02871251</v>
      </c>
      <c r="L133" s="77">
        <f t="shared" si="31"/>
        <v>-41511087.848724924</v>
      </c>
      <c r="M133" s="77">
        <f t="shared" si="31"/>
        <v>-96345577.436071083</v>
      </c>
      <c r="N133" s="77">
        <f t="shared" si="31"/>
        <v>-15798210.446971366</v>
      </c>
      <c r="O133" s="77">
        <f t="shared" si="31"/>
        <v>-46788098.734165177</v>
      </c>
      <c r="P133" s="77">
        <f t="shared" si="31"/>
        <v>-61360257.640887521</v>
      </c>
      <c r="Q133" s="77">
        <f t="shared" si="31"/>
        <v>-111596583.41035028</v>
      </c>
      <c r="R133" s="77">
        <f t="shared" si="31"/>
        <v>-32521481.538598385</v>
      </c>
      <c r="S133" s="109">
        <f t="shared" si="21"/>
        <v>-705181830.69610417</v>
      </c>
      <c r="T133" s="473">
        <f t="shared" si="22"/>
        <v>-11.420688476923269</v>
      </c>
      <c r="U133" s="311"/>
      <c r="V133" s="311"/>
    </row>
    <row r="134" spans="1:22" ht="13.5" thickBot="1">
      <c r="A134" s="117" t="str">
        <f t="shared" si="18"/>
        <v>1003p</v>
      </c>
      <c r="B134" s="570" t="str">
        <f>+VLOOKUP(LEFT($A134,LEN(A134)-1)*1,Master!$D$30:$G$226,4,FALSE)</f>
        <v>Finansiranje</v>
      </c>
      <c r="C134" s="571"/>
      <c r="D134" s="571"/>
      <c r="E134" s="571"/>
      <c r="F134" s="571"/>
      <c r="G134" s="93">
        <f t="shared" ref="G134:R134" si="32">+SUM(G135:G138)</f>
        <v>53245889.537592493</v>
      </c>
      <c r="H134" s="93">
        <f t="shared" si="32"/>
        <v>73881124.274519369</v>
      </c>
      <c r="I134" s="93">
        <f t="shared" si="32"/>
        <v>11706309.449745908</v>
      </c>
      <c r="J134" s="93">
        <f t="shared" si="32"/>
        <v>26168771.349765025</v>
      </c>
      <c r="K134" s="93">
        <f t="shared" si="32"/>
        <v>134258439.02871251</v>
      </c>
      <c r="L134" s="93">
        <f t="shared" si="32"/>
        <v>41511087.848724924</v>
      </c>
      <c r="M134" s="93">
        <f t="shared" si="32"/>
        <v>96345577.436071083</v>
      </c>
      <c r="N134" s="93">
        <f t="shared" si="32"/>
        <v>15798210.446971366</v>
      </c>
      <c r="O134" s="93">
        <f t="shared" si="32"/>
        <v>46788098.734165192</v>
      </c>
      <c r="P134" s="93">
        <f t="shared" si="32"/>
        <v>61360257.640887521</v>
      </c>
      <c r="Q134" s="93">
        <f t="shared" si="32"/>
        <v>111596583.41035028</v>
      </c>
      <c r="R134" s="93">
        <f t="shared" si="32"/>
        <v>32521481.538598385</v>
      </c>
      <c r="S134" s="110">
        <f t="shared" si="21"/>
        <v>705181830.69610417</v>
      </c>
      <c r="T134" s="474">
        <f t="shared" si="22"/>
        <v>11.420688476923269</v>
      </c>
      <c r="U134" s="311"/>
      <c r="V134" s="311"/>
    </row>
    <row r="135" spans="1:22">
      <c r="A135" s="117" t="str">
        <f t="shared" si="18"/>
        <v>7511p</v>
      </c>
      <c r="B135" s="574" t="str">
        <f>+VLOOKUP(LEFT($A135,LEN(A135)-1)*1,Master!$D$30:$G$226,4,FALSE)</f>
        <v>Pozajmice i krediti od domaćih izvora</v>
      </c>
      <c r="C135" s="575"/>
      <c r="D135" s="575"/>
      <c r="E135" s="575"/>
      <c r="F135" s="575"/>
      <c r="G135" s="96">
        <v>0</v>
      </c>
      <c r="H135" s="96">
        <v>0</v>
      </c>
      <c r="I135" s="96">
        <v>100000000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1"/>
        <v>100000000</v>
      </c>
      <c r="T135" s="471">
        <f t="shared" si="22"/>
        <v>1.6195381077316748</v>
      </c>
      <c r="U135" s="311"/>
      <c r="V135" s="311"/>
    </row>
    <row r="136" spans="1:22">
      <c r="A136" s="117" t="str">
        <f t="shared" si="18"/>
        <v>7512p</v>
      </c>
      <c r="B136" s="576" t="str">
        <f>+VLOOKUP(LEFT($A136,LEN(A136)-1)*1,Master!$D$30:$G$226,4,FALSE)</f>
        <v>Pozajmice i krediti od inostranih izvora</v>
      </c>
      <c r="C136" s="577"/>
      <c r="D136" s="577"/>
      <c r="E136" s="577"/>
      <c r="F136" s="577"/>
      <c r="G136" s="96">
        <v>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517">
        <v>499181830.68901968</v>
      </c>
      <c r="P136" s="96">
        <v>0</v>
      </c>
      <c r="Q136" s="96">
        <v>0</v>
      </c>
      <c r="R136" s="96">
        <v>0</v>
      </c>
      <c r="S136" s="103">
        <f t="shared" si="21"/>
        <v>499181830.68901968</v>
      </c>
      <c r="T136" s="471">
        <f t="shared" si="22"/>
        <v>8.084439974881283</v>
      </c>
      <c r="U136" s="311"/>
      <c r="V136" s="311"/>
    </row>
    <row r="137" spans="1:22">
      <c r="A137" s="117" t="str">
        <f t="shared" si="18"/>
        <v>72p</v>
      </c>
      <c r="B137" s="576" t="str">
        <f>+VLOOKUP(LEFT($A137,LEN(A137)-1)*1,Master!$D$30:$G$226,4,FALSE)</f>
        <v>Primici od prodaje imovine</v>
      </c>
      <c r="C137" s="577"/>
      <c r="D137" s="577"/>
      <c r="E137" s="577"/>
      <c r="F137" s="577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1"/>
        <v>6000000</v>
      </c>
      <c r="T137" s="471">
        <f t="shared" si="22"/>
        <v>9.7172286463900498E-2</v>
      </c>
      <c r="U137" s="311"/>
      <c r="V137" s="311"/>
    </row>
    <row r="138" spans="1:22" ht="13.5" thickBot="1">
      <c r="A138" s="117" t="str">
        <f t="shared" si="18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>-G133-SUM(G135:G137)</f>
        <v>52745889.537592493</v>
      </c>
      <c r="H138" s="97">
        <f t="shared" ref="H138:R138" si="33">-H133-SUM(H135:H137)</f>
        <v>73381124.274519369</v>
      </c>
      <c r="I138" s="97">
        <f t="shared" si="33"/>
        <v>-88793690.550254092</v>
      </c>
      <c r="J138" s="97">
        <f t="shared" si="33"/>
        <v>25668771.349765025</v>
      </c>
      <c r="K138" s="97">
        <f t="shared" si="33"/>
        <v>133758439.02871251</v>
      </c>
      <c r="L138" s="97">
        <f t="shared" si="33"/>
        <v>41011087.848724924</v>
      </c>
      <c r="M138" s="97">
        <f t="shared" si="33"/>
        <v>95845577.436071083</v>
      </c>
      <c r="N138" s="97">
        <f t="shared" si="33"/>
        <v>15298210.446971366</v>
      </c>
      <c r="O138" s="97">
        <f t="shared" si="33"/>
        <v>-452893731.95485449</v>
      </c>
      <c r="P138" s="97">
        <f t="shared" si="33"/>
        <v>60860257.640887521</v>
      </c>
      <c r="Q138" s="97">
        <f t="shared" si="33"/>
        <v>111096583.41035028</v>
      </c>
      <c r="R138" s="97">
        <f t="shared" si="33"/>
        <v>32021481.538598385</v>
      </c>
      <c r="S138" s="105">
        <f>+SUM(G138:R138)</f>
        <v>100000000.00708437</v>
      </c>
      <c r="T138" s="475">
        <f t="shared" si="22"/>
        <v>1.6195381078464091</v>
      </c>
      <c r="U138" s="311"/>
      <c r="V138" s="311"/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sheetProtection algorithmName="SHA-512" hashValue="vXQTfJMXxp4kEi1to19TZnIQAPFAxfArU21kWkV5xAAG8PPwdn4DChT3OV6dCujTDZeAJQ5+lTpLy7NOSzROSw==" saltValue="TkVky9MGhYFbgeUy55Ehag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6"/>
  <sheetViews>
    <sheetView zoomScaleNormal="100" workbookViewId="0">
      <pane ySplit="1" topLeftCell="A20" activePane="bottomLeft" state="frozen"/>
      <selection pane="bottomLeft" activeCell="G53" sqref="G53:I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7.5703125" style="258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619" t="str">
        <f>+Master!G252</f>
        <v>Ostvarenje budžeta</v>
      </c>
      <c r="C7" s="551"/>
      <c r="D7" s="551"/>
      <c r="E7" s="551"/>
      <c r="F7" s="551"/>
      <c r="G7" s="559">
        <v>2022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tr">
        <f>+Master!G249</f>
        <v>BDP</v>
      </c>
      <c r="T7" s="236">
        <v>5796761000</v>
      </c>
    </row>
    <row r="8" spans="1:23" ht="16.5" customHeight="1">
      <c r="A8" s="144"/>
      <c r="B8" s="552"/>
      <c r="C8" s="553"/>
      <c r="D8" s="553"/>
      <c r="E8" s="553"/>
      <c r="F8" s="554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9" t="str">
        <f>+Master!G247</f>
        <v>Jan - Dec</v>
      </c>
      <c r="T8" s="563"/>
    </row>
    <row r="9" spans="1:23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0" t="str">
        <f>+VLOOKUP($A10,Master!$D$30:$G$226,4,FALSE)</f>
        <v>Prihodi budžeta</v>
      </c>
      <c r="C10" s="531"/>
      <c r="D10" s="531"/>
      <c r="E10" s="531"/>
      <c r="F10" s="531"/>
      <c r="G10" s="151">
        <f>+G11+G19+SUM(G24:G28)</f>
        <v>107815206.7</v>
      </c>
      <c r="H10" s="151">
        <f t="shared" ref="H10:R10" si="1">+H11+H19+SUM(H24:H28)</f>
        <v>124648051.66</v>
      </c>
      <c r="I10" s="151">
        <f t="shared" si="1"/>
        <v>184180987.31</v>
      </c>
      <c r="J10" s="151">
        <f t="shared" si="1"/>
        <v>182005041.20000002</v>
      </c>
      <c r="K10" s="151">
        <f t="shared" si="1"/>
        <v>154767660.19999999</v>
      </c>
      <c r="L10" s="151">
        <f t="shared" si="1"/>
        <v>169115492.40000004</v>
      </c>
      <c r="M10" s="151">
        <f t="shared" si="1"/>
        <v>165776838.45999998</v>
      </c>
      <c r="N10" s="151">
        <f t="shared" si="1"/>
        <v>195547069.71999997</v>
      </c>
      <c r="O10" s="151">
        <f t="shared" si="1"/>
        <v>175641720.11000001</v>
      </c>
      <c r="P10" s="151">
        <f t="shared" si="1"/>
        <v>168344009.69</v>
      </c>
      <c r="Q10" s="151">
        <f t="shared" si="1"/>
        <v>162487550.83000001</v>
      </c>
      <c r="R10" s="151">
        <f t="shared" si="1"/>
        <v>220180815.28000003</v>
      </c>
      <c r="S10" s="239">
        <f>+SUM(G10:R10)</f>
        <v>2010510443.5600002</v>
      </c>
      <c r="T10" s="461">
        <f>+S10/$T$7*100</f>
        <v>34.68334201737833</v>
      </c>
      <c r="V10" s="311"/>
    </row>
    <row r="11" spans="1:23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2">
        <f t="shared" ref="T11:T64" si="3">+S11/$T$7*100</f>
        <v>23.825946169076147</v>
      </c>
      <c r="V11" s="311"/>
    </row>
    <row r="12" spans="1:23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3" si="4">+SUM(G12:R12)</f>
        <v>83041010.100000009</v>
      </c>
      <c r="T12" s="463">
        <f t="shared" si="3"/>
        <v>1.4325415538091015</v>
      </c>
      <c r="V12" s="311"/>
    </row>
    <row r="13" spans="1:23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3">
        <f t="shared" si="3"/>
        <v>1.5555093466851573</v>
      </c>
      <c r="V13" s="311"/>
    </row>
    <row r="14" spans="1:23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3">
        <f t="shared" si="3"/>
        <v>2.5558096495611946E-2</v>
      </c>
      <c r="V14" s="311"/>
    </row>
    <row r="15" spans="1:23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3">
        <f t="shared" si="3"/>
        <v>15.66473249906284</v>
      </c>
      <c r="V15" s="311"/>
    </row>
    <row r="16" spans="1:23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3">
        <f t="shared" si="3"/>
        <v>4.2415516487569533</v>
      </c>
      <c r="V16" s="311"/>
      <c r="W16" s="311"/>
    </row>
    <row r="17" spans="1:23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3">
        <f t="shared" si="3"/>
        <v>0.69417203210551548</v>
      </c>
      <c r="V17" s="311"/>
    </row>
    <row r="18" spans="1:23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3">
        <f t="shared" si="3"/>
        <v>0.21188099216096715</v>
      </c>
      <c r="V18" s="311"/>
    </row>
    <row r="19" spans="1:23">
      <c r="A19" s="150">
        <v>712</v>
      </c>
      <c r="B19" s="524" t="str">
        <f>+VLOOKUP($A19,Master!$D$30:$G$226,4,FALSE)</f>
        <v>Doprinosi</v>
      </c>
      <c r="C19" s="525"/>
      <c r="D19" s="525"/>
      <c r="E19" s="525"/>
      <c r="F19" s="525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4">
        <f t="shared" si="3"/>
        <v>7.9837178777941675</v>
      </c>
      <c r="V19" s="311"/>
    </row>
    <row r="20" spans="1:23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3">
        <f t="shared" si="3"/>
        <v>7.0021047479790877</v>
      </c>
      <c r="V20" s="311"/>
    </row>
    <row r="21" spans="1:23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3">
        <f t="shared" si="3"/>
        <v>0.43222723741758545</v>
      </c>
      <c r="V21" s="311"/>
    </row>
    <row r="22" spans="1:23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3">
        <f t="shared" si="3"/>
        <v>0.31733459840762801</v>
      </c>
      <c r="V22" s="311"/>
    </row>
    <row r="23" spans="1:23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3">
        <f t="shared" si="3"/>
        <v>0.23205129398986782</v>
      </c>
      <c r="V23" s="311"/>
      <c r="W23" s="305"/>
    </row>
    <row r="24" spans="1:23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1600139.91</v>
      </c>
      <c r="S24" s="243">
        <f t="shared" si="4"/>
        <v>14770367.420000002</v>
      </c>
      <c r="T24" s="464">
        <f t="shared" si="3"/>
        <v>0.25480380198528113</v>
      </c>
      <c r="V24" s="311"/>
      <c r="W24" s="305"/>
    </row>
    <row r="25" spans="1:23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72749273.989999995</v>
      </c>
      <c r="T25" s="464">
        <f t="shared" si="3"/>
        <v>1.2549986792624364</v>
      </c>
      <c r="V25" s="311"/>
    </row>
    <row r="26" spans="1:23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v>1327068.83</v>
      </c>
      <c r="H26" s="175">
        <v>1641264.93</v>
      </c>
      <c r="I26" s="175">
        <v>1734944.59</v>
      </c>
      <c r="J26" s="175">
        <v>1799637.23</v>
      </c>
      <c r="K26" s="175">
        <v>3456587.14</v>
      </c>
      <c r="L26" s="175">
        <v>2782233.96</v>
      </c>
      <c r="M26" s="175">
        <v>3218905.03</v>
      </c>
      <c r="N26" s="175">
        <v>3788670.26</v>
      </c>
      <c r="O26" s="175">
        <v>1547779.56</v>
      </c>
      <c r="P26" s="175">
        <v>1869202.61</v>
      </c>
      <c r="Q26" s="175">
        <v>3172693.52</v>
      </c>
      <c r="R26" s="175">
        <v>3197522.76</v>
      </c>
      <c r="S26" s="243">
        <f t="shared" si="4"/>
        <v>29536510.419999994</v>
      </c>
      <c r="T26" s="464">
        <f t="shared" si="3"/>
        <v>0.50953472844576464</v>
      </c>
      <c r="V26" s="311"/>
    </row>
    <row r="27" spans="1:23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v>78071.73</v>
      </c>
      <c r="H27" s="175">
        <v>522875.5</v>
      </c>
      <c r="I27" s="175">
        <v>671874.17</v>
      </c>
      <c r="J27" s="175">
        <v>2383498.4</v>
      </c>
      <c r="K27" s="175">
        <v>848688.86</v>
      </c>
      <c r="L27" s="175">
        <v>3720729.37</v>
      </c>
      <c r="M27" s="175">
        <v>215690.69</v>
      </c>
      <c r="N27" s="175">
        <v>2401895.3199999998</v>
      </c>
      <c r="O27" s="175">
        <v>1142900.81</v>
      </c>
      <c r="P27" s="175">
        <v>327625.15999999997</v>
      </c>
      <c r="Q27" s="175">
        <v>1007680.03</v>
      </c>
      <c r="R27" s="175">
        <v>1811357.71</v>
      </c>
      <c r="S27" s="243">
        <f t="shared" si="4"/>
        <v>15132887.75</v>
      </c>
      <c r="T27" s="464">
        <f t="shared" si="3"/>
        <v>0.26105764495034384</v>
      </c>
      <c r="V27" s="311"/>
    </row>
    <row r="28" spans="1:23" ht="13.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v>944706.6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5615200.2199999997</v>
      </c>
      <c r="S28" s="243">
        <f t="shared" si="4"/>
        <v>34391204.280000001</v>
      </c>
      <c r="T28" s="465">
        <f t="shared" si="3"/>
        <v>0.59328311586418692</v>
      </c>
      <c r="V28" s="311"/>
    </row>
    <row r="29" spans="1:23" ht="13.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>+G30+G40+G46+SUM(G47:G51)</f>
        <v>140577484.35999998</v>
      </c>
      <c r="H29" s="151">
        <f t="shared" ref="H29:R29" si="6">+H30+H40+H46+SUM(H47:H51)</f>
        <v>152250317.41000003</v>
      </c>
      <c r="I29" s="151">
        <f t="shared" si="6"/>
        <v>152063505.35999998</v>
      </c>
      <c r="J29" s="151">
        <f t="shared" si="6"/>
        <v>202826405.90999991</v>
      </c>
      <c r="K29" s="151">
        <f t="shared" si="6"/>
        <v>146746241.71000001</v>
      </c>
      <c r="L29" s="151">
        <f t="shared" si="6"/>
        <v>189249624.99000004</v>
      </c>
      <c r="M29" s="151">
        <f t="shared" si="6"/>
        <v>178441230.91</v>
      </c>
      <c r="N29" s="151">
        <f t="shared" si="6"/>
        <v>159459782.49000001</v>
      </c>
      <c r="O29" s="151">
        <f t="shared" si="6"/>
        <v>187475502.31999999</v>
      </c>
      <c r="P29" s="151">
        <f t="shared" si="6"/>
        <v>188577048.47999999</v>
      </c>
      <c r="Q29" s="151">
        <f t="shared" si="6"/>
        <v>201379296.75999999</v>
      </c>
      <c r="R29" s="151">
        <f t="shared" si="6"/>
        <v>369843394.94000006</v>
      </c>
      <c r="S29" s="245">
        <f t="shared" si="4"/>
        <v>2268889835.6400003</v>
      </c>
      <c r="T29" s="466">
        <f t="shared" si="3"/>
        <v>39.140648297212884</v>
      </c>
      <c r="V29" s="291"/>
    </row>
    <row r="30" spans="1:23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187">
        <f t="shared" ref="G30:R30" si="7">+SUM(G31:G39)</f>
        <v>50888106.359999992</v>
      </c>
      <c r="H30" s="187">
        <f t="shared" si="7"/>
        <v>61672607.570000008</v>
      </c>
      <c r="I30" s="187">
        <f t="shared" si="7"/>
        <v>59512220.600000001</v>
      </c>
      <c r="J30" s="187">
        <f t="shared" si="7"/>
        <v>96714288.139999971</v>
      </c>
      <c r="K30" s="187">
        <f t="shared" si="7"/>
        <v>58672920.63000001</v>
      </c>
      <c r="L30" s="187">
        <f t="shared" si="7"/>
        <v>71867949.01000002</v>
      </c>
      <c r="M30" s="187">
        <f t="shared" si="7"/>
        <v>67772161.579999998</v>
      </c>
      <c r="N30" s="187">
        <f t="shared" si="7"/>
        <v>64013603.580000006</v>
      </c>
      <c r="O30" s="187">
        <f t="shared" si="7"/>
        <v>80370389.329999998</v>
      </c>
      <c r="P30" s="187">
        <f t="shared" si="7"/>
        <v>70483078.090000004</v>
      </c>
      <c r="Q30" s="187">
        <f t="shared" si="7"/>
        <v>81383041.340000004</v>
      </c>
      <c r="R30" s="246">
        <f t="shared" si="7"/>
        <v>160323574.99000001</v>
      </c>
      <c r="S30" s="423">
        <f t="shared" si="4"/>
        <v>923673941.22000003</v>
      </c>
      <c r="T30" s="462">
        <f t="shared" si="3"/>
        <v>15.934311268310012</v>
      </c>
      <c r="U30" s="500"/>
      <c r="V30" s="291"/>
    </row>
    <row r="31" spans="1:23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v>44240125.009999998</v>
      </c>
      <c r="H31" s="163">
        <v>44549685.590000004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542475528.12</v>
      </c>
      <c r="T31" s="463">
        <f t="shared" si="3"/>
        <v>9.3582524468405719</v>
      </c>
      <c r="U31" s="500"/>
      <c r="V31" s="291"/>
    </row>
    <row r="32" spans="1:23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3">
        <f t="shared" si="3"/>
        <v>0.32380132370473785</v>
      </c>
      <c r="U32" s="500"/>
      <c r="V32" s="291"/>
    </row>
    <row r="33" spans="1:24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v>140372.01</v>
      </c>
      <c r="H33" s="163">
        <v>3489117.82</v>
      </c>
      <c r="I33" s="163">
        <v>2614341.89</v>
      </c>
      <c r="J33" s="163">
        <v>2019169.66</v>
      </c>
      <c r="K33" s="514">
        <v>1001299.32</v>
      </c>
      <c r="L33" s="163">
        <v>4894219.0999999996</v>
      </c>
      <c r="M33" s="163">
        <v>2326698.5299999998</v>
      </c>
      <c r="N33" s="163">
        <v>4632464.3099999996</v>
      </c>
      <c r="O33" s="163">
        <v>2320334.06</v>
      </c>
      <c r="P33" s="163">
        <v>2181537.3199999998</v>
      </c>
      <c r="Q33" s="163">
        <v>3643902.52</v>
      </c>
      <c r="R33" s="163">
        <v>7777378.4400000004</v>
      </c>
      <c r="S33" s="242">
        <f t="shared" si="4"/>
        <v>37040834.979999997</v>
      </c>
      <c r="T33" s="463">
        <f t="shared" si="3"/>
        <v>0.63899192980355746</v>
      </c>
      <c r="U33" s="500"/>
      <c r="V33" s="291"/>
    </row>
    <row r="34" spans="1:24" s="360" customFormat="1">
      <c r="A34" s="359">
        <v>414</v>
      </c>
      <c r="B34" s="617" t="str">
        <f>+VLOOKUP($A34,Master!$D$30:$G$226,4,FALSE)</f>
        <v>Rashodi za usluge</v>
      </c>
      <c r="C34" s="618"/>
      <c r="D34" s="618"/>
      <c r="E34" s="618"/>
      <c r="F34" s="618"/>
      <c r="G34" s="163">
        <v>1078189.54</v>
      </c>
      <c r="H34" s="163">
        <v>2912682.95</v>
      </c>
      <c r="I34" s="163">
        <v>4448058.71</v>
      </c>
      <c r="J34" s="163">
        <v>6119621.8799999999</v>
      </c>
      <c r="K34" s="514">
        <v>2608799.0299999998</v>
      </c>
      <c r="L34" s="163">
        <v>5652423.2599999998</v>
      </c>
      <c r="M34" s="163">
        <v>3940088.74</v>
      </c>
      <c r="N34" s="163">
        <v>4242616.29</v>
      </c>
      <c r="O34" s="163">
        <v>4862742.16</v>
      </c>
      <c r="P34" s="163">
        <v>4651278.71</v>
      </c>
      <c r="Q34" s="163">
        <v>8318592.5099999998</v>
      </c>
      <c r="R34" s="163">
        <v>14663182.699999999</v>
      </c>
      <c r="S34" s="242">
        <f t="shared" si="4"/>
        <v>63498276.480000004</v>
      </c>
      <c r="T34" s="463">
        <f t="shared" si="3"/>
        <v>1.095409599947281</v>
      </c>
      <c r="U34" s="500"/>
      <c r="V34" s="291"/>
    </row>
    <row r="35" spans="1:24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v>51153.02</v>
      </c>
      <c r="H35" s="163">
        <v>1786959.03</v>
      </c>
      <c r="I35" s="163">
        <v>1807724.3</v>
      </c>
      <c r="J35" s="163">
        <v>1712206.83</v>
      </c>
      <c r="K35" s="163">
        <v>1517284.34</v>
      </c>
      <c r="L35" s="163">
        <v>1758391.51</v>
      </c>
      <c r="M35" s="163">
        <v>1888507.44</v>
      </c>
      <c r="N35" s="163">
        <v>1129451.49</v>
      </c>
      <c r="O35" s="163">
        <v>2940859.11</v>
      </c>
      <c r="P35" s="163">
        <v>1955111.39</v>
      </c>
      <c r="Q35" s="163">
        <v>2416100.75</v>
      </c>
      <c r="R35" s="163">
        <v>8346466.1799999997</v>
      </c>
      <c r="S35" s="242">
        <f t="shared" si="4"/>
        <v>27310215.390000001</v>
      </c>
      <c r="T35" s="463">
        <f t="shared" si="3"/>
        <v>0.47112888369901745</v>
      </c>
      <c r="U35" s="500"/>
      <c r="V35" s="291"/>
    </row>
    <row r="36" spans="1:24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3">
        <f t="shared" si="3"/>
        <v>1.5863334696738403</v>
      </c>
      <c r="U36" s="500"/>
      <c r="V36" s="291"/>
    </row>
    <row r="37" spans="1:24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v>222069.04</v>
      </c>
      <c r="H37" s="163">
        <v>743329.49</v>
      </c>
      <c r="I37" s="163">
        <v>597164.85</v>
      </c>
      <c r="J37" s="163">
        <v>1245171.8500000001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2885818.54</v>
      </c>
      <c r="S37" s="242">
        <f t="shared" si="4"/>
        <v>12031200.050000001</v>
      </c>
      <c r="T37" s="463">
        <f t="shared" si="3"/>
        <v>0.20755038977801568</v>
      </c>
      <c r="U37" s="500"/>
      <c r="V37" s="291"/>
    </row>
    <row r="38" spans="1:24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3">
        <f t="shared" si="3"/>
        <v>1.1804838433049076</v>
      </c>
      <c r="U38" s="500"/>
      <c r="V38" s="291"/>
    </row>
    <row r="39" spans="1:24">
      <c r="A39" s="150">
        <v>419</v>
      </c>
      <c r="B39" s="522" t="str">
        <f>+VLOOKUP($A39,Master!$D$30:$G$226,4,FALSE)</f>
        <v>Ostali izdaci</v>
      </c>
      <c r="C39" s="523"/>
      <c r="D39" s="523"/>
      <c r="E39" s="523"/>
      <c r="F39" s="523"/>
      <c r="G39" s="163">
        <v>653504.72</v>
      </c>
      <c r="H39" s="163">
        <v>3021749.14</v>
      </c>
      <c r="I39" s="163">
        <v>3043153.13</v>
      </c>
      <c r="J39" s="163">
        <v>3024181.08</v>
      </c>
      <c r="K39" s="514">
        <v>2977903.6</v>
      </c>
      <c r="L39" s="163">
        <v>4725981.37</v>
      </c>
      <c r="M39" s="163">
        <v>4636189.87</v>
      </c>
      <c r="N39" s="163">
        <v>2834575.68</v>
      </c>
      <c r="O39" s="163">
        <v>2651752.0299999998</v>
      </c>
      <c r="P39" s="163">
        <v>4805996.95</v>
      </c>
      <c r="Q39" s="163">
        <v>3939987.41</v>
      </c>
      <c r="R39" s="163">
        <v>25847135.43</v>
      </c>
      <c r="S39" s="242">
        <f t="shared" si="4"/>
        <v>62162110.410000004</v>
      </c>
      <c r="T39" s="463">
        <f t="shared" si="3"/>
        <v>1.0723593815580805</v>
      </c>
      <c r="U39" s="500"/>
      <c r="V39" s="291"/>
    </row>
    <row r="40" spans="1:24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+SUM(G41:G45)</f>
        <v>43461857.619999997</v>
      </c>
      <c r="H40" s="193">
        <f t="shared" ref="H40:R40" si="8">+SUM(H41:H45)</f>
        <v>49026101.470000006</v>
      </c>
      <c r="I40" s="193">
        <f t="shared" si="8"/>
        <v>50287764.18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54360546.859999999</v>
      </c>
      <c r="O40" s="193">
        <f t="shared" si="8"/>
        <v>55114295.5</v>
      </c>
      <c r="P40" s="193">
        <f t="shared" si="8"/>
        <v>71186420.969999999</v>
      </c>
      <c r="Q40" s="193">
        <f t="shared" si="8"/>
        <v>63369274.630000003</v>
      </c>
      <c r="R40" s="193">
        <f t="shared" si="8"/>
        <v>70551133.099999994</v>
      </c>
      <c r="S40" s="486">
        <f t="shared" si="4"/>
        <v>667285836.71000004</v>
      </c>
      <c r="T40" s="487">
        <f t="shared" si="3"/>
        <v>11.511356716449066</v>
      </c>
      <c r="U40" s="500"/>
      <c r="V40" s="291"/>
    </row>
    <row r="41" spans="1:24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11984394.289999999</v>
      </c>
      <c r="O41" s="163">
        <v>12319371.459999999</v>
      </c>
      <c r="P41" s="163">
        <v>12698818.880000001</v>
      </c>
      <c r="Q41" s="163">
        <v>14820839.539999999</v>
      </c>
      <c r="R41" s="163">
        <v>14201703.15</v>
      </c>
      <c r="S41" s="242">
        <f t="shared" si="4"/>
        <v>135296564.06</v>
      </c>
      <c r="T41" s="463">
        <f t="shared" si="3"/>
        <v>2.3340028001844479</v>
      </c>
      <c r="U41" s="500"/>
      <c r="V41" s="291"/>
    </row>
    <row r="42" spans="1:24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3">
        <f t="shared" si="3"/>
        <v>0.47821234151278619</v>
      </c>
      <c r="U42" s="500"/>
      <c r="V42" s="291"/>
    </row>
    <row r="43" spans="1:24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v>35149513.420000002</v>
      </c>
      <c r="H43" s="514">
        <v>36349865.18</v>
      </c>
      <c r="I43" s="514">
        <v>36074398.100000001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470084623.37999994</v>
      </c>
      <c r="T43" s="463">
        <f t="shared" si="3"/>
        <v>8.1094360002077011</v>
      </c>
      <c r="U43" s="500"/>
      <c r="V43" s="291"/>
    </row>
    <row r="44" spans="1:24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3">
        <f t="shared" si="3"/>
        <v>0.28883805404431889</v>
      </c>
      <c r="U44" s="500"/>
      <c r="V44" s="291"/>
    </row>
    <row r="45" spans="1:24" s="360" customFormat="1">
      <c r="A45" s="359">
        <v>425</v>
      </c>
      <c r="B45" s="613" t="str">
        <f>+VLOOKUP($A45,Master!$D$30:$G$226,4,FALSE)</f>
        <v>Ostala prava iz zdravstvenog osiguranja</v>
      </c>
      <c r="C45" s="614"/>
      <c r="D45" s="614"/>
      <c r="E45" s="614"/>
      <c r="F45" s="614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3">
        <f t="shared" si="3"/>
        <v>0.30086752049981008</v>
      </c>
      <c r="U45" s="500"/>
      <c r="V45" s="291"/>
    </row>
    <row r="46" spans="1:24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v>7352915.0899999999</v>
      </c>
      <c r="H46" s="175">
        <v>24325892.07</v>
      </c>
      <c r="I46" s="175">
        <v>30713814.850000001</v>
      </c>
      <c r="J46" s="175">
        <v>28760000.66</v>
      </c>
      <c r="K46" s="175">
        <v>16438030.75</v>
      </c>
      <c r="L46" s="175">
        <v>35025423.090000004</v>
      </c>
      <c r="M46" s="175">
        <v>21720140.949999999</v>
      </c>
      <c r="N46" s="175">
        <v>18685780.77</v>
      </c>
      <c r="O46" s="175">
        <v>29625279.100000001</v>
      </c>
      <c r="P46" s="175">
        <v>32210015.350000001</v>
      </c>
      <c r="Q46" s="175">
        <v>34250449.609999999</v>
      </c>
      <c r="R46" s="175">
        <v>74410165.640000001</v>
      </c>
      <c r="S46" s="243">
        <f t="shared" si="4"/>
        <v>353517907.92999995</v>
      </c>
      <c r="T46" s="464">
        <f t="shared" si="3"/>
        <v>6.098542063921558</v>
      </c>
      <c r="U46" s="500"/>
      <c r="V46" s="291"/>
    </row>
    <row r="47" spans="1:24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v>16016474.34</v>
      </c>
      <c r="H47" s="175">
        <v>11650538.710000001</v>
      </c>
      <c r="I47" s="175">
        <v>7993847.7400000002</v>
      </c>
      <c r="J47" s="175">
        <v>25617464.039999999</v>
      </c>
      <c r="K47" s="175">
        <v>18638679.170000002</v>
      </c>
      <c r="L47" s="175">
        <v>23468670.100000001</v>
      </c>
      <c r="M47" s="175">
        <v>25040863.600000001</v>
      </c>
      <c r="N47" s="175">
        <v>7683091.5899999999</v>
      </c>
      <c r="O47" s="175">
        <v>16121479.170000002</v>
      </c>
      <c r="P47" s="175">
        <v>11335391.99</v>
      </c>
      <c r="Q47" s="175">
        <v>20280565.699999999</v>
      </c>
      <c r="R47" s="175">
        <v>56610814.030000001</v>
      </c>
      <c r="S47" s="243">
        <f t="shared" si="4"/>
        <v>240457880.17999998</v>
      </c>
      <c r="T47" s="464">
        <f t="shared" si="3"/>
        <v>4.1481420431168372</v>
      </c>
      <c r="U47" s="500"/>
      <c r="V47" s="291"/>
      <c r="W47" s="311"/>
      <c r="X47" s="311"/>
    </row>
    <row r="48" spans="1:24">
      <c r="A48" s="150">
        <v>451</v>
      </c>
      <c r="B48" s="615" t="str">
        <f>+VLOOKUP($A48,Master!$D$30:$G$226,4,FALSE)</f>
        <v>Pozajmice i krediti</v>
      </c>
      <c r="C48" s="616"/>
      <c r="D48" s="616"/>
      <c r="E48" s="616"/>
      <c r="F48" s="616"/>
      <c r="G48" s="163">
        <v>5063275.62</v>
      </c>
      <c r="H48" s="163">
        <v>1133077.69</v>
      </c>
      <c r="I48" s="163">
        <v>130819.33</v>
      </c>
      <c r="J48" s="163">
        <v>464635.33</v>
      </c>
      <c r="K48" s="163">
        <v>722142.79</v>
      </c>
      <c r="L48" s="163">
        <v>956574.97</v>
      </c>
      <c r="M48" s="163">
        <v>271871.64</v>
      </c>
      <c r="N48" s="163">
        <v>12519446.189999999</v>
      </c>
      <c r="O48" s="163">
        <v>36205.230000000003</v>
      </c>
      <c r="P48" s="163">
        <v>1061879.26</v>
      </c>
      <c r="Q48" s="163">
        <v>245090.2</v>
      </c>
      <c r="R48" s="163">
        <v>516876.49</v>
      </c>
      <c r="S48" s="242">
        <f t="shared" si="4"/>
        <v>23121894.740000002</v>
      </c>
      <c r="T48" s="463">
        <f t="shared" si="3"/>
        <v>0.39887610926170669</v>
      </c>
      <c r="U48" s="500"/>
      <c r="V48" s="291"/>
    </row>
    <row r="49" spans="1:22" s="360" customFormat="1">
      <c r="A49" s="359">
        <v>47</v>
      </c>
      <c r="B49" s="607" t="str">
        <f>+VLOOKUP($A49,Master!$D$30:$G$226,4,FALSE)</f>
        <v>Rezerve</v>
      </c>
      <c r="C49" s="608"/>
      <c r="D49" s="608"/>
      <c r="E49" s="608"/>
      <c r="F49" s="608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3">
        <f t="shared" si="3"/>
        <v>0.43051161243321917</v>
      </c>
      <c r="U49" s="500"/>
      <c r="V49" s="291"/>
    </row>
    <row r="50" spans="1:22" ht="13.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3">
        <f t="shared" si="3"/>
        <v>8.6255065544361756E-3</v>
      </c>
      <c r="U50" s="500"/>
      <c r="V50" s="291"/>
    </row>
    <row r="51" spans="1:22" ht="13.5" thickBot="1">
      <c r="A51" s="144">
        <v>4630</v>
      </c>
      <c r="B51" s="609" t="str">
        <f>+VLOOKUP($A51,Master!$D$30:$G$226,4,TRUE)</f>
        <v>Otplata obaveza iz prethodnog perioda</v>
      </c>
      <c r="C51" s="610"/>
      <c r="D51" s="610"/>
      <c r="E51" s="610"/>
      <c r="F51" s="610"/>
      <c r="G51" s="457">
        <v>17529055.329999998</v>
      </c>
      <c r="H51" s="457">
        <v>3946389.9</v>
      </c>
      <c r="I51" s="457">
        <v>2323374.4</v>
      </c>
      <c r="J51" s="457">
        <v>1211074.6399999999</v>
      </c>
      <c r="K51" s="457">
        <v>1145121.3300000003</v>
      </c>
      <c r="L51" s="457">
        <v>1002974.65</v>
      </c>
      <c r="M51" s="457">
        <v>2058810.46</v>
      </c>
      <c r="N51" s="457">
        <v>791334.30999999994</v>
      </c>
      <c r="O51" s="457">
        <v>1107049.1300000001</v>
      </c>
      <c r="P51" s="457">
        <v>847453.94</v>
      </c>
      <c r="Q51" s="457">
        <v>1242288.18</v>
      </c>
      <c r="R51" s="457">
        <v>2171719.34</v>
      </c>
      <c r="S51" s="424">
        <f>+SUM(G51:R51)</f>
        <v>35376645.609999999</v>
      </c>
      <c r="T51" s="467">
        <f t="shared" si="3"/>
        <v>0.61028297716604152</v>
      </c>
      <c r="U51" s="500"/>
      <c r="V51" s="291"/>
    </row>
    <row r="52" spans="1:22" ht="13.5" thickBot="1">
      <c r="A52" s="70">
        <v>1005</v>
      </c>
      <c r="B52" s="611" t="str">
        <f>+VLOOKUP($A52,Master!$D$30:$G$228,4,FALSE)</f>
        <v>Neto povećanje obaveza</v>
      </c>
      <c r="C52" s="612"/>
      <c r="D52" s="612"/>
      <c r="E52" s="612"/>
      <c r="F52" s="612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  <c r="V52" s="291"/>
    </row>
    <row r="53" spans="1:22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9">+G10-G29</f>
        <v>-32762277.659999982</v>
      </c>
      <c r="H53" s="151">
        <f t="shared" si="9"/>
        <v>-27602265.75000003</v>
      </c>
      <c r="I53" s="151">
        <f t="shared" si="9"/>
        <v>32117481.950000018</v>
      </c>
      <c r="J53" s="151">
        <f t="shared" si="9"/>
        <v>-20821364.709999889</v>
      </c>
      <c r="K53" s="151">
        <f t="shared" si="9"/>
        <v>8021418.4899999797</v>
      </c>
      <c r="L53" s="151">
        <f t="shared" si="9"/>
        <v>-20134132.590000004</v>
      </c>
      <c r="M53" s="151">
        <f t="shared" si="9"/>
        <v>-12664392.450000018</v>
      </c>
      <c r="N53" s="151">
        <f t="shared" si="9"/>
        <v>36087287.229999959</v>
      </c>
      <c r="O53" s="151">
        <f t="shared" si="9"/>
        <v>-11833782.209999979</v>
      </c>
      <c r="P53" s="151">
        <f t="shared" si="9"/>
        <v>-20233038.789999992</v>
      </c>
      <c r="Q53" s="151">
        <f t="shared" si="9"/>
        <v>-38891745.929999977</v>
      </c>
      <c r="R53" s="151">
        <f t="shared" si="9"/>
        <v>-149662579.66000003</v>
      </c>
      <c r="S53" s="248">
        <f>SUM(G53:R53)</f>
        <v>-258379392.07999992</v>
      </c>
      <c r="T53" s="469">
        <f t="shared" si="3"/>
        <v>-4.4573062798345475</v>
      </c>
      <c r="V53" s="291"/>
    </row>
    <row r="54" spans="1:22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10">+G53+G36</f>
        <v>-28907515.409999982</v>
      </c>
      <c r="H54" s="205">
        <f t="shared" si="10"/>
        <v>-26331921.560000028</v>
      </c>
      <c r="I54" s="205">
        <f t="shared" si="10"/>
        <v>33066564.510000017</v>
      </c>
      <c r="J54" s="205">
        <f t="shared" si="10"/>
        <v>6374256.3600001112</v>
      </c>
      <c r="K54" s="205">
        <f t="shared" si="10"/>
        <v>12609892.269999981</v>
      </c>
      <c r="L54" s="205">
        <f t="shared" si="10"/>
        <v>-18917333.560000002</v>
      </c>
      <c r="M54" s="205">
        <f t="shared" si="10"/>
        <v>-8880329.6300000176</v>
      </c>
      <c r="N54" s="205">
        <f t="shared" si="10"/>
        <v>37418351.809999958</v>
      </c>
      <c r="O54" s="205">
        <f t="shared" si="10"/>
        <v>1730750.6200000215</v>
      </c>
      <c r="P54" s="205">
        <f t="shared" si="10"/>
        <v>-19385906.50999999</v>
      </c>
      <c r="Q54" s="205">
        <f t="shared" si="10"/>
        <v>-28643270.389999978</v>
      </c>
      <c r="R54" s="205">
        <f t="shared" si="10"/>
        <v>-126556970.69000003</v>
      </c>
      <c r="S54" s="248">
        <f t="shared" si="4"/>
        <v>-166423432.17999995</v>
      </c>
      <c r="T54" s="469">
        <f t="shared" si="3"/>
        <v>-2.8709728101607079</v>
      </c>
      <c r="V54" s="291"/>
    </row>
    <row r="55" spans="1:22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0">
        <f t="shared" si="3"/>
        <v>5.0299933562898316</v>
      </c>
      <c r="V55" s="291"/>
    </row>
    <row r="56" spans="1:22">
      <c r="A56" s="144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1">
        <f t="shared" si="3"/>
        <v>0.69906907892183234</v>
      </c>
      <c r="V56" s="291"/>
    </row>
    <row r="57" spans="1:22" ht="13.5" thickBot="1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1">
        <f t="shared" si="3"/>
        <v>4.3309242773679983</v>
      </c>
      <c r="V57" s="291"/>
    </row>
    <row r="58" spans="1:22" ht="13.5" thickBot="1">
      <c r="A58" s="144">
        <v>4418</v>
      </c>
      <c r="B58" s="532" t="str">
        <f>+VLOOKUP($A58,Master!$D$30:$G$226,4,FALSE)</f>
        <v>Izdaci za kupovinu hartija od vrijednosti</v>
      </c>
      <c r="C58" s="533"/>
      <c r="D58" s="533"/>
      <c r="E58" s="533"/>
      <c r="F58" s="533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14999998.93</v>
      </c>
      <c r="P58" s="459">
        <v>0</v>
      </c>
      <c r="Q58" s="459">
        <v>572321.46</v>
      </c>
      <c r="R58" s="459">
        <v>12120441.43</v>
      </c>
      <c r="S58" s="249">
        <f>SUM(G58:R58)</f>
        <v>27692761.82</v>
      </c>
      <c r="T58" s="472">
        <f t="shared" si="3"/>
        <v>0.47772819717769976</v>
      </c>
      <c r="V58" s="291"/>
    </row>
    <row r="59" spans="1:22" ht="13.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217">
        <f>+G53-G55-G58</f>
        <v>-61193536.62999998</v>
      </c>
      <c r="H59" s="217">
        <f t="shared" ref="H59:R59" si="12">+H53-H55-H58</f>
        <v>-41811266.880000032</v>
      </c>
      <c r="I59" s="217">
        <f t="shared" si="12"/>
        <v>20445798.960000016</v>
      </c>
      <c r="J59" s="217">
        <f t="shared" si="12"/>
        <v>-78295590.339999884</v>
      </c>
      <c r="K59" s="217">
        <f t="shared" si="12"/>
        <v>-31060567.660000019</v>
      </c>
      <c r="L59" s="217">
        <f t="shared" si="12"/>
        <v>-31762309.160000004</v>
      </c>
      <c r="M59" s="217">
        <f t="shared" si="12"/>
        <v>-43064001.87000002</v>
      </c>
      <c r="N59" s="217">
        <f t="shared" si="12"/>
        <v>22141819.79999996</v>
      </c>
      <c r="O59" s="217">
        <f t="shared" si="12"/>
        <v>-36893096.139999978</v>
      </c>
      <c r="P59" s="217">
        <f t="shared" si="12"/>
        <v>-26291318.86999999</v>
      </c>
      <c r="Q59" s="217">
        <f t="shared" si="12"/>
        <v>-96656031.309999973</v>
      </c>
      <c r="R59" s="217">
        <f t="shared" si="12"/>
        <v>-173208746.98000002</v>
      </c>
      <c r="S59" s="251">
        <f t="shared" si="4"/>
        <v>-577648847.07999992</v>
      </c>
      <c r="T59" s="473">
        <f t="shared" si="3"/>
        <v>-9.965027833302079</v>
      </c>
      <c r="V59" s="291"/>
    </row>
    <row r="60" spans="1:22" ht="13.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+SUM(G61:G64)</f>
        <v>61193536.62999998</v>
      </c>
      <c r="H60" s="151">
        <f t="shared" ref="H60:R60" si="13">+SUM(H61:H64)</f>
        <v>41811266.880000032</v>
      </c>
      <c r="I60" s="151">
        <f t="shared" si="13"/>
        <v>-20445798.960000016</v>
      </c>
      <c r="J60" s="151">
        <f t="shared" si="13"/>
        <v>78295590.339999884</v>
      </c>
      <c r="K60" s="151">
        <f t="shared" si="13"/>
        <v>31060567.660000019</v>
      </c>
      <c r="L60" s="151">
        <f t="shared" si="13"/>
        <v>31762309.160000004</v>
      </c>
      <c r="M60" s="151">
        <f t="shared" si="13"/>
        <v>43064001.87000002</v>
      </c>
      <c r="N60" s="151">
        <f t="shared" si="13"/>
        <v>-22141819.79999996</v>
      </c>
      <c r="O60" s="151">
        <f t="shared" si="13"/>
        <v>36893096.139999978</v>
      </c>
      <c r="P60" s="151">
        <f t="shared" si="13"/>
        <v>26291318.86999999</v>
      </c>
      <c r="Q60" s="151">
        <f t="shared" si="13"/>
        <v>96656031.309999973</v>
      </c>
      <c r="R60" s="151">
        <f t="shared" si="13"/>
        <v>173208746.98000002</v>
      </c>
      <c r="S60" s="252">
        <f t="shared" si="4"/>
        <v>577648847.07999992</v>
      </c>
      <c r="T60" s="474">
        <f t="shared" si="3"/>
        <v>9.965027833302079</v>
      </c>
      <c r="V60" s="291"/>
    </row>
    <row r="61" spans="1:22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52000000</v>
      </c>
      <c r="R61" s="211">
        <v>53000000</v>
      </c>
      <c r="S61" s="250">
        <f t="shared" si="4"/>
        <v>105000000</v>
      </c>
      <c r="T61" s="471">
        <f t="shared" si="3"/>
        <v>1.8113563764315967</v>
      </c>
      <c r="V61" s="291"/>
    </row>
    <row r="62" spans="1:22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211">
        <v>17854744.760000002</v>
      </c>
      <c r="H62" s="211">
        <v>11882727.800000001</v>
      </c>
      <c r="I62" s="211">
        <v>1402734.23</v>
      </c>
      <c r="J62" s="211">
        <v>8517591.6899999995</v>
      </c>
      <c r="K62" s="211">
        <v>11751788.779999999</v>
      </c>
      <c r="L62" s="211">
        <v>22366566.559999999</v>
      </c>
      <c r="M62" s="211">
        <v>8724081.3399999999</v>
      </c>
      <c r="N62" s="211">
        <v>15376543.26</v>
      </c>
      <c r="O62" s="211">
        <v>2997713.2</v>
      </c>
      <c r="P62" s="211">
        <v>885932.07</v>
      </c>
      <c r="Q62" s="211">
        <v>1836259.97</v>
      </c>
      <c r="R62" s="211">
        <v>7590650.9500000002</v>
      </c>
      <c r="S62" s="250">
        <f t="shared" si="4"/>
        <v>111187334.61000001</v>
      </c>
      <c r="T62" s="471">
        <f t="shared" si="3"/>
        <v>1.9180941668976867</v>
      </c>
      <c r="V62" s="291"/>
    </row>
    <row r="63" spans="1:22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211">
        <v>710212.98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243495.38999999998</v>
      </c>
      <c r="M63" s="211">
        <v>209628.7</v>
      </c>
      <c r="N63" s="211">
        <v>313064.5</v>
      </c>
      <c r="O63" s="211">
        <v>705089.56</v>
      </c>
      <c r="P63" s="211">
        <v>574867.06000000006</v>
      </c>
      <c r="Q63" s="211">
        <v>363375.9</v>
      </c>
      <c r="R63" s="211">
        <v>148667.54</v>
      </c>
      <c r="S63" s="250">
        <f t="shared" si="4"/>
        <v>4515414.7</v>
      </c>
      <c r="T63" s="471">
        <f t="shared" si="3"/>
        <v>7.7895478181694913E-2</v>
      </c>
      <c r="V63" s="29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42628578.889999978</v>
      </c>
      <c r="H64" s="225">
        <f t="shared" ref="H64:L64" si="14">-H59-SUM(H61:H63)</f>
        <v>29857999.860000029</v>
      </c>
      <c r="I64" s="225">
        <f t="shared" si="14"/>
        <v>-22232325.670000017</v>
      </c>
      <c r="J64" s="225">
        <f t="shared" si="14"/>
        <v>69011730.909999877</v>
      </c>
      <c r="K64" s="225">
        <f t="shared" si="14"/>
        <v>19282365.250000019</v>
      </c>
      <c r="L64" s="225">
        <f t="shared" si="14"/>
        <v>9152247.2100000046</v>
      </c>
      <c r="M64" s="225">
        <f t="shared" ref="M64:R64" si="15">-M59-SUM(M61:M63)</f>
        <v>34130291.830000021</v>
      </c>
      <c r="N64" s="225">
        <f t="shared" si="15"/>
        <v>-37831427.559999958</v>
      </c>
      <c r="O64" s="225">
        <f t="shared" si="15"/>
        <v>33190293.379999977</v>
      </c>
      <c r="P64" s="225">
        <f t="shared" si="15"/>
        <v>24830519.739999991</v>
      </c>
      <c r="Q64" s="225">
        <f t="shared" si="15"/>
        <v>42456395.439999975</v>
      </c>
      <c r="R64" s="225">
        <f t="shared" si="15"/>
        <v>112469428.49000001</v>
      </c>
      <c r="S64" s="253">
        <f>+SUM(G64:R64)</f>
        <v>356946097.76999986</v>
      </c>
      <c r="T64" s="475">
        <f t="shared" si="3"/>
        <v>6.1576818117911003</v>
      </c>
      <c r="V64" s="291"/>
    </row>
    <row r="65" spans="7:22">
      <c r="R65" s="312"/>
      <c r="V65" s="291"/>
    </row>
    <row r="66" spans="7:22">
      <c r="V66" s="291"/>
    </row>
    <row r="67" spans="7:22" hidden="1">
      <c r="G67" s="311"/>
      <c r="V67" s="291"/>
    </row>
    <row r="68" spans="7:22" ht="9" hidden="1" customHeight="1">
      <c r="V68" s="291"/>
    </row>
    <row r="69" spans="7:22" hidden="1">
      <c r="V69" s="291"/>
    </row>
    <row r="70" spans="7:22" hidden="1">
      <c r="V70" s="291"/>
    </row>
    <row r="71" spans="7:22" hidden="1">
      <c r="V71" s="291"/>
    </row>
    <row r="72" spans="7:22" hidden="1">
      <c r="V72" s="291"/>
    </row>
    <row r="73" spans="7:22" hidden="1">
      <c r="V73" s="291"/>
    </row>
    <row r="74" spans="7:22" hidden="1">
      <c r="V74" s="291"/>
    </row>
    <row r="75" spans="7:22">
      <c r="V75" s="291"/>
    </row>
    <row r="77" spans="7:22">
      <c r="Q77" s="311"/>
    </row>
    <row r="79" spans="7:22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2" ht="13.5" thickBot="1">
      <c r="G80" s="68" t="str">
        <f t="shared" ref="G80:R80" si="16">+CONCATENATE(G6,"p")</f>
        <v>2022-01p</v>
      </c>
      <c r="H80" s="68" t="str">
        <f t="shared" si="16"/>
        <v>2022-02p</v>
      </c>
      <c r="I80" s="68" t="str">
        <f t="shared" si="16"/>
        <v>2022-03p</v>
      </c>
      <c r="J80" s="68" t="str">
        <f t="shared" si="16"/>
        <v>2022-04p</v>
      </c>
      <c r="K80" s="68" t="str">
        <f t="shared" si="16"/>
        <v>2022-05p</v>
      </c>
      <c r="L80" s="68" t="str">
        <f t="shared" si="16"/>
        <v>2022-06p</v>
      </c>
      <c r="M80" s="68" t="str">
        <f t="shared" si="16"/>
        <v>2022-07p</v>
      </c>
      <c r="N80" s="68" t="str">
        <f t="shared" si="16"/>
        <v>2022-08p</v>
      </c>
      <c r="O80" s="68" t="str">
        <f t="shared" si="16"/>
        <v>2022-09p</v>
      </c>
      <c r="P80" s="68" t="str">
        <f t="shared" si="16"/>
        <v>2022-10p</v>
      </c>
      <c r="Q80" s="68" t="str">
        <f t="shared" si="16"/>
        <v>2022-11p</v>
      </c>
      <c r="R80" s="68" t="str">
        <f t="shared" si="16"/>
        <v>2022-12p</v>
      </c>
    </row>
    <row r="81" spans="1:26" ht="15.75" customHeight="1" thickBot="1">
      <c r="B81" s="596" t="str">
        <f>+Master!G253</f>
        <v>Plan ostvarenja budžeta</v>
      </c>
      <c r="C81" s="597"/>
      <c r="D81" s="597"/>
      <c r="E81" s="597"/>
      <c r="F81" s="597"/>
      <c r="G81" s="604">
        <v>2022</v>
      </c>
      <c r="H81" s="605"/>
      <c r="I81" s="605"/>
      <c r="J81" s="605"/>
      <c r="K81" s="605"/>
      <c r="L81" s="605"/>
      <c r="M81" s="605"/>
      <c r="N81" s="605"/>
      <c r="O81" s="605"/>
      <c r="P81" s="605"/>
      <c r="Q81" s="605"/>
      <c r="R81" s="606"/>
      <c r="S81" s="107" t="str">
        <f>+S7</f>
        <v>BDP</v>
      </c>
      <c r="T81" s="108">
        <v>5700400000</v>
      </c>
    </row>
    <row r="82" spans="1:26" ht="15.75" customHeight="1">
      <c r="B82" s="598"/>
      <c r="C82" s="599"/>
      <c r="D82" s="599"/>
      <c r="E82" s="599"/>
      <c r="F82" s="600"/>
      <c r="G82" s="71" t="str">
        <f t="shared" ref="G82:R82" si="17">+G8</f>
        <v>Januar</v>
      </c>
      <c r="H82" s="71" t="str">
        <f t="shared" si="17"/>
        <v>Februar</v>
      </c>
      <c r="I82" s="71" t="str">
        <f t="shared" si="17"/>
        <v>Mart</v>
      </c>
      <c r="J82" s="71" t="str">
        <f t="shared" si="17"/>
        <v>April</v>
      </c>
      <c r="K82" s="71" t="str">
        <f t="shared" si="17"/>
        <v>Maj</v>
      </c>
      <c r="L82" s="71" t="str">
        <f t="shared" si="17"/>
        <v>Jun</v>
      </c>
      <c r="M82" s="71" t="str">
        <f t="shared" si="17"/>
        <v>Jul</v>
      </c>
      <c r="N82" s="71" t="str">
        <f t="shared" si="17"/>
        <v>Avgust</v>
      </c>
      <c r="O82" s="71" t="str">
        <f t="shared" si="17"/>
        <v>Septembar</v>
      </c>
      <c r="P82" s="71" t="str">
        <f t="shared" si="17"/>
        <v>Oktobar</v>
      </c>
      <c r="Q82" s="71" t="str">
        <f t="shared" si="17"/>
        <v>Novembar</v>
      </c>
      <c r="R82" s="71" t="str">
        <f t="shared" si="17"/>
        <v>Decembar</v>
      </c>
      <c r="S82" s="604" t="str">
        <f>+Master!G247</f>
        <v>Jan - Dec</v>
      </c>
      <c r="T82" s="606">
        <f>+T8</f>
        <v>0</v>
      </c>
    </row>
    <row r="83" spans="1:26" ht="13.5" thickBot="1">
      <c r="B83" s="601"/>
      <c r="C83" s="602"/>
      <c r="D83" s="602"/>
      <c r="E83" s="602"/>
      <c r="F83" s="603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6" ht="13.5" thickBot="1">
      <c r="A84" s="116" t="str">
        <f t="shared" ref="A84:A138" si="18">+CONCATENATE(A10,"p")</f>
        <v>7p</v>
      </c>
      <c r="B84" s="570" t="str">
        <f>+VLOOKUP(LEFT($A84,LEN(A84)-1)*1,Master!$D$30:$G$226,4,FALSE)</f>
        <v>Prihodi budžeta</v>
      </c>
      <c r="C84" s="571"/>
      <c r="D84" s="571"/>
      <c r="E84" s="571"/>
      <c r="F84" s="571"/>
      <c r="G84" s="93">
        <f t="shared" ref="G84:Q84" si="19">+G85+G93+SUM(G98:G102)</f>
        <v>107815206.69999999</v>
      </c>
      <c r="H84" s="93">
        <f t="shared" si="19"/>
        <v>124649774.65000001</v>
      </c>
      <c r="I84" s="93">
        <f t="shared" si="19"/>
        <v>184180987.21000001</v>
      </c>
      <c r="J84" s="93">
        <f t="shared" si="19"/>
        <v>181957324.32000002</v>
      </c>
      <c r="K84" s="93">
        <f t="shared" si="19"/>
        <v>154730235.27000001</v>
      </c>
      <c r="L84" s="93">
        <f t="shared" si="19"/>
        <v>169061326.09000003</v>
      </c>
      <c r="M84" s="93">
        <f t="shared" si="19"/>
        <v>165802775.70999998</v>
      </c>
      <c r="N84" s="93">
        <f t="shared" si="19"/>
        <v>194390474.26999995</v>
      </c>
      <c r="O84" s="93">
        <f t="shared" si="19"/>
        <v>175603806.03</v>
      </c>
      <c r="P84" s="93">
        <f t="shared" si="19"/>
        <v>140445093.07000002</v>
      </c>
      <c r="Q84" s="93">
        <f t="shared" si="19"/>
        <v>136281404.65000004</v>
      </c>
      <c r="R84" s="93">
        <f>+R85+R93+SUM(R98:R102)</f>
        <v>196108732.88999999</v>
      </c>
      <c r="S84" s="452">
        <f>+SUM(G84:R84)</f>
        <v>1931027140.8600001</v>
      </c>
      <c r="T84" s="476">
        <f>+S84/$T$81*100</f>
        <v>33.875291924426357</v>
      </c>
      <c r="U84" s="258"/>
    </row>
    <row r="85" spans="1:26">
      <c r="A85" s="116" t="str">
        <f t="shared" si="18"/>
        <v>711p</v>
      </c>
      <c r="B85" s="594" t="str">
        <f>+VLOOKUP(LEFT($A85,LEN(A85)-1)*1,Master!$D$30:$G$226,4,FALSE)</f>
        <v>Porezi</v>
      </c>
      <c r="C85" s="595"/>
      <c r="D85" s="595"/>
      <c r="E85" s="595"/>
      <c r="F85" s="595"/>
      <c r="G85" s="79">
        <f t="shared" ref="G85:R85" si="20">+SUM(G86:G92)</f>
        <v>80559495.530000001</v>
      </c>
      <c r="H85" s="79">
        <f t="shared" si="20"/>
        <v>83215985.099999994</v>
      </c>
      <c r="I85" s="79">
        <f t="shared" si="20"/>
        <v>136363333.32000002</v>
      </c>
      <c r="J85" s="79">
        <f t="shared" si="20"/>
        <v>133978505.54000001</v>
      </c>
      <c r="K85" s="79">
        <f t="shared" si="20"/>
        <v>112630389.3</v>
      </c>
      <c r="L85" s="79">
        <f t="shared" si="20"/>
        <v>115551273.18000002</v>
      </c>
      <c r="M85" s="79">
        <f t="shared" si="20"/>
        <v>118591394.48</v>
      </c>
      <c r="N85" s="79">
        <f t="shared" si="20"/>
        <v>138239036.15999997</v>
      </c>
      <c r="O85" s="79">
        <f t="shared" si="20"/>
        <v>121261181.33999999</v>
      </c>
      <c r="P85" s="79">
        <f t="shared" si="20"/>
        <v>82469774.326666653</v>
      </c>
      <c r="Q85" s="79">
        <f t="shared" si="20"/>
        <v>76569750.026666671</v>
      </c>
      <c r="R85" s="80">
        <f t="shared" si="20"/>
        <v>98169750.026666671</v>
      </c>
      <c r="S85" s="111">
        <f t="shared" ref="S85:S137" si="21">+SUM(G85:R85)</f>
        <v>1297599868.3300002</v>
      </c>
      <c r="T85" s="462">
        <f t="shared" ref="T85:T138" si="22">+S85/$T$81*100</f>
        <v>22.763312545259986</v>
      </c>
      <c r="V85" s="311"/>
    </row>
    <row r="86" spans="1:26">
      <c r="A86" s="116" t="str">
        <f t="shared" si="18"/>
        <v>7111p</v>
      </c>
      <c r="B86" s="586" t="str">
        <f>+VLOOKUP(LEFT($A86,LEN(A86)-1)*1,Master!$D$30:$G$229,4,FALSE)</f>
        <v>Porez na dohodak fizičkih lica</v>
      </c>
      <c r="C86" s="587"/>
      <c r="D86" s="587"/>
      <c r="E86" s="587"/>
      <c r="F86" s="587"/>
      <c r="G86" s="87">
        <v>6139790.5700000003</v>
      </c>
      <c r="H86" s="87">
        <v>7672775.8099999996</v>
      </c>
      <c r="I86" s="87">
        <v>6664350.6399999997</v>
      </c>
      <c r="J86" s="87">
        <v>8050769.3899999997</v>
      </c>
      <c r="K86" s="87">
        <v>8176244.7699999996</v>
      </c>
      <c r="L86" s="87">
        <v>7322347.5800000001</v>
      </c>
      <c r="M86" s="87">
        <v>8156090.4900000002</v>
      </c>
      <c r="N86" s="87">
        <v>7377958</v>
      </c>
      <c r="O86" s="87">
        <v>5598868.9900000002</v>
      </c>
      <c r="P86" s="87">
        <v>7376898.6899999995</v>
      </c>
      <c r="Q86" s="87">
        <v>6576898.6899999995</v>
      </c>
      <c r="R86" s="87">
        <v>15676898.689999999</v>
      </c>
      <c r="S86" s="112">
        <f t="shared" si="21"/>
        <v>94789892.310000002</v>
      </c>
      <c r="T86" s="463">
        <f t="shared" si="22"/>
        <v>1.6628638746403763</v>
      </c>
      <c r="V86" s="311"/>
    </row>
    <row r="87" spans="1:26">
      <c r="A87" s="116" t="str">
        <f t="shared" si="18"/>
        <v>7112p</v>
      </c>
      <c r="B87" s="586" t="str">
        <f>+VLOOKUP(LEFT($A87,LEN(A87)-1)*1,Master!$D$30:$G$229,4,FALSE)</f>
        <v>Porez na dobit pravnih lica</v>
      </c>
      <c r="C87" s="587"/>
      <c r="D87" s="587"/>
      <c r="E87" s="587"/>
      <c r="F87" s="587"/>
      <c r="G87" s="87">
        <v>395935.5</v>
      </c>
      <c r="H87" s="87">
        <v>2173083.29</v>
      </c>
      <c r="I87" s="87">
        <v>38679260.32</v>
      </c>
      <c r="J87" s="87">
        <v>28771681.68</v>
      </c>
      <c r="K87" s="87">
        <v>2149499.0699999998</v>
      </c>
      <c r="L87" s="87">
        <v>3024620.31</v>
      </c>
      <c r="M87" s="87">
        <v>1873254.93</v>
      </c>
      <c r="N87" s="87">
        <v>2349199.71</v>
      </c>
      <c r="O87" s="87">
        <v>2622669.34</v>
      </c>
      <c r="P87" s="87">
        <v>448381.46333333803</v>
      </c>
      <c r="Q87" s="87">
        <v>348381.46333333803</v>
      </c>
      <c r="R87" s="87">
        <v>1448381.463333338</v>
      </c>
      <c r="S87" s="112">
        <f t="shared" si="21"/>
        <v>84284348.540000007</v>
      </c>
      <c r="T87" s="463">
        <f t="shared" si="22"/>
        <v>1.4785690221738825</v>
      </c>
      <c r="V87" s="311"/>
    </row>
    <row r="88" spans="1:26">
      <c r="A88" s="116" t="str">
        <f t="shared" si="18"/>
        <v>7113p</v>
      </c>
      <c r="B88" s="586" t="str">
        <f>+VLOOKUP(LEFT($A88,LEN(A88)-1)*1,Master!$D$30:$G$229,4,FALSE)</f>
        <v>Porez na promet nepokretnosti</v>
      </c>
      <c r="C88" s="587"/>
      <c r="D88" s="587"/>
      <c r="E88" s="587"/>
      <c r="F88" s="587"/>
      <c r="G88" s="87">
        <v>146340.34</v>
      </c>
      <c r="H88" s="87">
        <v>168193.65</v>
      </c>
      <c r="I88" s="87">
        <v>233459.66</v>
      </c>
      <c r="J88" s="87">
        <v>245580.28</v>
      </c>
      <c r="K88" s="87">
        <v>189584.64000000001</v>
      </c>
      <c r="L88" s="87">
        <v>263126.03999999998</v>
      </c>
      <c r="M88" s="87">
        <v>180172.4</v>
      </c>
      <c r="N88" s="87">
        <v>55084.76</v>
      </c>
      <c r="O88" s="87">
        <v>0</v>
      </c>
      <c r="P88" s="87">
        <v>24.3</v>
      </c>
      <c r="Q88" s="87">
        <v>0</v>
      </c>
      <c r="R88" s="87">
        <v>0</v>
      </c>
      <c r="S88" s="112">
        <f t="shared" si="21"/>
        <v>1481566.07</v>
      </c>
      <c r="T88" s="463">
        <f t="shared" si="22"/>
        <v>2.5990563293803944E-2</v>
      </c>
      <c r="V88" s="311"/>
    </row>
    <row r="89" spans="1:26">
      <c r="A89" s="116" t="str">
        <f t="shared" si="18"/>
        <v>7114p</v>
      </c>
      <c r="B89" s="586" t="str">
        <f>+VLOOKUP(LEFT($A89,LEN(A89)-1)*1,Master!$D$30:$G$229,4,FALSE)</f>
        <v>Porez na dodatu vrijednost</v>
      </c>
      <c r="C89" s="587"/>
      <c r="D89" s="587"/>
      <c r="E89" s="587"/>
      <c r="F89" s="587"/>
      <c r="G89" s="87">
        <v>50270008.859999999</v>
      </c>
      <c r="H89" s="87">
        <v>54121445.460000001</v>
      </c>
      <c r="I89" s="87">
        <v>67019753.909999996</v>
      </c>
      <c r="J89" s="87">
        <v>73487462.640000001</v>
      </c>
      <c r="K89" s="87">
        <v>76474660.090000004</v>
      </c>
      <c r="L89" s="87">
        <v>79678383.590000004</v>
      </c>
      <c r="M89" s="87">
        <v>83883709.769999996</v>
      </c>
      <c r="N89" s="87">
        <v>95638013.599999994</v>
      </c>
      <c r="O89" s="87">
        <v>84609670.859999999</v>
      </c>
      <c r="P89" s="87">
        <v>49878315.989999972</v>
      </c>
      <c r="Q89" s="87">
        <v>44878315.990000002</v>
      </c>
      <c r="R89" s="87">
        <v>54878315.990000002</v>
      </c>
      <c r="S89" s="112">
        <f t="shared" si="21"/>
        <v>814818056.75000012</v>
      </c>
      <c r="T89" s="463">
        <f t="shared" si="22"/>
        <v>14.294050535927305</v>
      </c>
      <c r="V89" s="311"/>
    </row>
    <row r="90" spans="1:26">
      <c r="A90" s="116" t="str">
        <f t="shared" si="18"/>
        <v>7115p</v>
      </c>
      <c r="B90" s="586" t="str">
        <f>+VLOOKUP(LEFT($A90,LEN(A90)-1)*1,Master!$D$30:$G$229,4,FALSE)</f>
        <v>Akcize</v>
      </c>
      <c r="C90" s="587"/>
      <c r="D90" s="587"/>
      <c r="E90" s="587"/>
      <c r="F90" s="587"/>
      <c r="G90" s="87">
        <v>21096875.199999999</v>
      </c>
      <c r="H90" s="87">
        <v>16062530.34</v>
      </c>
      <c r="I90" s="87">
        <v>19528829.140000001</v>
      </c>
      <c r="J90" s="87">
        <v>19259652.579999998</v>
      </c>
      <c r="K90" s="87">
        <v>21309575.899999999</v>
      </c>
      <c r="L90" s="87">
        <v>20484664.210000001</v>
      </c>
      <c r="M90" s="87">
        <v>19630528.800000001</v>
      </c>
      <c r="N90" s="87">
        <v>27418018.539999999</v>
      </c>
      <c r="O90" s="87">
        <v>23606498.559999999</v>
      </c>
      <c r="P90" s="87">
        <v>23617898.436666675</v>
      </c>
      <c r="Q90" s="87">
        <v>23617898.436666675</v>
      </c>
      <c r="R90" s="87">
        <v>25317898.436666675</v>
      </c>
      <c r="S90" s="112">
        <f t="shared" si="21"/>
        <v>260950868.58000001</v>
      </c>
      <c r="T90" s="463">
        <f t="shared" si="22"/>
        <v>4.577764167075995</v>
      </c>
      <c r="V90" s="311"/>
      <c r="X90" s="257"/>
      <c r="Y90" s="257"/>
      <c r="Z90" s="257"/>
    </row>
    <row r="91" spans="1:26">
      <c r="A91" s="116" t="str">
        <f t="shared" si="18"/>
        <v>7116p</v>
      </c>
      <c r="B91" s="586" t="str">
        <f>+VLOOKUP(LEFT($A91,LEN(A91)-1)*1,Master!$D$30:$G$229,4,FALSE)</f>
        <v>Porez na međunarodnu trgovinu i transakcije</v>
      </c>
      <c r="C91" s="587"/>
      <c r="D91" s="587"/>
      <c r="E91" s="587"/>
      <c r="F91" s="587"/>
      <c r="G91" s="87">
        <v>1689510.83</v>
      </c>
      <c r="H91" s="87">
        <v>2149003.6</v>
      </c>
      <c r="I91" s="87">
        <v>3284454.25</v>
      </c>
      <c r="J91" s="87">
        <v>3111315.33</v>
      </c>
      <c r="K91" s="87">
        <v>3394780.34</v>
      </c>
      <c r="L91" s="87">
        <v>3720198.33</v>
      </c>
      <c r="M91" s="87">
        <v>3648629.78</v>
      </c>
      <c r="N91" s="87">
        <v>4253554.42</v>
      </c>
      <c r="O91" s="87">
        <v>3769936.82</v>
      </c>
      <c r="P91" s="87">
        <v>215355.98999999961</v>
      </c>
      <c r="Q91" s="87">
        <v>215355.98999999961</v>
      </c>
      <c r="R91" s="87">
        <v>215355.98999999961</v>
      </c>
      <c r="S91" s="112">
        <f t="shared" si="21"/>
        <v>29667451.669999998</v>
      </c>
      <c r="T91" s="463">
        <f t="shared" si="22"/>
        <v>0.52044508578345383</v>
      </c>
      <c r="V91" s="311"/>
    </row>
    <row r="92" spans="1:26">
      <c r="A92" s="116" t="str">
        <f t="shared" si="18"/>
        <v>7118p</v>
      </c>
      <c r="B92" s="586" t="str">
        <f>+VLOOKUP(LEFT($A92,LEN(A92)-1)*1,Master!$D$30:$G$229,4,FALSE)</f>
        <v>Ostali državni porezi</v>
      </c>
      <c r="C92" s="587"/>
      <c r="D92" s="587"/>
      <c r="E92" s="587"/>
      <c r="F92" s="587"/>
      <c r="G92" s="87">
        <v>821034.23</v>
      </c>
      <c r="H92" s="87">
        <v>868952.95</v>
      </c>
      <c r="I92" s="87">
        <v>953225.4</v>
      </c>
      <c r="J92" s="87">
        <v>1052043.6399999999</v>
      </c>
      <c r="K92" s="87">
        <v>936044.49</v>
      </c>
      <c r="L92" s="87">
        <v>1057933.1200000001</v>
      </c>
      <c r="M92" s="87">
        <v>1219008.31</v>
      </c>
      <c r="N92" s="87">
        <v>1147207.1299999999</v>
      </c>
      <c r="O92" s="87">
        <v>1053536.77</v>
      </c>
      <c r="P92" s="87">
        <v>932899.45666666597</v>
      </c>
      <c r="Q92" s="87">
        <v>932899.45666666597</v>
      </c>
      <c r="R92" s="87">
        <v>632899.45666666597</v>
      </c>
      <c r="S92" s="112">
        <f t="shared" si="21"/>
        <v>11607684.409999996</v>
      </c>
      <c r="T92" s="463">
        <f t="shared" si="22"/>
        <v>0.2036292963651673</v>
      </c>
      <c r="V92" s="311"/>
    </row>
    <row r="93" spans="1:26">
      <c r="A93" s="116" t="str">
        <f t="shared" si="18"/>
        <v>712p</v>
      </c>
      <c r="B93" s="592" t="str">
        <f>+VLOOKUP(LEFT($A93,LEN(A93)-1)*1,Master!$D$30:$G$229,4,FALSE)</f>
        <v>Doprinosi</v>
      </c>
      <c r="C93" s="593"/>
      <c r="D93" s="593"/>
      <c r="E93" s="593"/>
      <c r="F93" s="593"/>
      <c r="G93" s="81">
        <f>+SUM(G94:G97)</f>
        <v>11731802.159999998</v>
      </c>
      <c r="H93" s="81">
        <f t="shared" ref="H93:R93" si="23">+SUM(H94:H97)</f>
        <v>34984293.990000002</v>
      </c>
      <c r="I93" s="479">
        <f t="shared" si="23"/>
        <v>37056759.600000001</v>
      </c>
      <c r="J93" s="81">
        <f t="shared" si="23"/>
        <v>37592490.479999997</v>
      </c>
      <c r="K93" s="81">
        <f t="shared" si="23"/>
        <v>33463530.389999997</v>
      </c>
      <c r="L93" s="81">
        <f t="shared" si="23"/>
        <v>37796292.359999999</v>
      </c>
      <c r="M93" s="81">
        <f t="shared" si="23"/>
        <v>36710432.280000001</v>
      </c>
      <c r="N93" s="81">
        <f t="shared" si="23"/>
        <v>39015024.850000001</v>
      </c>
      <c r="O93" s="81">
        <f t="shared" si="23"/>
        <v>38998261.349999994</v>
      </c>
      <c r="P93" s="81">
        <f t="shared" si="23"/>
        <v>46105466.860000037</v>
      </c>
      <c r="Q93" s="81">
        <f t="shared" si="23"/>
        <v>45141802.740000039</v>
      </c>
      <c r="R93" s="82">
        <f t="shared" si="23"/>
        <v>79469130.979999989</v>
      </c>
      <c r="S93" s="113">
        <f t="shared" si="21"/>
        <v>478065288.03999996</v>
      </c>
      <c r="T93" s="464">
        <f t="shared" si="22"/>
        <v>8.3865217886464105</v>
      </c>
      <c r="V93" s="311"/>
    </row>
    <row r="94" spans="1:26">
      <c r="A94" s="116" t="str">
        <f t="shared" si="18"/>
        <v>7121p</v>
      </c>
      <c r="B94" s="586" t="str">
        <f>+VLOOKUP(LEFT($A94,LEN(A94)-1)*1,Master!$D$30:$G$229,4,FALSE)</f>
        <v>Doprinosi za penzijsko i invalidsko osiguranje</v>
      </c>
      <c r="C94" s="587"/>
      <c r="D94" s="587"/>
      <c r="E94" s="587"/>
      <c r="F94" s="587"/>
      <c r="G94" s="87">
        <v>7550452.8499999996</v>
      </c>
      <c r="H94" s="87">
        <v>24366605.109999999</v>
      </c>
      <c r="I94" s="87">
        <v>31891479.559999999</v>
      </c>
      <c r="J94" s="87">
        <v>32988975.75</v>
      </c>
      <c r="K94" s="87">
        <v>29598378.829999998</v>
      </c>
      <c r="L94" s="87">
        <v>33851315.109999999</v>
      </c>
      <c r="M94" s="87">
        <v>32996526.960000001</v>
      </c>
      <c r="N94" s="87">
        <v>35394821.75</v>
      </c>
      <c r="O94" s="87">
        <v>35762026.799999997</v>
      </c>
      <c r="P94" s="87">
        <v>41374533.736666702</v>
      </c>
      <c r="Q94" s="87">
        <v>40410869.616666704</v>
      </c>
      <c r="R94" s="87">
        <v>72638197.856666654</v>
      </c>
      <c r="S94" s="112">
        <f t="shared" si="21"/>
        <v>418824183.93000007</v>
      </c>
      <c r="T94" s="463">
        <f t="shared" si="22"/>
        <v>7.3472771021331846</v>
      </c>
      <c r="V94" s="311"/>
      <c r="W94" s="311"/>
    </row>
    <row r="95" spans="1:26">
      <c r="A95" s="116" t="str">
        <f t="shared" si="18"/>
        <v>7122p</v>
      </c>
      <c r="B95" s="586" t="str">
        <f>+VLOOKUP(LEFT($A95,LEN(A95)-1)*1,Master!$D$30:$G$229,4,FALSE)</f>
        <v>Doprinosi za zdravstveno osiguranje</v>
      </c>
      <c r="C95" s="587"/>
      <c r="D95" s="587"/>
      <c r="E95" s="587"/>
      <c r="F95" s="587"/>
      <c r="G95" s="87">
        <v>3618221.62</v>
      </c>
      <c r="H95" s="87">
        <v>8815681.4700000007</v>
      </c>
      <c r="I95" s="87">
        <v>2582574.44</v>
      </c>
      <c r="J95" s="87">
        <v>1899377.01</v>
      </c>
      <c r="K95" s="87">
        <v>1480944.7</v>
      </c>
      <c r="L95" s="87">
        <v>1150315.93</v>
      </c>
      <c r="M95" s="87">
        <v>951006.28</v>
      </c>
      <c r="N95" s="87">
        <v>823067.88</v>
      </c>
      <c r="O95" s="87">
        <v>668162.97</v>
      </c>
      <c r="P95" s="87">
        <v>162054.15333333486</v>
      </c>
      <c r="Q95" s="87">
        <v>162054.15333333501</v>
      </c>
      <c r="R95" s="87">
        <v>162054.15333333486</v>
      </c>
      <c r="S95" s="112">
        <f t="shared" si="21"/>
        <v>22475514.760000005</v>
      </c>
      <c r="T95" s="463">
        <f t="shared" si="22"/>
        <v>0.39427960774682491</v>
      </c>
      <c r="V95" s="311"/>
    </row>
    <row r="96" spans="1:26">
      <c r="A96" s="116" t="str">
        <f t="shared" si="18"/>
        <v>7123p</v>
      </c>
      <c r="B96" s="586" t="str">
        <f>+VLOOKUP(LEFT($A96,LEN(A96)-1)*1,Master!$D$30:$G$229,4,FALSE)</f>
        <v>Doprinosi za osiguranje od nezaposlenosti</v>
      </c>
      <c r="C96" s="587"/>
      <c r="D96" s="587"/>
      <c r="E96" s="587"/>
      <c r="F96" s="587"/>
      <c r="G96" s="87">
        <v>333527.59999999998</v>
      </c>
      <c r="H96" s="87">
        <v>1107968.99</v>
      </c>
      <c r="I96" s="87">
        <v>1459655.88</v>
      </c>
      <c r="J96" s="87">
        <v>1501790.24</v>
      </c>
      <c r="K96" s="87">
        <v>1379492.12</v>
      </c>
      <c r="L96" s="87">
        <v>1561408.27</v>
      </c>
      <c r="M96" s="87">
        <v>1571588.31</v>
      </c>
      <c r="N96" s="87">
        <v>1597593.61</v>
      </c>
      <c r="O96" s="87">
        <v>1507262.14</v>
      </c>
      <c r="P96" s="87">
        <v>2577754.3266666699</v>
      </c>
      <c r="Q96" s="87">
        <v>2677754.3266666699</v>
      </c>
      <c r="R96" s="87">
        <v>3377754.3266666699</v>
      </c>
      <c r="S96" s="112">
        <f t="shared" si="21"/>
        <v>20653550.140000008</v>
      </c>
      <c r="T96" s="463">
        <f t="shared" si="22"/>
        <v>0.36231755911865848</v>
      </c>
      <c r="V96" s="311"/>
    </row>
    <row r="97" spans="1:23">
      <c r="A97" s="116" t="str">
        <f t="shared" si="18"/>
        <v>7124p</v>
      </c>
      <c r="B97" s="586" t="str">
        <f>+VLOOKUP(LEFT($A97,LEN(A97)-1)*1,Master!$D$30:$G$229,4,FALSE)</f>
        <v>Ostali doprinosi</v>
      </c>
      <c r="C97" s="587"/>
      <c r="D97" s="587"/>
      <c r="E97" s="587"/>
      <c r="F97" s="587"/>
      <c r="G97" s="87">
        <v>229600.09</v>
      </c>
      <c r="H97" s="87">
        <v>694038.42</v>
      </c>
      <c r="I97" s="87">
        <v>1123049.72</v>
      </c>
      <c r="J97" s="87">
        <v>1202347.48</v>
      </c>
      <c r="K97" s="87">
        <v>1004714.74</v>
      </c>
      <c r="L97" s="87">
        <v>1233253.05</v>
      </c>
      <c r="M97" s="87">
        <v>1191310.73</v>
      </c>
      <c r="N97" s="87">
        <v>1199541.6100000001</v>
      </c>
      <c r="O97" s="87">
        <v>1060809.44</v>
      </c>
      <c r="P97" s="87">
        <v>1991124.6433333298</v>
      </c>
      <c r="Q97" s="87">
        <v>1891124.6433333298</v>
      </c>
      <c r="R97" s="87">
        <v>3291124.6433333298</v>
      </c>
      <c r="S97" s="112">
        <f t="shared" si="21"/>
        <v>16112039.209999993</v>
      </c>
      <c r="T97" s="463">
        <f t="shared" si="22"/>
        <v>0.28264751964774393</v>
      </c>
      <c r="V97" s="311"/>
    </row>
    <row r="98" spans="1:23">
      <c r="A98" s="116" t="str">
        <f t="shared" si="18"/>
        <v>713p</v>
      </c>
      <c r="B98" s="592" t="str">
        <f>+VLOOKUP(LEFT($A98,LEN(A98)-1)*1,Master!$D$30:$G$229,4,FALSE)</f>
        <v>Takse</v>
      </c>
      <c r="C98" s="593"/>
      <c r="D98" s="593"/>
      <c r="E98" s="593"/>
      <c r="F98" s="593"/>
      <c r="G98" s="83">
        <v>635258.53</v>
      </c>
      <c r="H98" s="83">
        <v>808672.01</v>
      </c>
      <c r="I98" s="83">
        <v>976895.25</v>
      </c>
      <c r="J98" s="83">
        <v>1014885.9700000001</v>
      </c>
      <c r="K98" s="83">
        <v>989967.5199999999</v>
      </c>
      <c r="L98" s="83">
        <v>1292686.0099999998</v>
      </c>
      <c r="M98" s="83">
        <v>1450241.7799999998</v>
      </c>
      <c r="N98" s="83">
        <v>1794328.3</v>
      </c>
      <c r="O98" s="83">
        <v>1183872.1599999999</v>
      </c>
      <c r="P98" s="83">
        <v>1076581.8733333331</v>
      </c>
      <c r="Q98" s="83">
        <v>876581.87333333003</v>
      </c>
      <c r="R98" s="83">
        <v>1276581.87333333</v>
      </c>
      <c r="S98" s="113">
        <f t="shared" si="21"/>
        <v>13376553.149999993</v>
      </c>
      <c r="T98" s="464">
        <f t="shared" si="22"/>
        <v>0.23465990369096892</v>
      </c>
      <c r="V98" s="311"/>
    </row>
    <row r="99" spans="1:23">
      <c r="A99" s="116" t="str">
        <f t="shared" si="18"/>
        <v>714p</v>
      </c>
      <c r="B99" s="592" t="str">
        <f>+VLOOKUP(LEFT($A99,LEN(A99)-1)*1,Master!$D$30:$G$229,4,FALSE)</f>
        <v>Naknade</v>
      </c>
      <c r="C99" s="593"/>
      <c r="D99" s="593"/>
      <c r="E99" s="593"/>
      <c r="F99" s="593"/>
      <c r="G99" s="83">
        <v>12538803.32</v>
      </c>
      <c r="H99" s="83">
        <v>2358745.7999999998</v>
      </c>
      <c r="I99" s="83">
        <v>2432089.7200000002</v>
      </c>
      <c r="J99" s="83">
        <v>3083781.29</v>
      </c>
      <c r="K99" s="83">
        <v>2678608.52</v>
      </c>
      <c r="L99" s="83">
        <v>4570368.01</v>
      </c>
      <c r="M99" s="83">
        <v>3736951.12</v>
      </c>
      <c r="N99" s="83">
        <v>3318573.4699999997</v>
      </c>
      <c r="O99" s="83">
        <v>9160845.5500000007</v>
      </c>
      <c r="P99" s="83">
        <v>3515025.5066666701</v>
      </c>
      <c r="Q99" s="83">
        <v>3115025.5066666701</v>
      </c>
      <c r="R99" s="83">
        <v>4215025.5066666696</v>
      </c>
      <c r="S99" s="113">
        <f t="shared" si="21"/>
        <v>54723843.32</v>
      </c>
      <c r="T99" s="464">
        <f t="shared" si="22"/>
        <v>0.96000005824152701</v>
      </c>
      <c r="V99" s="311"/>
    </row>
    <row r="100" spans="1:23">
      <c r="A100" s="116" t="str">
        <f t="shared" si="18"/>
        <v>715p</v>
      </c>
      <c r="B100" s="592" t="str">
        <f>+VLOOKUP(LEFT($A100,LEN(A100)-1)*1,Master!$D$30:$G$229,4,FALSE)</f>
        <v>Ostali prihodi</v>
      </c>
      <c r="C100" s="593"/>
      <c r="D100" s="593"/>
      <c r="E100" s="593"/>
      <c r="F100" s="593"/>
      <c r="G100" s="83">
        <v>1280630.6100000001</v>
      </c>
      <c r="H100" s="83">
        <v>1589565.7</v>
      </c>
      <c r="I100" s="83">
        <v>1733963.47</v>
      </c>
      <c r="J100" s="83">
        <v>3432683.27</v>
      </c>
      <c r="K100" s="83">
        <v>3422423.95</v>
      </c>
      <c r="L100" s="83">
        <v>2748963.77</v>
      </c>
      <c r="M100" s="83">
        <v>3152431.28</v>
      </c>
      <c r="N100" s="83">
        <v>3601917.47</v>
      </c>
      <c r="O100" s="83">
        <v>2166236.2000000002</v>
      </c>
      <c r="P100" s="83">
        <v>2305486.89</v>
      </c>
      <c r="Q100" s="83">
        <v>2005486.8900000001</v>
      </c>
      <c r="R100" s="83">
        <v>3205486.89</v>
      </c>
      <c r="S100" s="113">
        <f t="shared" si="21"/>
        <v>30645276.390000001</v>
      </c>
      <c r="T100" s="464">
        <f t="shared" si="22"/>
        <v>0.53759870167005819</v>
      </c>
      <c r="V100" s="311"/>
    </row>
    <row r="101" spans="1:23">
      <c r="A101" s="116" t="str">
        <f t="shared" si="18"/>
        <v>73p</v>
      </c>
      <c r="B101" s="592" t="str">
        <f>+VLOOKUP(LEFT($A101,LEN(A101)-1)*1,Master!$D$30:$G$229,4,FALSE)</f>
        <v>Primici od otplate kredita i sredstva prenesena iz prethodne godine</v>
      </c>
      <c r="C101" s="593"/>
      <c r="D101" s="593"/>
      <c r="E101" s="593"/>
      <c r="F101" s="593"/>
      <c r="G101" s="83">
        <v>124509.95</v>
      </c>
      <c r="H101" s="83">
        <v>574574.73</v>
      </c>
      <c r="I101" s="83">
        <v>672855.19</v>
      </c>
      <c r="J101" s="83">
        <v>750452.36</v>
      </c>
      <c r="K101" s="83">
        <v>894295.88</v>
      </c>
      <c r="L101" s="83">
        <v>3753999.56</v>
      </c>
      <c r="M101" s="83">
        <v>308101.69</v>
      </c>
      <c r="N101" s="83">
        <v>1524959.660000002</v>
      </c>
      <c r="O101" s="83">
        <v>1144155.6099999999</v>
      </c>
      <c r="P101" s="83">
        <v>0</v>
      </c>
      <c r="Q101" s="83">
        <v>0</v>
      </c>
      <c r="R101" s="83">
        <v>0</v>
      </c>
      <c r="S101" s="113">
        <f t="shared" si="21"/>
        <v>9747904.6300000027</v>
      </c>
      <c r="T101" s="464">
        <f t="shared" si="22"/>
        <v>0.17100387043014531</v>
      </c>
      <c r="V101" s="311"/>
      <c r="W101" s="311"/>
    </row>
    <row r="102" spans="1:23" ht="13.5" thickBot="1">
      <c r="A102" s="116" t="str">
        <f t="shared" si="18"/>
        <v>74p</v>
      </c>
      <c r="B102" s="588" t="str">
        <f>+VLOOKUP(LEFT($A102,LEN(A102)-1)*1,Master!$D$30:$G$229,4,FALSE)</f>
        <v>Donacije i transferi</v>
      </c>
      <c r="C102" s="589"/>
      <c r="D102" s="589"/>
      <c r="E102" s="589"/>
      <c r="F102" s="589"/>
      <c r="G102" s="83">
        <v>944706.6</v>
      </c>
      <c r="H102" s="83">
        <v>1117937.32</v>
      </c>
      <c r="I102" s="83">
        <v>4945090.66</v>
      </c>
      <c r="J102" s="83">
        <v>2104525.41</v>
      </c>
      <c r="K102" s="83">
        <v>651019.71</v>
      </c>
      <c r="L102" s="83">
        <v>3347743.2</v>
      </c>
      <c r="M102" s="83">
        <v>1853223.08</v>
      </c>
      <c r="N102" s="83">
        <v>6896634.3600000003</v>
      </c>
      <c r="O102" s="83">
        <v>1689253.82</v>
      </c>
      <c r="P102" s="83">
        <v>4972757.6133333296</v>
      </c>
      <c r="Q102" s="83">
        <v>8572757.6133333296</v>
      </c>
      <c r="R102" s="83">
        <v>9772757.6133333296</v>
      </c>
      <c r="S102" s="114">
        <f t="shared" si="21"/>
        <v>46868406.999999985</v>
      </c>
      <c r="T102" s="465">
        <f t="shared" si="22"/>
        <v>0.82219505648726388</v>
      </c>
      <c r="V102" s="311"/>
    </row>
    <row r="103" spans="1:23" ht="13.5" thickBot="1">
      <c r="A103" s="116" t="str">
        <f t="shared" si="18"/>
        <v>4p</v>
      </c>
      <c r="B103" s="570" t="str">
        <f>+VLOOKUP(LEFT($A103,LEN(A103)-1)*1,Master!$D$30:$G$229,4,FALSE)</f>
        <v>Izdaci budžeta</v>
      </c>
      <c r="C103" s="571"/>
      <c r="D103" s="571"/>
      <c r="E103" s="571"/>
      <c r="F103" s="571"/>
      <c r="G103" s="93">
        <f t="shared" ref="G103:R103" si="24">+G104+G114+G120+SUM(G121:G125)</f>
        <v>135523250.91000003</v>
      </c>
      <c r="H103" s="93">
        <f t="shared" si="24"/>
        <v>150834089.17000002</v>
      </c>
      <c r="I103" s="93">
        <f t="shared" si="24"/>
        <v>152224116.23999998</v>
      </c>
      <c r="J103" s="93">
        <f t="shared" si="24"/>
        <v>202240908.68999994</v>
      </c>
      <c r="K103" s="93">
        <f t="shared" si="24"/>
        <v>146275241.75</v>
      </c>
      <c r="L103" s="93">
        <f t="shared" si="24"/>
        <v>179868475.11000001</v>
      </c>
      <c r="M103" s="93">
        <f t="shared" si="24"/>
        <v>178564947.84</v>
      </c>
      <c r="N103" s="93">
        <f t="shared" si="24"/>
        <v>147040975.11000001</v>
      </c>
      <c r="O103" s="93">
        <f t="shared" si="24"/>
        <v>202134465.49000001</v>
      </c>
      <c r="P103" s="93">
        <f t="shared" si="24"/>
        <v>289006911.81666666</v>
      </c>
      <c r="Q103" s="93">
        <f t="shared" si="24"/>
        <v>289006911.81666666</v>
      </c>
      <c r="R103" s="93">
        <f t="shared" si="24"/>
        <v>311543750.08666664</v>
      </c>
      <c r="S103" s="450">
        <f>+SUM(G103:R103)</f>
        <v>2384264044.0300002</v>
      </c>
      <c r="T103" s="477">
        <f t="shared" si="22"/>
        <v>41.826258578871659</v>
      </c>
      <c r="V103" s="291"/>
    </row>
    <row r="104" spans="1:23">
      <c r="A104" s="116" t="str">
        <f t="shared" si="18"/>
        <v>41p</v>
      </c>
      <c r="B104" s="590" t="str">
        <f>+VLOOKUP(LEFT($A104,LEN(A104)-1)*1,Master!$D$30:$G$229,4,FALSE)</f>
        <v>Tekući izdaci</v>
      </c>
      <c r="C104" s="591"/>
      <c r="D104" s="591"/>
      <c r="E104" s="591"/>
      <c r="F104" s="591"/>
      <c r="G104" s="85">
        <f t="shared" ref="G104:R104" si="25">+SUM(G105:G113)</f>
        <v>50898622.75</v>
      </c>
      <c r="H104" s="85">
        <f t="shared" si="25"/>
        <v>61674016.410000004</v>
      </c>
      <c r="I104" s="85">
        <f t="shared" si="25"/>
        <v>59813922.179999992</v>
      </c>
      <c r="J104" s="85">
        <f t="shared" si="25"/>
        <v>96816184.329999983</v>
      </c>
      <c r="K104" s="85">
        <f t="shared" si="25"/>
        <v>58712954.390000008</v>
      </c>
      <c r="L104" s="85">
        <f t="shared" si="25"/>
        <v>71887625.940000013</v>
      </c>
      <c r="M104" s="85">
        <f t="shared" si="25"/>
        <v>67839356.109999999</v>
      </c>
      <c r="N104" s="85">
        <f t="shared" si="25"/>
        <v>64016075.760000005</v>
      </c>
      <c r="O104" s="85">
        <f t="shared" si="25"/>
        <v>80374470.550000012</v>
      </c>
      <c r="P104" s="85">
        <f t="shared" si="25"/>
        <v>107720251.61000003</v>
      </c>
      <c r="Q104" s="85">
        <f t="shared" si="25"/>
        <v>107720251.61000003</v>
      </c>
      <c r="R104" s="86">
        <f t="shared" si="25"/>
        <v>130257088.88000003</v>
      </c>
      <c r="S104" s="111">
        <f t="shared" si="21"/>
        <v>957730820.51999998</v>
      </c>
      <c r="T104" s="462">
        <f t="shared" si="22"/>
        <v>16.801116071152901</v>
      </c>
      <c r="V104" s="291"/>
      <c r="W104" s="291"/>
    </row>
    <row r="105" spans="1:23">
      <c r="A105" s="116" t="str">
        <f t="shared" si="18"/>
        <v>411p</v>
      </c>
      <c r="B105" s="586" t="str">
        <f>+VLOOKUP(LEFT($A105,LEN(A105)-1)*1,Master!$D$30:$G$229,4,FALSE)</f>
        <v>Bruto zarade i doprinosi na teret poslodavca</v>
      </c>
      <c r="C105" s="587"/>
      <c r="D105" s="587"/>
      <c r="E105" s="587"/>
      <c r="F105" s="587"/>
      <c r="G105" s="87">
        <v>44240125.009999998</v>
      </c>
      <c r="H105" s="87">
        <v>44550830.43</v>
      </c>
      <c r="I105" s="87">
        <v>40375934.009999998</v>
      </c>
      <c r="J105" s="87">
        <v>46977114.019999973</v>
      </c>
      <c r="K105" s="87">
        <v>41754372.079999998</v>
      </c>
      <c r="L105" s="87">
        <v>47101871.300000019</v>
      </c>
      <c r="M105" s="87">
        <v>44920963.490000002</v>
      </c>
      <c r="N105" s="87">
        <v>43889720.369999997</v>
      </c>
      <c r="O105" s="87">
        <v>44535467.409999996</v>
      </c>
      <c r="P105" s="87">
        <v>53967463.813333347</v>
      </c>
      <c r="Q105" s="87">
        <v>53967463.813333347</v>
      </c>
      <c r="R105" s="87">
        <v>53967463.813333347</v>
      </c>
      <c r="S105" s="112">
        <f t="shared" si="21"/>
        <v>560248789.56000006</v>
      </c>
      <c r="T105" s="463">
        <f t="shared" si="22"/>
        <v>9.828236431829346</v>
      </c>
      <c r="V105" s="311"/>
    </row>
    <row r="106" spans="1:23">
      <c r="A106" s="116" t="str">
        <f t="shared" si="18"/>
        <v>412p</v>
      </c>
      <c r="B106" s="586" t="str">
        <f>+VLOOKUP(LEFT($A106,LEN(A106)-1)*1,Master!$D$30:$G$229,4,FALSE)</f>
        <v>Ostala lična primanja</v>
      </c>
      <c r="C106" s="587"/>
      <c r="D106" s="587"/>
      <c r="E106" s="587"/>
      <c r="F106" s="587"/>
      <c r="G106" s="87">
        <v>137001.32999999999</v>
      </c>
      <c r="H106" s="87">
        <v>1212395.8600000001</v>
      </c>
      <c r="I106" s="87">
        <v>946225.55</v>
      </c>
      <c r="J106" s="87">
        <v>1448549.91</v>
      </c>
      <c r="K106" s="87">
        <v>1078145.3399999999</v>
      </c>
      <c r="L106" s="87">
        <v>2203226.2300000004</v>
      </c>
      <c r="M106" s="87">
        <v>1651284.02</v>
      </c>
      <c r="N106" s="87">
        <v>1322412.92</v>
      </c>
      <c r="O106" s="87">
        <v>1530315.4199999992</v>
      </c>
      <c r="P106" s="87">
        <v>2596726.726666667</v>
      </c>
      <c r="Q106" s="87">
        <v>2596726.726666667</v>
      </c>
      <c r="R106" s="87">
        <v>2586888.726666667</v>
      </c>
      <c r="S106" s="112">
        <f t="shared" si="21"/>
        <v>19309898.760000002</v>
      </c>
      <c r="T106" s="463">
        <f t="shared" si="22"/>
        <v>0.33874638200828017</v>
      </c>
      <c r="V106" s="311"/>
    </row>
    <row r="107" spans="1:23">
      <c r="A107" s="116" t="str">
        <f t="shared" si="18"/>
        <v>413p</v>
      </c>
      <c r="B107" s="586" t="str">
        <f>+VLOOKUP(LEFT($A107,LEN(A107)-1)*1,Master!$D$30:$G$229,4,FALSE)</f>
        <v>Rashodi za materijal</v>
      </c>
      <c r="C107" s="587"/>
      <c r="D107" s="587"/>
      <c r="E107" s="587"/>
      <c r="F107" s="587"/>
      <c r="G107" s="87">
        <v>140825.03</v>
      </c>
      <c r="H107" s="87">
        <v>3489117.82</v>
      </c>
      <c r="I107" s="87">
        <v>2628375.67</v>
      </c>
      <c r="J107" s="87">
        <v>2038640.9</v>
      </c>
      <c r="K107" s="87">
        <v>1012773.5900000001</v>
      </c>
      <c r="L107" s="87">
        <v>4898255.55</v>
      </c>
      <c r="M107" s="87">
        <v>2338020.8000000012</v>
      </c>
      <c r="N107" s="87">
        <v>4632464.3099999996</v>
      </c>
      <c r="O107" s="87">
        <v>2320647.6999999997</v>
      </c>
      <c r="P107" s="87">
        <v>8236382.3600000003</v>
      </c>
      <c r="Q107" s="87">
        <v>8236382.3600000003</v>
      </c>
      <c r="R107" s="87">
        <v>8210640.7600000063</v>
      </c>
      <c r="S107" s="112">
        <f t="shared" si="21"/>
        <v>48182526.850000001</v>
      </c>
      <c r="T107" s="463">
        <f t="shared" si="22"/>
        <v>0.84524817293523258</v>
      </c>
      <c r="V107" s="311"/>
    </row>
    <row r="108" spans="1:23">
      <c r="A108" s="116" t="str">
        <f t="shared" si="18"/>
        <v>414p</v>
      </c>
      <c r="B108" s="586" t="str">
        <f>+VLOOKUP(LEFT($A108,LEN(A108)-1)*1,Master!$D$30:$G$229,4,FALSE)</f>
        <v>Rashodi za usluge</v>
      </c>
      <c r="C108" s="587"/>
      <c r="D108" s="587"/>
      <c r="E108" s="587"/>
      <c r="F108" s="587"/>
      <c r="G108" s="87">
        <v>1088181.68</v>
      </c>
      <c r="H108" s="87">
        <v>2912682.95</v>
      </c>
      <c r="I108" s="87">
        <v>4471137.08</v>
      </c>
      <c r="J108" s="87">
        <v>6152655.29</v>
      </c>
      <c r="K108" s="87">
        <v>2627348.3200000003</v>
      </c>
      <c r="L108" s="87">
        <v>5667722.6900000004</v>
      </c>
      <c r="M108" s="87">
        <v>3971417.36</v>
      </c>
      <c r="N108" s="87">
        <v>4243743.3099999996</v>
      </c>
      <c r="O108" s="87">
        <v>4864024.1500000004</v>
      </c>
      <c r="P108" s="87">
        <v>10058637.546666674</v>
      </c>
      <c r="Q108" s="87">
        <v>10058637.546666674</v>
      </c>
      <c r="R108" s="87">
        <v>10058637.546666674</v>
      </c>
      <c r="S108" s="112">
        <f t="shared" si="21"/>
        <v>66174825.470000021</v>
      </c>
      <c r="T108" s="463">
        <f t="shared" si="22"/>
        <v>1.1608803850606979</v>
      </c>
      <c r="V108" s="311"/>
    </row>
    <row r="109" spans="1:23">
      <c r="A109" s="116" t="str">
        <f t="shared" si="18"/>
        <v>415p</v>
      </c>
      <c r="B109" s="586" t="str">
        <f>+VLOOKUP(LEFT($A109,LEN(A109)-1)*1,Master!$D$30:$G$229,4,FALSE)</f>
        <v>Rashodi za tekuće održavanje</v>
      </c>
      <c r="C109" s="587"/>
      <c r="D109" s="587"/>
      <c r="E109" s="587"/>
      <c r="F109" s="587"/>
      <c r="G109" s="87">
        <v>51153.02</v>
      </c>
      <c r="H109" s="87">
        <v>1786959.03</v>
      </c>
      <c r="I109" s="87">
        <v>1812618.69</v>
      </c>
      <c r="J109" s="87">
        <v>1718005.5900000003</v>
      </c>
      <c r="K109" s="87">
        <v>1522624.21</v>
      </c>
      <c r="L109" s="87">
        <v>1758456.5100000002</v>
      </c>
      <c r="M109" s="87">
        <v>1898548.19</v>
      </c>
      <c r="N109" s="87">
        <v>1129451.4900000002</v>
      </c>
      <c r="O109" s="87">
        <v>2940859.11</v>
      </c>
      <c r="P109" s="87">
        <v>4461159.9499999993</v>
      </c>
      <c r="Q109" s="87">
        <v>4461159.9499999993</v>
      </c>
      <c r="R109" s="87">
        <v>4461159.9499999993</v>
      </c>
      <c r="S109" s="112">
        <f t="shared" si="21"/>
        <v>28002155.689999998</v>
      </c>
      <c r="T109" s="463">
        <f t="shared" si="22"/>
        <v>0.49123141691811095</v>
      </c>
      <c r="V109" s="311"/>
    </row>
    <row r="110" spans="1:23">
      <c r="A110" s="116" t="str">
        <f t="shared" si="18"/>
        <v>416p</v>
      </c>
      <c r="B110" s="586" t="str">
        <f>+VLOOKUP(LEFT($A110,LEN(A110)-1)*1,Master!$D$30:$G$229,4,FALSE)</f>
        <v>Kamate</v>
      </c>
      <c r="C110" s="587"/>
      <c r="D110" s="587"/>
      <c r="E110" s="587"/>
      <c r="F110" s="587"/>
      <c r="G110" s="87">
        <v>3854762.25</v>
      </c>
      <c r="H110" s="87">
        <v>1270344.19</v>
      </c>
      <c r="I110" s="87">
        <v>949082.56</v>
      </c>
      <c r="J110" s="87">
        <v>27195621.07</v>
      </c>
      <c r="K110" s="87">
        <v>4588473.78</v>
      </c>
      <c r="L110" s="87">
        <v>1216799.03</v>
      </c>
      <c r="M110" s="87">
        <v>3784062.82</v>
      </c>
      <c r="N110" s="87">
        <v>1331665.0299999998</v>
      </c>
      <c r="O110" s="87">
        <v>13564532.83</v>
      </c>
      <c r="P110" s="87">
        <v>4036426.7599999993</v>
      </c>
      <c r="Q110" s="87">
        <v>4036426.7599999993</v>
      </c>
      <c r="R110" s="87">
        <v>26608843.629999999</v>
      </c>
      <c r="S110" s="112">
        <f t="shared" si="21"/>
        <v>92437040.709999993</v>
      </c>
      <c r="T110" s="463">
        <f t="shared" si="22"/>
        <v>1.6215886729001472</v>
      </c>
      <c r="V110" s="311"/>
    </row>
    <row r="111" spans="1:23">
      <c r="A111" s="116" t="str">
        <f t="shared" si="18"/>
        <v>417p</v>
      </c>
      <c r="B111" s="586" t="str">
        <f>+VLOOKUP(LEFT($A111,LEN(A111)-1)*1,Master!$D$30:$G$229,4,FALSE)</f>
        <v>Renta</v>
      </c>
      <c r="C111" s="587"/>
      <c r="D111" s="587"/>
      <c r="E111" s="587"/>
      <c r="F111" s="587"/>
      <c r="G111" s="87">
        <v>222069.04</v>
      </c>
      <c r="H111" s="87">
        <v>743329.49</v>
      </c>
      <c r="I111" s="87">
        <v>821318.4</v>
      </c>
      <c r="J111" s="87">
        <v>1247632.42</v>
      </c>
      <c r="K111" s="87">
        <v>498993.7</v>
      </c>
      <c r="L111" s="87">
        <v>995508.2</v>
      </c>
      <c r="M111" s="87">
        <v>1038790.1100000001</v>
      </c>
      <c r="N111" s="87">
        <v>884250.45000000007</v>
      </c>
      <c r="O111" s="87">
        <v>1095625.8400000003</v>
      </c>
      <c r="P111" s="87">
        <v>1375364.1133333328</v>
      </c>
      <c r="Q111" s="87">
        <v>1375364.1133333328</v>
      </c>
      <c r="R111" s="87">
        <v>1375364.1133333328</v>
      </c>
      <c r="S111" s="112">
        <f t="shared" si="21"/>
        <v>11673609.99</v>
      </c>
      <c r="T111" s="463">
        <f t="shared" si="22"/>
        <v>0.20478580432952073</v>
      </c>
      <c r="V111" s="311"/>
    </row>
    <row r="112" spans="1:23">
      <c r="A112" s="116" t="str">
        <f t="shared" si="18"/>
        <v>418p</v>
      </c>
      <c r="B112" s="586" t="str">
        <f>+VLOOKUP(LEFT($A112,LEN(A112)-1)*1,Master!$D$30:$G$229,4,FALSE)</f>
        <v>Subvencije</v>
      </c>
      <c r="C112" s="587"/>
      <c r="D112" s="587"/>
      <c r="E112" s="587"/>
      <c r="F112" s="587"/>
      <c r="G112" s="87">
        <v>511006.04</v>
      </c>
      <c r="H112" s="87">
        <v>2686343.5</v>
      </c>
      <c r="I112" s="87">
        <v>4730535.5999999996</v>
      </c>
      <c r="J112" s="87">
        <v>6972651.8400000008</v>
      </c>
      <c r="K112" s="87">
        <v>2647649.44</v>
      </c>
      <c r="L112" s="87">
        <v>3319529.0100000002</v>
      </c>
      <c r="M112" s="87">
        <v>3592301.72</v>
      </c>
      <c r="N112" s="87">
        <v>3747108.6899999995</v>
      </c>
      <c r="O112" s="87">
        <v>6868760.4699999997</v>
      </c>
      <c r="P112" s="87">
        <v>10584907.556666669</v>
      </c>
      <c r="Q112" s="87">
        <v>10584907.556666669</v>
      </c>
      <c r="R112" s="87">
        <v>10584907.556666669</v>
      </c>
      <c r="S112" s="112">
        <f t="shared" si="21"/>
        <v>66830608.980000019</v>
      </c>
      <c r="T112" s="463">
        <f t="shared" si="22"/>
        <v>1.1723845516104137</v>
      </c>
      <c r="V112" s="311"/>
    </row>
    <row r="113" spans="1:22">
      <c r="A113" s="116" t="str">
        <f t="shared" si="18"/>
        <v>419p</v>
      </c>
      <c r="B113" s="586" t="str">
        <f>+VLOOKUP(LEFT($A113,LEN(A113)-1)*1,Master!$D$30:$G$229,4,FALSE)</f>
        <v>Ostali izdaci</v>
      </c>
      <c r="C113" s="587"/>
      <c r="D113" s="587"/>
      <c r="E113" s="587"/>
      <c r="F113" s="587"/>
      <c r="G113" s="87">
        <v>653499.35</v>
      </c>
      <c r="H113" s="87">
        <v>3022013.14</v>
      </c>
      <c r="I113" s="87">
        <v>3078694.62</v>
      </c>
      <c r="J113" s="87">
        <v>3065313.290000001</v>
      </c>
      <c r="K113" s="87">
        <v>2982573.9299999988</v>
      </c>
      <c r="L113" s="87">
        <v>4726257.419999999</v>
      </c>
      <c r="M113" s="87">
        <v>4643967.5999999996</v>
      </c>
      <c r="N113" s="87">
        <v>2835259.1899999995</v>
      </c>
      <c r="O113" s="87">
        <v>2654237.6199999996</v>
      </c>
      <c r="P113" s="87">
        <v>12403182.783333331</v>
      </c>
      <c r="Q113" s="87">
        <v>12403182.783333331</v>
      </c>
      <c r="R113" s="87">
        <v>12403182.783333331</v>
      </c>
      <c r="S113" s="112">
        <f t="shared" si="21"/>
        <v>64871364.50999999</v>
      </c>
      <c r="T113" s="463">
        <f t="shared" si="22"/>
        <v>1.1380142535611533</v>
      </c>
      <c r="V113" s="311"/>
    </row>
    <row r="114" spans="1:22">
      <c r="A114" s="116" t="str">
        <f t="shared" si="18"/>
        <v>42p</v>
      </c>
      <c r="B114" s="582" t="str">
        <f>+VLOOKUP(LEFT($A114,LEN(A114)-1)*1,Master!$D$30:$G$229,4,FALSE)</f>
        <v>Transferi za socijalnu zaštitu</v>
      </c>
      <c r="C114" s="583"/>
      <c r="D114" s="583"/>
      <c r="E114" s="583"/>
      <c r="F114" s="583"/>
      <c r="G114" s="84">
        <f t="shared" ref="G114:R114" si="26">+SUM(G115:G119)</f>
        <v>43461857.619999997</v>
      </c>
      <c r="H114" s="84">
        <f t="shared" si="26"/>
        <v>49030666.979999997</v>
      </c>
      <c r="I114" s="84">
        <f t="shared" si="26"/>
        <v>50283198.670000002</v>
      </c>
      <c r="J114" s="84">
        <f t="shared" si="26"/>
        <v>49157743.099999957</v>
      </c>
      <c r="K114" s="84">
        <f t="shared" si="26"/>
        <v>51083547.040000007</v>
      </c>
      <c r="L114" s="84">
        <f t="shared" si="26"/>
        <v>53813247.140000008</v>
      </c>
      <c r="M114" s="84">
        <f t="shared" si="26"/>
        <v>55873905.100000001</v>
      </c>
      <c r="N114" s="84">
        <f t="shared" si="26"/>
        <v>54392412.859999999</v>
      </c>
      <c r="O114" s="84">
        <f t="shared" si="26"/>
        <v>55114295.500000015</v>
      </c>
      <c r="P114" s="84">
        <f t="shared" si="26"/>
        <v>78609110.530000016</v>
      </c>
      <c r="Q114" s="84">
        <f t="shared" si="26"/>
        <v>78609110.530000016</v>
      </c>
      <c r="R114" s="84">
        <f t="shared" si="26"/>
        <v>78609110.530000016</v>
      </c>
      <c r="S114" s="113">
        <f t="shared" si="21"/>
        <v>698038205.5999999</v>
      </c>
      <c r="T114" s="464">
        <f t="shared" si="22"/>
        <v>12.245424980703106</v>
      </c>
      <c r="V114" s="311"/>
    </row>
    <row r="115" spans="1:22">
      <c r="A115" s="116" t="str">
        <f t="shared" si="18"/>
        <v>421p</v>
      </c>
      <c r="B115" s="586" t="str">
        <f>+VLOOKUP(LEFT($A115,LEN(A115)-1)*1,Master!$D$30:$G$229,4,FALSE)</f>
        <v>Prava iz oblasti socijalne zaštite</v>
      </c>
      <c r="C115" s="587"/>
      <c r="D115" s="587"/>
      <c r="E115" s="587"/>
      <c r="F115" s="587"/>
      <c r="G115" s="87">
        <v>8200110.4000000004</v>
      </c>
      <c r="H115" s="87">
        <v>8172331.5999999996</v>
      </c>
      <c r="I115" s="87">
        <v>8605052.6899999995</v>
      </c>
      <c r="J115" s="87">
        <v>8606006.9800000004</v>
      </c>
      <c r="K115" s="87">
        <v>11845768.039999999</v>
      </c>
      <c r="L115" s="87">
        <v>11977864.439999999</v>
      </c>
      <c r="M115" s="87">
        <v>11864302.59</v>
      </c>
      <c r="N115" s="87">
        <v>12016260.289999999</v>
      </c>
      <c r="O115" s="87">
        <v>12319371.459999999</v>
      </c>
      <c r="P115" s="87">
        <v>17084310.503333334</v>
      </c>
      <c r="Q115" s="87">
        <v>17084310.503333334</v>
      </c>
      <c r="R115" s="87">
        <v>17084310.503333334</v>
      </c>
      <c r="S115" s="112">
        <f t="shared" si="21"/>
        <v>144860000</v>
      </c>
      <c r="T115" s="463">
        <f t="shared" si="22"/>
        <v>2.5412251771805487</v>
      </c>
      <c r="V115" s="311"/>
    </row>
    <row r="116" spans="1:22">
      <c r="A116" s="116" t="str">
        <f t="shared" si="18"/>
        <v>422p</v>
      </c>
      <c r="B116" s="586" t="str">
        <f>+VLOOKUP(LEFT($A116,LEN(A116)-1)*1,Master!$D$30:$G$229,4,FALSE)</f>
        <v>Sredstva za tehnološke viškove</v>
      </c>
      <c r="C116" s="587"/>
      <c r="D116" s="587"/>
      <c r="E116" s="587"/>
      <c r="F116" s="587"/>
      <c r="G116" s="87">
        <v>0</v>
      </c>
      <c r="H116" s="87">
        <v>2498429.92</v>
      </c>
      <c r="I116" s="87">
        <v>2440778.17</v>
      </c>
      <c r="J116" s="87">
        <v>2410229.4499999997</v>
      </c>
      <c r="K116" s="87">
        <v>2318949.15</v>
      </c>
      <c r="L116" s="87">
        <v>2335079.0099999998</v>
      </c>
      <c r="M116" s="87">
        <v>2195965.0099999998</v>
      </c>
      <c r="N116" s="87">
        <v>2189311.09</v>
      </c>
      <c r="O116" s="87">
        <v>2177499.94</v>
      </c>
      <c r="P116" s="87">
        <v>3824082.1866666665</v>
      </c>
      <c r="Q116" s="87">
        <v>3824082.1866666665</v>
      </c>
      <c r="R116" s="87">
        <v>3824082.1866666665</v>
      </c>
      <c r="S116" s="112">
        <f t="shared" si="21"/>
        <v>30038488.300000001</v>
      </c>
      <c r="T116" s="463">
        <f t="shared" si="22"/>
        <v>0.52695404357588937</v>
      </c>
      <c r="V116" s="311"/>
    </row>
    <row r="117" spans="1:22">
      <c r="A117" s="116" t="str">
        <f t="shared" si="18"/>
        <v>423p</v>
      </c>
      <c r="B117" s="586" t="str">
        <f>+VLOOKUP(LEFT($A117,LEN(A117)-1)*1,Master!$D$30:$G$229,4,FALSE)</f>
        <v>Prava iz oblasti penzijskog i invalidskog osiguranja</v>
      </c>
      <c r="C117" s="587"/>
      <c r="D117" s="587"/>
      <c r="E117" s="587"/>
      <c r="F117" s="587"/>
      <c r="G117" s="87">
        <v>35149513.420000002</v>
      </c>
      <c r="H117" s="87">
        <v>36354430.689999998</v>
      </c>
      <c r="I117" s="87">
        <v>36069832.590000004</v>
      </c>
      <c r="J117" s="87">
        <v>36181040.329999961</v>
      </c>
      <c r="K117" s="87">
        <v>35168591.790000007</v>
      </c>
      <c r="L117" s="87">
        <v>37894311.820000008</v>
      </c>
      <c r="M117" s="87">
        <v>37880340.310000002</v>
      </c>
      <c r="N117" s="87">
        <v>38069530.059999995</v>
      </c>
      <c r="O117" s="87">
        <v>38038058.110000014</v>
      </c>
      <c r="P117" s="87">
        <v>54747985.703333363</v>
      </c>
      <c r="Q117" s="87">
        <v>54747985.703333363</v>
      </c>
      <c r="R117" s="87">
        <v>54747985.703333363</v>
      </c>
      <c r="S117" s="112">
        <f t="shared" si="21"/>
        <v>495049606.23000014</v>
      </c>
      <c r="T117" s="463">
        <f t="shared" si="22"/>
        <v>8.6844713744649518</v>
      </c>
      <c r="V117" s="311"/>
    </row>
    <row r="118" spans="1:22">
      <c r="A118" s="116" t="str">
        <f t="shared" si="18"/>
        <v>424p</v>
      </c>
      <c r="B118" s="586" t="str">
        <f>+VLOOKUP(LEFT($A118,LEN(A118)-1)*1,Master!$D$30:$G$229,4,FALSE)</f>
        <v>Ostala prava iz oblasti zdravstvene zaštite</v>
      </c>
      <c r="C118" s="587"/>
      <c r="D118" s="587"/>
      <c r="E118" s="587"/>
      <c r="F118" s="587"/>
      <c r="G118" s="87">
        <v>103430</v>
      </c>
      <c r="H118" s="87">
        <v>1069904.71</v>
      </c>
      <c r="I118" s="87">
        <v>1609138.94</v>
      </c>
      <c r="J118" s="87">
        <v>1370159.43</v>
      </c>
      <c r="K118" s="87">
        <v>659345.03</v>
      </c>
      <c r="L118" s="87">
        <v>804103.22</v>
      </c>
      <c r="M118" s="87">
        <v>2611388.4699999997</v>
      </c>
      <c r="N118" s="87">
        <v>1036291.4600000001</v>
      </c>
      <c r="O118" s="87">
        <v>1292962.81</v>
      </c>
      <c r="P118" s="87">
        <v>1374407.6299999994</v>
      </c>
      <c r="Q118" s="87">
        <v>1374407.6299999994</v>
      </c>
      <c r="R118" s="87">
        <v>1374407.6299999994</v>
      </c>
      <c r="S118" s="112">
        <f t="shared" si="21"/>
        <v>14679946.959999997</v>
      </c>
      <c r="T118" s="463">
        <f t="shared" si="22"/>
        <v>0.25752485720300322</v>
      </c>
      <c r="V118" s="311"/>
    </row>
    <row r="119" spans="1:22">
      <c r="A119" s="116" t="str">
        <f t="shared" si="18"/>
        <v>425p</v>
      </c>
      <c r="B119" s="586" t="str">
        <f>+VLOOKUP(LEFT($A119,LEN(A119)-1)*1,Master!$D$30:$G$229,4,FALSE)</f>
        <v>Ostala prava iz zdravstvenog osiguranja</v>
      </c>
      <c r="C119" s="587"/>
      <c r="D119" s="587"/>
      <c r="E119" s="587"/>
      <c r="F119" s="587"/>
      <c r="G119" s="87">
        <v>8803.7999999999993</v>
      </c>
      <c r="H119" s="87">
        <v>935570.06</v>
      </c>
      <c r="I119" s="87">
        <v>1558396.28</v>
      </c>
      <c r="J119" s="87">
        <v>590306.91</v>
      </c>
      <c r="K119" s="87">
        <v>1090893.03</v>
      </c>
      <c r="L119" s="87">
        <v>801888.65</v>
      </c>
      <c r="M119" s="87">
        <v>1321908.72</v>
      </c>
      <c r="N119" s="87">
        <v>1081019.96</v>
      </c>
      <c r="O119" s="87">
        <v>1286403.18</v>
      </c>
      <c r="P119" s="87">
        <v>1578324.5066666668</v>
      </c>
      <c r="Q119" s="87">
        <v>1578324.5066666668</v>
      </c>
      <c r="R119" s="87">
        <v>1578324.5066666668</v>
      </c>
      <c r="S119" s="112">
        <f t="shared" si="21"/>
        <v>13410164.110000003</v>
      </c>
      <c r="T119" s="463">
        <f t="shared" si="22"/>
        <v>0.23524952827871734</v>
      </c>
      <c r="V119" s="311"/>
    </row>
    <row r="120" spans="1:22">
      <c r="A120" s="116" t="str">
        <f t="shared" si="18"/>
        <v>43p</v>
      </c>
      <c r="B120" s="584" t="str">
        <f>+VLOOKUP(LEFT($A120,LEN(A120)-1)*1,Master!$D$30:$G$229,4,FALSE)</f>
        <v xml:space="preserve">Transferi institucijama, pojedincima, nevladinom i javnom sektoru </v>
      </c>
      <c r="C120" s="585"/>
      <c r="D120" s="585"/>
      <c r="E120" s="585"/>
      <c r="F120" s="585"/>
      <c r="G120" s="83">
        <v>7351440.8700000001</v>
      </c>
      <c r="H120" s="83">
        <v>23788257.170000002</v>
      </c>
      <c r="I120" s="83">
        <v>30704364.969999999</v>
      </c>
      <c r="J120" s="83">
        <v>28731832.689999998</v>
      </c>
      <c r="K120" s="83">
        <v>16386723.549999999</v>
      </c>
      <c r="L120" s="83">
        <v>26579249.149999995</v>
      </c>
      <c r="M120" s="83">
        <v>21692065.57</v>
      </c>
      <c r="N120" s="83">
        <v>18751731.399999999</v>
      </c>
      <c r="O120" s="83">
        <v>29316367.350000001</v>
      </c>
      <c r="P120" s="83">
        <v>36220465.866666652</v>
      </c>
      <c r="Q120" s="83">
        <v>36220465.866666652</v>
      </c>
      <c r="R120" s="83">
        <v>36220465.866666652</v>
      </c>
      <c r="S120" s="113">
        <f>+SUM(G120:R120)</f>
        <v>311963430.31999999</v>
      </c>
      <c r="T120" s="464">
        <f t="shared" si="22"/>
        <v>5.4726585909760717</v>
      </c>
      <c r="V120" s="311"/>
    </row>
    <row r="121" spans="1:22">
      <c r="A121" s="116" t="str">
        <f t="shared" si="18"/>
        <v>44p</v>
      </c>
      <c r="B121" s="584" t="str">
        <f>+VLOOKUP(LEFT($A121,LEN(A121)-1)*1,Master!$D$30:$G$229,4,FALSE)</f>
        <v>Kapitalni izdaci</v>
      </c>
      <c r="C121" s="585"/>
      <c r="D121" s="585"/>
      <c r="E121" s="585"/>
      <c r="F121" s="585"/>
      <c r="G121" s="83">
        <v>16016474.34</v>
      </c>
      <c r="H121" s="83">
        <v>11650538.710000001</v>
      </c>
      <c r="I121" s="83">
        <v>7995861.7599999998</v>
      </c>
      <c r="J121" s="83">
        <v>25620437.929999996</v>
      </c>
      <c r="K121" s="83">
        <v>18640717.440000001</v>
      </c>
      <c r="L121" s="83">
        <v>23469892.199999999</v>
      </c>
      <c r="M121" s="83">
        <v>25045170.949999999</v>
      </c>
      <c r="N121" s="83">
        <v>7683091.5899999999</v>
      </c>
      <c r="O121" s="83">
        <v>16121479.17</v>
      </c>
      <c r="P121" s="83">
        <v>41814542.016666658</v>
      </c>
      <c r="Q121" s="83">
        <v>41814542.016666658</v>
      </c>
      <c r="R121" s="83">
        <v>41814542.016666658</v>
      </c>
      <c r="S121" s="113">
        <f>+SUM(G121:R121)</f>
        <v>277687290.13999993</v>
      </c>
      <c r="T121" s="464">
        <f t="shared" si="22"/>
        <v>4.8713649943863579</v>
      </c>
      <c r="U121" s="311"/>
      <c r="V121" s="311"/>
    </row>
    <row r="122" spans="1:22">
      <c r="A122" s="116" t="str">
        <f t="shared" si="18"/>
        <v>451p</v>
      </c>
      <c r="B122" s="576" t="str">
        <f>+VLOOKUP(LEFT($A122,LEN(A122)-1)*1,Master!$D$30:$G$229,4,FALSE)</f>
        <v>Pozajmice i krediti</v>
      </c>
      <c r="C122" s="577"/>
      <c r="D122" s="577"/>
      <c r="E122" s="577"/>
      <c r="F122" s="577"/>
      <c r="G122" s="87">
        <v>0</v>
      </c>
      <c r="H122" s="87">
        <v>248510</v>
      </c>
      <c r="I122" s="87">
        <v>1730</v>
      </c>
      <c r="J122" s="87">
        <v>302436</v>
      </c>
      <c r="K122" s="87">
        <v>260378</v>
      </c>
      <c r="L122" s="87">
        <v>700</v>
      </c>
      <c r="M122" s="87">
        <v>0</v>
      </c>
      <c r="N122" s="87">
        <v>350</v>
      </c>
      <c r="O122" s="87">
        <v>0</v>
      </c>
      <c r="P122" s="87">
        <v>619965.66666666674</v>
      </c>
      <c r="Q122" s="87">
        <v>619965.66666666674</v>
      </c>
      <c r="R122" s="87">
        <v>619965.66666666674</v>
      </c>
      <c r="S122" s="112">
        <f t="shared" si="21"/>
        <v>2674001</v>
      </c>
      <c r="T122" s="463">
        <f t="shared" si="22"/>
        <v>4.6909006385516809E-2</v>
      </c>
      <c r="U122" s="311"/>
      <c r="V122" s="311"/>
    </row>
    <row r="123" spans="1:22">
      <c r="A123" s="116" t="str">
        <f t="shared" si="18"/>
        <v>47p</v>
      </c>
      <c r="B123" s="576" t="str">
        <f>+VLOOKUP(LEFT($A123,LEN(A123)-1)*1,Master!$D$30:$G$229,4,FALSE)</f>
        <v>Rezerve</v>
      </c>
      <c r="C123" s="577"/>
      <c r="D123" s="577"/>
      <c r="E123" s="577"/>
      <c r="F123" s="577"/>
      <c r="G123" s="87">
        <v>265800</v>
      </c>
      <c r="H123" s="87">
        <v>495710</v>
      </c>
      <c r="I123" s="87">
        <v>1101664.26</v>
      </c>
      <c r="J123" s="87">
        <v>401200</v>
      </c>
      <c r="K123" s="87">
        <v>45800</v>
      </c>
      <c r="L123" s="87">
        <v>3114786.03</v>
      </c>
      <c r="M123" s="87">
        <v>5703477.5800000001</v>
      </c>
      <c r="N123" s="87">
        <v>1405979.19</v>
      </c>
      <c r="O123" s="87">
        <v>20100803.789999999</v>
      </c>
      <c r="P123" s="87">
        <v>22444044.24666667</v>
      </c>
      <c r="Q123" s="87">
        <v>22444044.24666667</v>
      </c>
      <c r="R123" s="87">
        <v>22444044.24666667</v>
      </c>
      <c r="S123" s="112">
        <f t="shared" si="21"/>
        <v>99967353.590000004</v>
      </c>
      <c r="T123" s="463">
        <f t="shared" si="22"/>
        <v>1.7536901549014106</v>
      </c>
      <c r="U123" s="311"/>
      <c r="V123" s="311"/>
    </row>
    <row r="124" spans="1:22">
      <c r="A124" s="116" t="str">
        <f t="shared" si="18"/>
        <v>462p</v>
      </c>
      <c r="B124" s="576" t="str">
        <f>+VLOOKUP(LEFT($A124,LEN(A124)-1)*1,Master!$D$30:$G$229,4,FALSE)</f>
        <v>Otplata garancija</v>
      </c>
      <c r="C124" s="577"/>
      <c r="D124" s="577"/>
      <c r="E124" s="577"/>
      <c r="F124" s="577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1</v>
      </c>
      <c r="S124" s="112">
        <f t="shared" si="21"/>
        <v>1</v>
      </c>
      <c r="T124" s="463">
        <f t="shared" si="22"/>
        <v>1.7542628587467546E-8</v>
      </c>
      <c r="U124" s="311"/>
      <c r="V124" s="311"/>
    </row>
    <row r="125" spans="1:22">
      <c r="A125" s="117" t="str">
        <f t="shared" si="18"/>
        <v>4630p</v>
      </c>
      <c r="B125" s="576" t="str">
        <f>+VLOOKUP(LEFT($A125,LEN(A125)-1)*1,Master!$D$30:$G$229,4,FALSE)</f>
        <v>Otplata obaveza iz prethodnog perioda</v>
      </c>
      <c r="C125" s="577"/>
      <c r="D125" s="577"/>
      <c r="E125" s="577"/>
      <c r="F125" s="577"/>
      <c r="G125" s="87">
        <v>17529055.329999998</v>
      </c>
      <c r="H125" s="87">
        <v>3946389.9</v>
      </c>
      <c r="I125" s="87">
        <v>2323374.4</v>
      </c>
      <c r="J125" s="87">
        <v>1211074.6399999999</v>
      </c>
      <c r="K125" s="87">
        <v>1145121.3300000003</v>
      </c>
      <c r="L125" s="87">
        <v>1002974.65</v>
      </c>
      <c r="M125" s="87">
        <v>2410972.5299999993</v>
      </c>
      <c r="N125" s="87">
        <v>791334.30999999994</v>
      </c>
      <c r="O125" s="87">
        <v>1107049.1300000001</v>
      </c>
      <c r="P125" s="87">
        <v>1578531.8799999962</v>
      </c>
      <c r="Q125" s="87">
        <v>1578531.8799999962</v>
      </c>
      <c r="R125" s="87">
        <v>1578531.8799999962</v>
      </c>
      <c r="S125" s="103">
        <f>+SUM(G125:R125)</f>
        <v>36202941.859999977</v>
      </c>
      <c r="T125" s="471">
        <f t="shared" si="22"/>
        <v>0.63509476282366117</v>
      </c>
      <c r="U125" s="311"/>
      <c r="V125" s="311"/>
    </row>
    <row r="126" spans="1:22" ht="13.5" thickBot="1">
      <c r="A126" s="116" t="str">
        <f t="shared" si="18"/>
        <v>1005p</v>
      </c>
      <c r="B126" s="576" t="str">
        <f>+VLOOKUP(LEFT($A126,LEN(A126)-1)*1,Master!$D$30:$G$229,4,FALSE)</f>
        <v>Neto povećanje obaveza</v>
      </c>
      <c r="C126" s="577"/>
      <c r="D126" s="577"/>
      <c r="E126" s="577"/>
      <c r="F126" s="577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2"/>
        <v>0</v>
      </c>
      <c r="U126" s="311"/>
      <c r="V126" s="311"/>
    </row>
    <row r="127" spans="1:22" ht="13.5" thickBot="1">
      <c r="A127" s="117" t="str">
        <f t="shared" si="18"/>
        <v>1000p</v>
      </c>
      <c r="B127" s="578" t="str">
        <f>+VLOOKUP(LEFT($A127,LEN(A127)-1)*1,Master!$D$30:$G$226,4,FALSE)</f>
        <v>Suficit / deficit</v>
      </c>
      <c r="C127" s="579"/>
      <c r="D127" s="579"/>
      <c r="E127" s="579"/>
      <c r="F127" s="579"/>
      <c r="G127" s="93">
        <f t="shared" ref="G127:R127" si="27">+G84-G103</f>
        <v>-27708044.210000038</v>
      </c>
      <c r="H127" s="93">
        <f t="shared" si="27"/>
        <v>-26184314.520000011</v>
      </c>
      <c r="I127" s="93">
        <f t="shared" si="27"/>
        <v>31956870.970000029</v>
      </c>
      <c r="J127" s="93">
        <f t="shared" si="27"/>
        <v>-20283584.369999915</v>
      </c>
      <c r="K127" s="93">
        <f t="shared" si="27"/>
        <v>8454993.5200000107</v>
      </c>
      <c r="L127" s="93">
        <f t="shared" si="27"/>
        <v>-10807149.019999981</v>
      </c>
      <c r="M127" s="93">
        <f t="shared" si="27"/>
        <v>-12762172.130000025</v>
      </c>
      <c r="N127" s="93">
        <f t="shared" si="27"/>
        <v>47349499.159999937</v>
      </c>
      <c r="O127" s="93">
        <f t="shared" si="27"/>
        <v>-26530659.460000008</v>
      </c>
      <c r="P127" s="93">
        <f t="shared" si="27"/>
        <v>-148561818.74666664</v>
      </c>
      <c r="Q127" s="93">
        <f t="shared" si="27"/>
        <v>-152725507.16666663</v>
      </c>
      <c r="R127" s="93">
        <f t="shared" si="27"/>
        <v>-115435017.19666666</v>
      </c>
      <c r="S127" s="106">
        <f t="shared" si="21"/>
        <v>-453236903.1699999</v>
      </c>
      <c r="T127" s="469">
        <f t="shared" si="22"/>
        <v>-7.9509666544452999</v>
      </c>
      <c r="U127" s="311"/>
      <c r="V127" s="311"/>
    </row>
    <row r="128" spans="1:22" ht="13.5" thickBot="1">
      <c r="A128" s="117" t="str">
        <f t="shared" si="18"/>
        <v>1001p</v>
      </c>
      <c r="B128" s="580" t="str">
        <f>+VLOOKUP(LEFT($A128,LEN(A128)-1)*1,Master!$D$30:$G$226,4,FALSE)</f>
        <v>Primarni suficit/deficit</v>
      </c>
      <c r="C128" s="581"/>
      <c r="D128" s="581"/>
      <c r="E128" s="581"/>
      <c r="F128" s="581"/>
      <c r="G128" s="94">
        <f>+G127+G110</f>
        <v>-23853281.960000038</v>
      </c>
      <c r="H128" s="94">
        <f t="shared" ref="H128:R128" si="28">+H127+H110</f>
        <v>-24913970.330000009</v>
      </c>
      <c r="I128" s="94">
        <f t="shared" si="28"/>
        <v>32905953.530000027</v>
      </c>
      <c r="J128" s="94">
        <f t="shared" si="28"/>
        <v>6912036.7000000849</v>
      </c>
      <c r="K128" s="94">
        <f t="shared" si="28"/>
        <v>13043467.300000012</v>
      </c>
      <c r="L128" s="94">
        <f t="shared" si="28"/>
        <v>-9590349.9899999816</v>
      </c>
      <c r="M128" s="94">
        <f t="shared" si="28"/>
        <v>-8978109.3100000247</v>
      </c>
      <c r="N128" s="94">
        <f t="shared" si="28"/>
        <v>48681164.189999938</v>
      </c>
      <c r="O128" s="94">
        <f t="shared" si="28"/>
        <v>-12966126.630000008</v>
      </c>
      <c r="P128" s="94">
        <f t="shared" si="28"/>
        <v>-144525391.98666665</v>
      </c>
      <c r="Q128" s="94">
        <f t="shared" si="28"/>
        <v>-148689080.40666664</v>
      </c>
      <c r="R128" s="94">
        <f t="shared" si="28"/>
        <v>-88826173.566666663</v>
      </c>
      <c r="S128" s="106">
        <f t="shared" si="21"/>
        <v>-360799862.45999998</v>
      </c>
      <c r="T128" s="469">
        <f t="shared" si="22"/>
        <v>-6.3293779815451545</v>
      </c>
      <c r="U128" s="311"/>
      <c r="V128" s="311"/>
    </row>
    <row r="129" spans="1:22">
      <c r="A129" s="117" t="str">
        <f t="shared" si="18"/>
        <v>46p</v>
      </c>
      <c r="B129" s="582" t="str">
        <f>+VLOOKUP(LEFT($A129,LEN(A129)-1)*1,Master!$D$30:$G$226,4,FALSE)</f>
        <v>Otplata dugova</v>
      </c>
      <c r="C129" s="583"/>
      <c r="D129" s="583"/>
      <c r="E129" s="583"/>
      <c r="F129" s="583"/>
      <c r="G129" s="84">
        <f>+SUM(G130:G131)</f>
        <v>28431258.969999999</v>
      </c>
      <c r="H129" s="84">
        <f t="shared" ref="H129:R129" si="29">+SUM(H130:H131)</f>
        <v>14209001.130000001</v>
      </c>
      <c r="I129" s="84">
        <f t="shared" si="29"/>
        <v>11671682.99</v>
      </c>
      <c r="J129" s="84">
        <f t="shared" si="29"/>
        <v>57474225.629999995</v>
      </c>
      <c r="K129" s="84">
        <f t="shared" si="29"/>
        <v>39081986.149999999</v>
      </c>
      <c r="L129" s="84">
        <f t="shared" si="29"/>
        <v>11628176.57</v>
      </c>
      <c r="M129" s="483">
        <f t="shared" ref="M129" si="30">+SUM(M130:M131)</f>
        <v>30399609.420000002</v>
      </c>
      <c r="N129" s="84">
        <f t="shared" si="29"/>
        <v>13945467.43</v>
      </c>
      <c r="O129" s="84">
        <f t="shared" si="29"/>
        <v>10059315</v>
      </c>
      <c r="P129" s="84">
        <f t="shared" si="29"/>
        <v>5778395.2733333334</v>
      </c>
      <c r="Q129" s="84">
        <f t="shared" si="29"/>
        <v>32377155.383333333</v>
      </c>
      <c r="R129" s="84">
        <f t="shared" si="29"/>
        <v>37097385.81333334</v>
      </c>
      <c r="S129" s="104">
        <f t="shared" si="21"/>
        <v>292153659.76000005</v>
      </c>
      <c r="T129" s="470">
        <f t="shared" si="22"/>
        <v>5.1251431436390433</v>
      </c>
      <c r="U129" s="311"/>
      <c r="V129" s="311"/>
    </row>
    <row r="130" spans="1:22">
      <c r="A130" s="117" t="str">
        <f t="shared" si="18"/>
        <v>4611p</v>
      </c>
      <c r="B130" s="574" t="str">
        <f>+VLOOKUP(LEFT($A130,LEN(A130)-1)*1,Master!$D$30:$G$226,4,FALSE)</f>
        <v>Otplata hartija od vrijednosti i kredita rezidentima</v>
      </c>
      <c r="C130" s="575"/>
      <c r="D130" s="575"/>
      <c r="E130" s="575"/>
      <c r="F130" s="575"/>
      <c r="G130" s="96">
        <v>2390495.08</v>
      </c>
      <c r="H130" s="96">
        <v>3087670.22</v>
      </c>
      <c r="I130" s="96">
        <v>2560106.65</v>
      </c>
      <c r="J130" s="96">
        <v>4658647.9099999992</v>
      </c>
      <c r="K130" s="96">
        <v>8572190.1199999992</v>
      </c>
      <c r="L130" s="96">
        <v>713784.35</v>
      </c>
      <c r="M130" s="96">
        <v>2437648.0699999998</v>
      </c>
      <c r="N130" s="96">
        <v>2374633.7599999998</v>
      </c>
      <c r="O130" s="96">
        <v>722146.47000000009</v>
      </c>
      <c r="P130" s="96">
        <v>2457849.3233333332</v>
      </c>
      <c r="Q130" s="96">
        <v>9233144.0033333339</v>
      </c>
      <c r="R130" s="96">
        <v>720539.80333333823</v>
      </c>
      <c r="S130" s="103">
        <f t="shared" si="21"/>
        <v>39928855.759999998</v>
      </c>
      <c r="T130" s="471">
        <f t="shared" si="22"/>
        <v>0.70045708652024419</v>
      </c>
      <c r="U130" s="311"/>
      <c r="V130" s="311"/>
    </row>
    <row r="131" spans="1:22" ht="13.5" thickBot="1">
      <c r="A131" s="117" t="str">
        <f t="shared" si="18"/>
        <v>4612p</v>
      </c>
      <c r="B131" s="576" t="str">
        <f>+VLOOKUP(LEFT($A131,LEN(A131)-1)*1,Master!$D$30:$G$226,4,FALSE)</f>
        <v>Otplata hartija od vrijednosti i kredita nerezidentima</v>
      </c>
      <c r="C131" s="577"/>
      <c r="D131" s="577"/>
      <c r="E131" s="577"/>
      <c r="F131" s="577"/>
      <c r="G131" s="96">
        <v>26040763.890000001</v>
      </c>
      <c r="H131" s="96">
        <v>11121330.91</v>
      </c>
      <c r="I131" s="96">
        <v>9111576.3399999999</v>
      </c>
      <c r="J131" s="96">
        <v>52815577.719999999</v>
      </c>
      <c r="K131" s="96">
        <v>30509796.030000001</v>
      </c>
      <c r="L131" s="96">
        <v>10914392.220000001</v>
      </c>
      <c r="M131" s="96">
        <v>27961961.350000001</v>
      </c>
      <c r="N131" s="96">
        <v>11570833.67</v>
      </c>
      <c r="O131" s="96">
        <v>9337168.5299999993</v>
      </c>
      <c r="P131" s="96">
        <v>3320545.95</v>
      </c>
      <c r="Q131" s="96">
        <v>23144011.379999999</v>
      </c>
      <c r="R131" s="96">
        <v>36376846.010000005</v>
      </c>
      <c r="S131" s="103">
        <f t="shared" si="21"/>
        <v>252224804</v>
      </c>
      <c r="T131" s="471">
        <f t="shared" si="22"/>
        <v>4.424686057118798</v>
      </c>
      <c r="U131" s="311"/>
      <c r="V131" s="311"/>
    </row>
    <row r="132" spans="1:22" ht="13.5" thickBot="1">
      <c r="A132" s="117" t="str">
        <f t="shared" si="18"/>
        <v>4418p</v>
      </c>
      <c r="B132" s="570" t="str">
        <f>+VLOOKUP(LEFT($A132,LEN(A132)-1)*1,Master!$D$30:$G$226,4,FALSE)</f>
        <v>Izdaci za kupovinu hartija od vrijednosti</v>
      </c>
      <c r="C132" s="571"/>
      <c r="D132" s="571"/>
      <c r="E132" s="571"/>
      <c r="F132" s="571"/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3536336.666666667</v>
      </c>
      <c r="Q132" s="93">
        <v>3536336.666666667</v>
      </c>
      <c r="R132" s="93">
        <v>3536336.666666667</v>
      </c>
      <c r="S132" s="448">
        <f t="shared" si="21"/>
        <v>10609010</v>
      </c>
      <c r="T132" s="478">
        <f t="shared" si="22"/>
        <v>0.18610992211072908</v>
      </c>
      <c r="U132" s="311"/>
      <c r="V132" s="311"/>
    </row>
    <row r="133" spans="1:22" ht="13.5" thickBot="1">
      <c r="A133" s="117" t="str">
        <f t="shared" si="18"/>
        <v>1002p</v>
      </c>
      <c r="B133" s="572" t="str">
        <f>+VLOOKUP(LEFT($A133,LEN(A133)-1)*1,Master!$D$30:$G$226,4,FALSE)</f>
        <v>Nedostajuća sredstva</v>
      </c>
      <c r="C133" s="573"/>
      <c r="D133" s="573"/>
      <c r="E133" s="573"/>
      <c r="F133" s="573"/>
      <c r="G133" s="77">
        <f t="shared" ref="G133:R133" si="31">+G127-G129-G132</f>
        <v>-56139303.180000037</v>
      </c>
      <c r="H133" s="77">
        <f t="shared" si="31"/>
        <v>-40393315.650000013</v>
      </c>
      <c r="I133" s="77">
        <f t="shared" si="31"/>
        <v>20285187.980000027</v>
      </c>
      <c r="J133" s="77">
        <f t="shared" si="31"/>
        <v>-77757809.999999911</v>
      </c>
      <c r="K133" s="77">
        <f t="shared" si="31"/>
        <v>-30626992.629999988</v>
      </c>
      <c r="L133" s="77">
        <f t="shared" si="31"/>
        <v>-22435325.589999981</v>
      </c>
      <c r="M133" s="77">
        <f t="shared" si="31"/>
        <v>-43161781.550000027</v>
      </c>
      <c r="N133" s="77">
        <f t="shared" si="31"/>
        <v>33404031.729999937</v>
      </c>
      <c r="O133" s="77">
        <f t="shared" si="31"/>
        <v>-36589974.460000008</v>
      </c>
      <c r="P133" s="77">
        <f t="shared" si="31"/>
        <v>-157876550.68666664</v>
      </c>
      <c r="Q133" s="77">
        <f t="shared" si="31"/>
        <v>-188638999.21666661</v>
      </c>
      <c r="R133" s="77">
        <f t="shared" si="31"/>
        <v>-156068739.67666665</v>
      </c>
      <c r="S133" s="109">
        <f t="shared" si="21"/>
        <v>-755999572.92999983</v>
      </c>
      <c r="T133" s="473">
        <f t="shared" si="22"/>
        <v>-13.26221972019507</v>
      </c>
      <c r="U133" s="311"/>
      <c r="V133" s="311"/>
    </row>
    <row r="134" spans="1:22" ht="13.5" thickBot="1">
      <c r="A134" s="117" t="str">
        <f t="shared" si="18"/>
        <v>1003p</v>
      </c>
      <c r="B134" s="570" t="str">
        <f>+VLOOKUP(LEFT($A134,LEN(A134)-1)*1,Master!$D$30:$G$226,4,FALSE)</f>
        <v>Finansiranje</v>
      </c>
      <c r="C134" s="571"/>
      <c r="D134" s="571"/>
      <c r="E134" s="571"/>
      <c r="F134" s="571"/>
      <c r="G134" s="93">
        <f t="shared" ref="G134:R134" si="32">+SUM(G135:G138)</f>
        <v>56139303.180000037</v>
      </c>
      <c r="H134" s="93">
        <f t="shared" si="32"/>
        <v>40393315.650000013</v>
      </c>
      <c r="I134" s="93">
        <f t="shared" si="32"/>
        <v>-20285187.980000027</v>
      </c>
      <c r="J134" s="93">
        <f t="shared" si="32"/>
        <v>77757809.999999911</v>
      </c>
      <c r="K134" s="93">
        <f t="shared" si="32"/>
        <v>30626992.629999988</v>
      </c>
      <c r="L134" s="93">
        <f t="shared" si="32"/>
        <v>22435325.589999981</v>
      </c>
      <c r="M134" s="93">
        <f t="shared" si="32"/>
        <v>43161781.550000027</v>
      </c>
      <c r="N134" s="93">
        <f t="shared" si="32"/>
        <v>-33404031.729999937</v>
      </c>
      <c r="O134" s="93">
        <f t="shared" si="32"/>
        <v>36589974.460000008</v>
      </c>
      <c r="P134" s="93">
        <f t="shared" si="32"/>
        <v>157876550.68666664</v>
      </c>
      <c r="Q134" s="93">
        <f t="shared" si="32"/>
        <v>188638999.21666661</v>
      </c>
      <c r="R134" s="93">
        <f t="shared" si="32"/>
        <v>156068739.67666665</v>
      </c>
      <c r="S134" s="110">
        <f t="shared" si="21"/>
        <v>755999572.92999983</v>
      </c>
      <c r="T134" s="474">
        <f t="shared" si="22"/>
        <v>13.26221972019507</v>
      </c>
      <c r="U134" s="311"/>
      <c r="V134" s="311"/>
    </row>
    <row r="135" spans="1:22">
      <c r="A135" s="117" t="str">
        <f t="shared" si="18"/>
        <v>7511p</v>
      </c>
      <c r="B135" s="574" t="str">
        <f>+VLOOKUP(LEFT($A135,LEN(A135)-1)*1,Master!$D$30:$G$226,4,FALSE)</f>
        <v>Pozajmice i krediti od domaćih izvora</v>
      </c>
      <c r="C135" s="575"/>
      <c r="D135" s="575"/>
      <c r="E135" s="575"/>
      <c r="F135" s="575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116666666.66666667</v>
      </c>
      <c r="Q135" s="96">
        <v>116666666.66666667</v>
      </c>
      <c r="R135" s="96">
        <v>116666666.66666667</v>
      </c>
      <c r="S135" s="103">
        <f t="shared" si="21"/>
        <v>350000000</v>
      </c>
      <c r="T135" s="471">
        <f t="shared" si="22"/>
        <v>6.1399200056136412</v>
      </c>
      <c r="U135" s="311"/>
      <c r="V135" s="311"/>
    </row>
    <row r="136" spans="1:22">
      <c r="A136" s="117" t="str">
        <f t="shared" si="18"/>
        <v>7512p</v>
      </c>
      <c r="B136" s="576" t="str">
        <f>+VLOOKUP(LEFT($A136,LEN(A136)-1)*1,Master!$D$30:$G$226,4,FALSE)</f>
        <v>Pozajmice i krediti od inostranih izvora</v>
      </c>
      <c r="C136" s="577"/>
      <c r="D136" s="577"/>
      <c r="E136" s="577"/>
      <c r="F136" s="577"/>
      <c r="G136" s="96">
        <v>12789994.92</v>
      </c>
      <c r="H136" s="96">
        <v>10460525.210000001</v>
      </c>
      <c r="I136" s="96">
        <v>1259301.6499999999</v>
      </c>
      <c r="J136" s="96">
        <v>8146150.04</v>
      </c>
      <c r="K136" s="96">
        <v>11238716.789999999</v>
      </c>
      <c r="L136" s="96">
        <v>12964517.649999999</v>
      </c>
      <c r="M136" s="96">
        <v>8206743.4400000004</v>
      </c>
      <c r="N136" s="96">
        <v>2667369.89</v>
      </c>
      <c r="O136" s="96">
        <v>2025946.22</v>
      </c>
      <c r="P136" s="96">
        <v>10080244.730000004</v>
      </c>
      <c r="Q136" s="96">
        <v>10080244.730000004</v>
      </c>
      <c r="R136" s="96">
        <v>10080244.730000004</v>
      </c>
      <c r="S136" s="103">
        <f t="shared" si="21"/>
        <v>100000000</v>
      </c>
      <c r="T136" s="471">
        <f t="shared" si="22"/>
        <v>1.7542628587467544</v>
      </c>
      <c r="U136" s="311"/>
      <c r="V136" s="311"/>
    </row>
    <row r="137" spans="1:22">
      <c r="A137" s="117" t="str">
        <f t="shared" si="18"/>
        <v>72p</v>
      </c>
      <c r="B137" s="576" t="str">
        <f>+VLOOKUP(LEFT($A137,LEN(A137)-1)*1,Master!$D$30:$G$226,4,FALSE)</f>
        <v>Primici od prodaje imovine</v>
      </c>
      <c r="C137" s="577"/>
      <c r="D137" s="577"/>
      <c r="E137" s="577"/>
      <c r="F137" s="577"/>
      <c r="G137" s="96">
        <v>710212.98</v>
      </c>
      <c r="H137" s="96">
        <v>70539.22</v>
      </c>
      <c r="I137" s="96">
        <v>383792.48</v>
      </c>
      <c r="J137" s="96">
        <v>766267.74</v>
      </c>
      <c r="K137" s="96">
        <v>26413.63</v>
      </c>
      <c r="L137" s="96">
        <v>243495.38999999998</v>
      </c>
      <c r="M137" s="96">
        <v>209628.7</v>
      </c>
      <c r="N137" s="96">
        <v>313064.5</v>
      </c>
      <c r="O137" s="96">
        <v>705089.56</v>
      </c>
      <c r="P137" s="96">
        <v>857165.2666666666</v>
      </c>
      <c r="Q137" s="96">
        <v>857165.2666666666</v>
      </c>
      <c r="R137" s="96">
        <v>857165.2666666666</v>
      </c>
      <c r="S137" s="103">
        <f t="shared" si="21"/>
        <v>6000000</v>
      </c>
      <c r="T137" s="471">
        <f t="shared" si="22"/>
        <v>0.10525577152480528</v>
      </c>
      <c r="U137" s="311"/>
      <c r="V137" s="311"/>
    </row>
    <row r="138" spans="1:22" ht="13.5" thickBot="1">
      <c r="A138" s="117" t="str">
        <f t="shared" si="18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42639095.280000038</v>
      </c>
      <c r="H138" s="97">
        <f t="shared" si="33"/>
        <v>29862251.220000014</v>
      </c>
      <c r="I138" s="97">
        <f t="shared" si="33"/>
        <v>-21928282.110000025</v>
      </c>
      <c r="J138" s="97">
        <f t="shared" si="33"/>
        <v>68845392.219999909</v>
      </c>
      <c r="K138" s="97">
        <f t="shared" si="33"/>
        <v>19361862.209999986</v>
      </c>
      <c r="L138" s="97">
        <f t="shared" si="33"/>
        <v>9227312.5499999821</v>
      </c>
      <c r="M138" s="97">
        <f t="shared" si="33"/>
        <v>34745409.410000026</v>
      </c>
      <c r="N138" s="97">
        <f t="shared" si="33"/>
        <v>-36384466.119999938</v>
      </c>
      <c r="O138" s="97">
        <f t="shared" si="33"/>
        <v>33858938.680000007</v>
      </c>
      <c r="P138" s="97">
        <f t="shared" si="33"/>
        <v>30272474.023333296</v>
      </c>
      <c r="Q138" s="97">
        <f t="shared" si="33"/>
        <v>61034922.553333268</v>
      </c>
      <c r="R138" s="97">
        <f t="shared" si="33"/>
        <v>28464663.013333306</v>
      </c>
      <c r="S138" s="105">
        <f>+SUM(G138:R138)</f>
        <v>299999572.92999989</v>
      </c>
      <c r="T138" s="475">
        <f t="shared" si="22"/>
        <v>5.2627810843098715</v>
      </c>
      <c r="U138" s="311"/>
      <c r="V138" s="311"/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619" t="str">
        <f>+Master!G252</f>
        <v>Ostvarenje budžeta</v>
      </c>
      <c r="C7" s="551"/>
      <c r="D7" s="551"/>
      <c r="E7" s="551"/>
      <c r="F7" s="551"/>
      <c r="G7" s="559">
        <v>2021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tr">
        <f>+Master!G249</f>
        <v>BDP</v>
      </c>
      <c r="T7" s="236">
        <v>4955116000</v>
      </c>
    </row>
    <row r="8" spans="1:22" ht="16.5" customHeight="1">
      <c r="A8" s="144"/>
      <c r="B8" s="552"/>
      <c r="C8" s="553"/>
      <c r="D8" s="553"/>
      <c r="E8" s="553"/>
      <c r="F8" s="554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9" t="str">
        <f>+Master!G247</f>
        <v>Jan - Dec</v>
      </c>
      <c r="T8" s="563"/>
    </row>
    <row r="9" spans="1:22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18" t="str">
        <f>+VLOOKUP($A10,Master!$D$30:$G$226,4,FALSE)</f>
        <v>Prihodi budžeta</v>
      </c>
      <c r="C10" s="519"/>
      <c r="D10" s="519"/>
      <c r="E10" s="519"/>
      <c r="F10" s="519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1">
        <f>+S10/$T$7*100</f>
        <v>38.573911075744746</v>
      </c>
      <c r="U10" s="501"/>
      <c r="V10" s="311"/>
    </row>
    <row r="11" spans="1:22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2">
        <f t="shared" ref="T11:T64" si="3">+S11/$T$7*100</f>
        <v>23.891956383059448</v>
      </c>
      <c r="U11" s="501"/>
      <c r="V11" s="502"/>
    </row>
    <row r="12" spans="1:22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3">
        <f t="shared" si="3"/>
        <v>2.560268438720708</v>
      </c>
      <c r="U12" s="501"/>
      <c r="V12" s="311"/>
    </row>
    <row r="13" spans="1:22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3">
        <f t="shared" si="3"/>
        <v>1.5078097963801451</v>
      </c>
      <c r="U13" s="501"/>
      <c r="V13" s="311"/>
    </row>
    <row r="14" spans="1:22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3">
        <f t="shared" si="3"/>
        <v>4.1941576544323081E-2</v>
      </c>
      <c r="U14" s="501"/>
      <c r="V14" s="311"/>
    </row>
    <row r="15" spans="1:22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3">
        <f t="shared" si="3"/>
        <v>13.964317316486637</v>
      </c>
      <c r="U15" s="501"/>
      <c r="V15" s="311"/>
    </row>
    <row r="16" spans="1:22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3">
        <f t="shared" si="3"/>
        <v>5.0194161985309727</v>
      </c>
      <c r="U16" s="501"/>
      <c r="V16" s="311"/>
    </row>
    <row r="17" spans="1:23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3">
        <f t="shared" si="3"/>
        <v>0.57105912495287692</v>
      </c>
      <c r="U17" s="501"/>
      <c r="V17" s="311"/>
    </row>
    <row r="18" spans="1:23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3">
        <f t="shared" si="3"/>
        <v>0.22714393144378461</v>
      </c>
      <c r="U18" s="501"/>
      <c r="V18" s="311"/>
    </row>
    <row r="19" spans="1:23">
      <c r="A19" s="150">
        <v>712</v>
      </c>
      <c r="B19" s="526" t="str">
        <f>+VLOOKUP($A19,Master!$D$30:$G$226,4,FALSE)</f>
        <v>Doprinosi</v>
      </c>
      <c r="C19" s="527"/>
      <c r="D19" s="527"/>
      <c r="E19" s="527"/>
      <c r="F19" s="52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4">
        <f t="shared" si="3"/>
        <v>11.18997272031573</v>
      </c>
      <c r="U19" s="501"/>
      <c r="V19" s="311"/>
    </row>
    <row r="20" spans="1:23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3">
        <f t="shared" si="3"/>
        <v>6.9370373979135911</v>
      </c>
      <c r="U20" s="501"/>
      <c r="V20" s="311"/>
    </row>
    <row r="21" spans="1:23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3">
        <f t="shared" si="3"/>
        <v>3.6440413633101629</v>
      </c>
      <c r="U21" s="501"/>
      <c r="V21" s="311"/>
    </row>
    <row r="22" spans="1:23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3">
        <f t="shared" si="3"/>
        <v>0.33014029217479474</v>
      </c>
      <c r="U22" s="501"/>
      <c r="V22" s="311"/>
    </row>
    <row r="23" spans="1:23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3">
        <f t="shared" si="3"/>
        <v>0.27875366691718217</v>
      </c>
      <c r="U23" s="501"/>
      <c r="V23" s="311"/>
      <c r="W23" s="305"/>
    </row>
    <row r="24" spans="1:23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4">
        <f t="shared" si="3"/>
        <v>0.25512858891699003</v>
      </c>
      <c r="U24" s="501"/>
      <c r="V24" s="311"/>
      <c r="W24" s="305"/>
    </row>
    <row r="25" spans="1:23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4">
        <f t="shared" si="3"/>
        <v>1.0311573327445815</v>
      </c>
      <c r="U25" s="501"/>
      <c r="V25" s="311"/>
    </row>
    <row r="26" spans="1:23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4">
        <f t="shared" si="3"/>
        <v>1.1970770886090254</v>
      </c>
      <c r="U26" s="501"/>
      <c r="V26" s="311"/>
    </row>
    <row r="27" spans="1:23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4">
        <f t="shared" si="3"/>
        <v>0.20386092131849184</v>
      </c>
      <c r="U27" s="501"/>
      <c r="V27" s="311"/>
    </row>
    <row r="28" spans="1:23" ht="13.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5">
        <f t="shared" si="3"/>
        <v>0.80475804078047819</v>
      </c>
      <c r="U28" s="501"/>
      <c r="V28" s="311"/>
    </row>
    <row r="29" spans="1:23" ht="13.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6">
        <f t="shared" si="3"/>
        <v>40.582306969402943</v>
      </c>
    </row>
    <row r="30" spans="1:23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3">
        <f t="shared" si="4"/>
        <v>875790931.30000007</v>
      </c>
      <c r="T30" s="462">
        <f t="shared" si="3"/>
        <v>17.67447888808254</v>
      </c>
      <c r="U30" s="242"/>
    </row>
    <row r="31" spans="1:23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3">
        <f t="shared" si="3"/>
        <v>10.799573814013639</v>
      </c>
      <c r="U31" s="501"/>
      <c r="V31" s="311"/>
      <c r="W31" s="311"/>
    </row>
    <row r="32" spans="1:23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3">
        <f t="shared" si="3"/>
        <v>0.22754604049632743</v>
      </c>
      <c r="U32" s="501"/>
      <c r="V32" s="311"/>
    </row>
    <row r="33" spans="1:24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3">
        <f t="shared" si="3"/>
        <v>0.71551015778439897</v>
      </c>
      <c r="U33" s="501"/>
      <c r="V33" s="501"/>
      <c r="W33" s="502"/>
      <c r="X33" s="502"/>
    </row>
    <row r="34" spans="1:24" s="360" customFormat="1">
      <c r="A34" s="359">
        <v>414</v>
      </c>
      <c r="B34" s="617" t="str">
        <f>+VLOOKUP($A34,Master!$D$30:$G$226,4,FALSE)</f>
        <v>Rashodi za usluge</v>
      </c>
      <c r="C34" s="618"/>
      <c r="D34" s="618"/>
      <c r="E34" s="618"/>
      <c r="F34" s="618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3">
        <f t="shared" si="3"/>
        <v>1.2060522086667596</v>
      </c>
      <c r="U34" s="501"/>
    </row>
    <row r="35" spans="1:24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3">
        <f t="shared" si="3"/>
        <v>0.43790248462397247</v>
      </c>
      <c r="U35" s="501"/>
      <c r="V35" s="311"/>
    </row>
    <row r="36" spans="1:24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3">
        <f t="shared" si="3"/>
        <v>2.3018412117899971</v>
      </c>
      <c r="U36" s="501"/>
      <c r="V36" s="311"/>
    </row>
    <row r="37" spans="1:24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3">
        <f t="shared" si="3"/>
        <v>0.22584800618189366</v>
      </c>
      <c r="U37" s="501"/>
      <c r="V37" s="311"/>
    </row>
    <row r="38" spans="1:24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3">
        <f t="shared" si="3"/>
        <v>0.97916523790764953</v>
      </c>
      <c r="U38" s="501"/>
      <c r="V38" s="311"/>
    </row>
    <row r="39" spans="1:24" s="360" customFormat="1">
      <c r="A39" s="359">
        <v>419</v>
      </c>
      <c r="B39" s="617" t="str">
        <f>+VLOOKUP($A39,Master!$D$30:$G$226,4,FALSE)</f>
        <v>Ostali izdaci</v>
      </c>
      <c r="C39" s="618"/>
      <c r="D39" s="618"/>
      <c r="E39" s="618"/>
      <c r="F39" s="618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3">
        <f t="shared" si="3"/>
        <v>0.78103972661790366</v>
      </c>
      <c r="U39" s="501"/>
      <c r="V39" s="311"/>
    </row>
    <row r="40" spans="1:24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6">
        <f t="shared" si="4"/>
        <v>567405550.29999983</v>
      </c>
      <c r="T40" s="487">
        <f t="shared" si="3"/>
        <v>11.450903476326282</v>
      </c>
      <c r="U40" s="242"/>
    </row>
    <row r="41" spans="1:24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3">
        <f t="shared" si="3"/>
        <v>1.7140635518926299</v>
      </c>
      <c r="U41" s="501"/>
      <c r="V41" s="311"/>
    </row>
    <row r="42" spans="1:24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3">
        <f t="shared" si="3"/>
        <v>0.46593113723271062</v>
      </c>
      <c r="U42" s="501"/>
      <c r="V42" s="311"/>
    </row>
    <row r="43" spans="1:24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3">
        <f t="shared" si="3"/>
        <v>8.6982387251882702</v>
      </c>
      <c r="U43" s="501"/>
      <c r="V43" s="311"/>
    </row>
    <row r="44" spans="1:24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3">
        <f t="shared" si="3"/>
        <v>0.34464044212083023</v>
      </c>
      <c r="U44" s="501"/>
      <c r="V44" s="311"/>
    </row>
    <row r="45" spans="1:24" s="360" customFormat="1">
      <c r="A45" s="359">
        <v>425</v>
      </c>
      <c r="B45" s="613" t="str">
        <f>+VLOOKUP($A45,Master!$D$30:$G$226,4,FALSE)</f>
        <v>Ostala prava iz zdravstvenog osiguranja</v>
      </c>
      <c r="C45" s="614"/>
      <c r="D45" s="614"/>
      <c r="E45" s="614"/>
      <c r="F45" s="614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3">
        <f t="shared" si="3"/>
        <v>0.22802961989184509</v>
      </c>
      <c r="U45" s="501"/>
      <c r="V45" s="311"/>
    </row>
    <row r="46" spans="1:24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4">
        <f t="shared" si="3"/>
        <v>5.1879003530896153</v>
      </c>
      <c r="U46" s="501"/>
      <c r="V46" s="311"/>
    </row>
    <row r="47" spans="1:24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4">
        <f t="shared" si="3"/>
        <v>4.1203532696308223</v>
      </c>
      <c r="U47" s="501"/>
      <c r="V47" s="311"/>
    </row>
    <row r="48" spans="1:24">
      <c r="A48" s="150">
        <v>451</v>
      </c>
      <c r="B48" s="615" t="str">
        <f>+VLOOKUP($A48,Master!$D$30:$G$226,4,FALSE)</f>
        <v>Pozajmice i krediti</v>
      </c>
      <c r="C48" s="616"/>
      <c r="D48" s="616"/>
      <c r="E48" s="616"/>
      <c r="F48" s="616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3">
        <f t="shared" si="3"/>
        <v>2.6548783116278205E-2</v>
      </c>
      <c r="U48" s="501"/>
      <c r="V48" s="311"/>
    </row>
    <row r="49" spans="1:22" s="360" customFormat="1">
      <c r="A49" s="359">
        <v>47</v>
      </c>
      <c r="B49" s="607" t="str">
        <f>+VLOOKUP($A49,Master!$D$30:$G$226,4,FALSE)</f>
        <v>Rezerve</v>
      </c>
      <c r="C49" s="608"/>
      <c r="D49" s="608"/>
      <c r="E49" s="608"/>
      <c r="F49" s="608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3">
        <f t="shared" si="3"/>
        <v>1.4375075259590291</v>
      </c>
      <c r="U49" s="501"/>
      <c r="V49" s="311"/>
    </row>
    <row r="50" spans="1:22" ht="13.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3">
        <f t="shared" si="3"/>
        <v>0.15562202943382153</v>
      </c>
      <c r="U50" s="501"/>
      <c r="V50" s="311"/>
    </row>
    <row r="51" spans="1:22" ht="13.5" thickBot="1">
      <c r="A51" s="144">
        <v>4630</v>
      </c>
      <c r="B51" s="609" t="str">
        <f>+VLOOKUP($A51,Master!$D$30:$G$226,4,TRUE)</f>
        <v>Otplata obaveza iz prethodnog perioda</v>
      </c>
      <c r="C51" s="610"/>
      <c r="D51" s="610"/>
      <c r="E51" s="610"/>
      <c r="F51" s="610"/>
      <c r="G51" s="457">
        <v>1018944.7</v>
      </c>
      <c r="H51" s="457">
        <v>1642283.23</v>
      </c>
      <c r="I51" s="457">
        <v>1493597.85</v>
      </c>
      <c r="J51" s="457">
        <v>1366097.79</v>
      </c>
      <c r="K51" s="457">
        <v>11033574.689999999</v>
      </c>
      <c r="L51" s="457">
        <v>1293176.52</v>
      </c>
      <c r="M51" s="457">
        <v>1500471</v>
      </c>
      <c r="N51" s="457">
        <v>732375.88</v>
      </c>
      <c r="O51" s="457">
        <v>977597.05</v>
      </c>
      <c r="P51" s="457">
        <v>805119.83</v>
      </c>
      <c r="Q51" s="457">
        <v>1443057.19</v>
      </c>
      <c r="R51" s="458">
        <v>2905903.4</v>
      </c>
      <c r="S51" s="424">
        <f>+SUM(G51:R51)</f>
        <v>26212199.129999999</v>
      </c>
      <c r="T51" s="467">
        <f t="shared" si="3"/>
        <v>0.52899264376454558</v>
      </c>
      <c r="U51" s="501"/>
      <c r="V51" s="311"/>
    </row>
    <row r="52" spans="1:22" ht="13.5" thickBot="1">
      <c r="A52" s="70">
        <v>1005</v>
      </c>
      <c r="B52" s="611" t="str">
        <f>+VLOOKUP($A52,Master!$D$30:$G$228,4,FALSE)</f>
        <v>Neto povećanje obaveza</v>
      </c>
      <c r="C52" s="612"/>
      <c r="D52" s="612"/>
      <c r="E52" s="612"/>
      <c r="F52" s="612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8">
        <f t="shared" si="3"/>
        <v>0</v>
      </c>
      <c r="U52" s="480"/>
    </row>
    <row r="53" spans="1:22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69">
        <f t="shared" si="3"/>
        <v>-2.0083958936581898</v>
      </c>
      <c r="U53" s="501"/>
      <c r="V53" s="311"/>
    </row>
    <row r="54" spans="1:22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69">
        <f t="shared" si="3"/>
        <v>0.29344531813180658</v>
      </c>
    </row>
    <row r="55" spans="1:22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0">
        <f t="shared" si="3"/>
        <v>8.8312247735471772</v>
      </c>
    </row>
    <row r="56" spans="1:22">
      <c r="A56" s="144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1">
        <f t="shared" si="3"/>
        <v>1.7216367645076323</v>
      </c>
      <c r="U56" s="501"/>
      <c r="V56" s="311"/>
    </row>
    <row r="57" spans="1:22" ht="13.5" thickBot="1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1">
        <f t="shared" si="3"/>
        <v>7.1095880090395456</v>
      </c>
      <c r="U57" s="501"/>
      <c r="V57" s="311"/>
    </row>
    <row r="58" spans="1:22" ht="13.5" thickBot="1">
      <c r="A58" s="144">
        <v>4418</v>
      </c>
      <c r="B58" s="532" t="str">
        <f>+VLOOKUP($A58,Master!$D$30:$G$226,4,FALSE)</f>
        <v>Izdaci za kupovinu hartija od vrijednosti</v>
      </c>
      <c r="C58" s="533"/>
      <c r="D58" s="533"/>
      <c r="E58" s="533"/>
      <c r="F58" s="533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0</v>
      </c>
      <c r="P58" s="459">
        <v>506343.98</v>
      </c>
      <c r="Q58" s="459">
        <v>0</v>
      </c>
      <c r="R58" s="460">
        <v>0</v>
      </c>
      <c r="S58" s="249">
        <f>SUM(G58:R58)</f>
        <v>506343.98</v>
      </c>
      <c r="T58" s="472">
        <f t="shared" si="3"/>
        <v>1.0218610018413293E-2</v>
      </c>
    </row>
    <row r="59" spans="1:22" ht="13.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3">
        <f t="shared" si="3"/>
        <v>-10.849839277223779</v>
      </c>
    </row>
    <row r="60" spans="1:22" ht="13.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4">
        <f t="shared" si="3"/>
        <v>10.849839277223779</v>
      </c>
    </row>
    <row r="61" spans="1:22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5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1">
        <f t="shared" si="3"/>
        <v>0</v>
      </c>
      <c r="U61" s="501"/>
      <c r="V61" s="311"/>
    </row>
    <row r="62" spans="1:22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5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1">
        <f t="shared" si="3"/>
        <v>2.4939416883479617</v>
      </c>
      <c r="U62" s="501"/>
      <c r="V62" s="311"/>
    </row>
    <row r="63" spans="1:22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5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1">
        <f t="shared" si="3"/>
        <v>8.9878385087251239E-2</v>
      </c>
      <c r="U63" s="501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5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96" t="str">
        <f>+Master!G253</f>
        <v>Plan ostvarenja budžeta</v>
      </c>
      <c r="C81" s="597"/>
      <c r="D81" s="597"/>
      <c r="E81" s="597"/>
      <c r="F81" s="597"/>
      <c r="G81" s="604">
        <v>2021</v>
      </c>
      <c r="H81" s="605"/>
      <c r="I81" s="605"/>
      <c r="J81" s="605"/>
      <c r="K81" s="605"/>
      <c r="L81" s="605"/>
      <c r="M81" s="605"/>
      <c r="N81" s="605"/>
      <c r="O81" s="605"/>
      <c r="P81" s="605"/>
      <c r="Q81" s="605"/>
      <c r="R81" s="606"/>
      <c r="S81" s="107" t="str">
        <f>+S7</f>
        <v>BDP</v>
      </c>
      <c r="T81" s="108">
        <v>4636600000</v>
      </c>
    </row>
    <row r="82" spans="1:21" ht="15.75" customHeight="1">
      <c r="B82" s="598"/>
      <c r="C82" s="599"/>
      <c r="D82" s="599"/>
      <c r="E82" s="599"/>
      <c r="F82" s="600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04" t="str">
        <f>+Master!G247</f>
        <v>Jan - Dec</v>
      </c>
      <c r="T82" s="606">
        <f>+T8</f>
        <v>0</v>
      </c>
    </row>
    <row r="83" spans="1:21" ht="13.5" thickBot="1">
      <c r="B83" s="601"/>
      <c r="C83" s="602"/>
      <c r="D83" s="602"/>
      <c r="E83" s="602"/>
      <c r="F83" s="603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20" t="str">
        <f>+VLOOKUP(LEFT($A84,LEN(A84)-1)*1,Master!$D$30:$G$226,4,FALSE)</f>
        <v>Prihodi budžeta</v>
      </c>
      <c r="C84" s="621"/>
      <c r="D84" s="621"/>
      <c r="E84" s="621"/>
      <c r="F84" s="62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2">
        <f>+SUM(G84:R84)</f>
        <v>1880205845.3399</v>
      </c>
      <c r="T84" s="476">
        <f>+S84/$T$81*100</f>
        <v>40.551392083421042</v>
      </c>
      <c r="U84" s="257"/>
    </row>
    <row r="85" spans="1:21">
      <c r="A85" s="116" t="str">
        <f t="shared" si="17"/>
        <v>711p</v>
      </c>
      <c r="B85" s="594" t="str">
        <f>+VLOOKUP(LEFT($A85,LEN(A85)-1)*1,Master!$D$30:$G$226,4,FALSE)</f>
        <v>Porezi</v>
      </c>
      <c r="C85" s="595"/>
      <c r="D85" s="595"/>
      <c r="E85" s="595"/>
      <c r="F85" s="595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2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86" t="str">
        <f>+VLOOKUP(LEFT($A86,LEN(A86)-1)*1,Master!$D$30:$G$229,4,FALSE)</f>
        <v>Porez na dohodak fizičkih lica</v>
      </c>
      <c r="C86" s="587"/>
      <c r="D86" s="587"/>
      <c r="E86" s="587"/>
      <c r="F86" s="587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3">
        <f t="shared" si="21"/>
        <v>3.342095146967782</v>
      </c>
    </row>
    <row r="87" spans="1:21">
      <c r="A87" s="116" t="str">
        <f t="shared" si="17"/>
        <v>7112p</v>
      </c>
      <c r="B87" s="586" t="str">
        <f>+VLOOKUP(LEFT($A87,LEN(A87)-1)*1,Master!$D$30:$G$229,4,FALSE)</f>
        <v>Porez na dobit pravnih lica</v>
      </c>
      <c r="C87" s="587"/>
      <c r="D87" s="587"/>
      <c r="E87" s="587"/>
      <c r="F87" s="587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3">
        <f t="shared" si="21"/>
        <v>1.2943922881014109</v>
      </c>
    </row>
    <row r="88" spans="1:21">
      <c r="A88" s="116" t="str">
        <f t="shared" si="17"/>
        <v>7113p</v>
      </c>
      <c r="B88" s="586" t="str">
        <f>+VLOOKUP(LEFT($A88,LEN(A88)-1)*1,Master!$D$30:$G$229,4,FALSE)</f>
        <v>Porez na promet nepokretnosti</v>
      </c>
      <c r="C88" s="587"/>
      <c r="D88" s="587"/>
      <c r="E88" s="587"/>
      <c r="F88" s="587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3">
        <f t="shared" si="21"/>
        <v>3.4703770606910232E-2</v>
      </c>
    </row>
    <row r="89" spans="1:21">
      <c r="A89" s="116" t="str">
        <f t="shared" si="17"/>
        <v>7114p</v>
      </c>
      <c r="B89" s="586" t="str">
        <f>+VLOOKUP(LEFT($A89,LEN(A89)-1)*1,Master!$D$30:$G$229,4,FALSE)</f>
        <v>Porez na dodatu vrijednost</v>
      </c>
      <c r="C89" s="587"/>
      <c r="D89" s="587"/>
      <c r="E89" s="587"/>
      <c r="F89" s="587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3">
        <f t="shared" si="21"/>
        <v>13.195240452948015</v>
      </c>
    </row>
    <row r="90" spans="1:21">
      <c r="A90" s="116" t="str">
        <f t="shared" si="17"/>
        <v>7115p</v>
      </c>
      <c r="B90" s="586" t="str">
        <f>+VLOOKUP(LEFT($A90,LEN(A90)-1)*1,Master!$D$30:$G$229,4,FALSE)</f>
        <v>Akcize</v>
      </c>
      <c r="C90" s="587"/>
      <c r="D90" s="587"/>
      <c r="E90" s="587"/>
      <c r="F90" s="587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3">
        <f t="shared" si="21"/>
        <v>5.1970907056571622</v>
      </c>
    </row>
    <row r="91" spans="1:21">
      <c r="A91" s="116" t="str">
        <f t="shared" si="17"/>
        <v>7116p</v>
      </c>
      <c r="B91" s="586" t="str">
        <f>+VLOOKUP(LEFT($A91,LEN(A91)-1)*1,Master!$D$30:$G$229,4,FALSE)</f>
        <v>Porez na međunarodnu trgovinu i transakcije</v>
      </c>
      <c r="C91" s="587"/>
      <c r="D91" s="587"/>
      <c r="E91" s="587"/>
      <c r="F91" s="587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3">
        <f t="shared" si="21"/>
        <v>0.53454626393521121</v>
      </c>
    </row>
    <row r="92" spans="1:21">
      <c r="A92" s="116" t="str">
        <f t="shared" si="17"/>
        <v>7118p</v>
      </c>
      <c r="B92" s="586" t="str">
        <f>+VLOOKUP(LEFT($A92,LEN(A92)-1)*1,Master!$D$30:$G$229,4,FALSE)</f>
        <v>Ostali državni porezi</v>
      </c>
      <c r="C92" s="587"/>
      <c r="D92" s="587"/>
      <c r="E92" s="587"/>
      <c r="F92" s="587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3">
        <f t="shared" si="21"/>
        <v>0.23596029916404263</v>
      </c>
    </row>
    <row r="93" spans="1:21">
      <c r="A93" s="116" t="str">
        <f t="shared" si="17"/>
        <v>712p</v>
      </c>
      <c r="B93" s="622" t="str">
        <f>+VLOOKUP(LEFT($A93,LEN(A93)-1)*1,Master!$D$30:$G$229,4,FALSE)</f>
        <v>Doprinosi</v>
      </c>
      <c r="C93" s="623"/>
      <c r="D93" s="623"/>
      <c r="E93" s="623"/>
      <c r="F93" s="623"/>
      <c r="G93" s="81">
        <f>+SUM(G94:G97)</f>
        <v>16292817.308185648</v>
      </c>
      <c r="H93" s="81">
        <f t="shared" ref="H93:R93" si="22">+SUM(H94:H97)</f>
        <v>41389656.549846224</v>
      </c>
      <c r="I93" s="479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4">
        <f t="shared" si="21"/>
        <v>12.548878564749469</v>
      </c>
    </row>
    <row r="94" spans="1:21">
      <c r="A94" s="116" t="str">
        <f t="shared" si="17"/>
        <v>7121p</v>
      </c>
      <c r="B94" s="586" t="str">
        <f>+VLOOKUP(LEFT($A94,LEN(A94)-1)*1,Master!$D$30:$G$229,4,FALSE)</f>
        <v>Doprinosi za penzijsko i invalidsko osiguranje</v>
      </c>
      <c r="C94" s="587"/>
      <c r="D94" s="587"/>
      <c r="E94" s="587"/>
      <c r="F94" s="587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3">
        <f t="shared" si="21"/>
        <v>7.8081986886007</v>
      </c>
    </row>
    <row r="95" spans="1:21">
      <c r="A95" s="116" t="str">
        <f t="shared" si="17"/>
        <v>7122p</v>
      </c>
      <c r="B95" s="586" t="str">
        <f>+VLOOKUP(LEFT($A95,LEN(A95)-1)*1,Master!$D$30:$G$229,4,FALSE)</f>
        <v>Doprinosi za zdravstveno osiguranje</v>
      </c>
      <c r="C95" s="587"/>
      <c r="D95" s="587"/>
      <c r="E95" s="587"/>
      <c r="F95" s="587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3">
        <f t="shared" si="21"/>
        <v>4.0418037813006764</v>
      </c>
    </row>
    <row r="96" spans="1:21">
      <c r="A96" s="116" t="str">
        <f t="shared" si="17"/>
        <v>7123p</v>
      </c>
      <c r="B96" s="586" t="str">
        <f>+VLOOKUP(LEFT($A96,LEN(A96)-1)*1,Master!$D$30:$G$229,4,FALSE)</f>
        <v>Doprinosi za osiguranje od nezaposlenosti</v>
      </c>
      <c r="C96" s="587"/>
      <c r="D96" s="587"/>
      <c r="E96" s="587"/>
      <c r="F96" s="587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3">
        <f t="shared" si="21"/>
        <v>0.37739904074144265</v>
      </c>
    </row>
    <row r="97" spans="1:23">
      <c r="A97" s="116" t="str">
        <f t="shared" si="17"/>
        <v>7124p</v>
      </c>
      <c r="B97" s="586" t="str">
        <f>+VLOOKUP(LEFT($A97,LEN(A97)-1)*1,Master!$D$30:$G$229,4,FALSE)</f>
        <v>Ostali doprinosi</v>
      </c>
      <c r="C97" s="587"/>
      <c r="D97" s="587"/>
      <c r="E97" s="587"/>
      <c r="F97" s="587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3">
        <f t="shared" si="21"/>
        <v>0.32147705410665273</v>
      </c>
    </row>
    <row r="98" spans="1:23">
      <c r="A98" s="116" t="str">
        <f t="shared" si="17"/>
        <v>713p</v>
      </c>
      <c r="B98" s="592" t="str">
        <f>+VLOOKUP(LEFT($A98,LEN(A98)-1)*1,Master!$D$30:$G$229,4,FALSE)</f>
        <v>Takse</v>
      </c>
      <c r="C98" s="593"/>
      <c r="D98" s="593"/>
      <c r="E98" s="593"/>
      <c r="F98" s="593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4">
        <f t="shared" si="21"/>
        <v>0.27557339372126122</v>
      </c>
    </row>
    <row r="99" spans="1:23">
      <c r="A99" s="116" t="str">
        <f t="shared" si="17"/>
        <v>714p</v>
      </c>
      <c r="B99" s="592" t="str">
        <f>+VLOOKUP(LEFT($A99,LEN(A99)-1)*1,Master!$D$30:$G$229,4,FALSE)</f>
        <v>Naknade</v>
      </c>
      <c r="C99" s="593"/>
      <c r="D99" s="593"/>
      <c r="E99" s="593"/>
      <c r="F99" s="593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4">
        <f t="shared" si="21"/>
        <v>0.87442029964197865</v>
      </c>
    </row>
    <row r="100" spans="1:23">
      <c r="A100" s="116" t="str">
        <f t="shared" si="17"/>
        <v>715p</v>
      </c>
      <c r="B100" s="592" t="str">
        <f>+VLOOKUP(LEFT($A100,LEN(A100)-1)*1,Master!$D$30:$G$229,4,FALSE)</f>
        <v>Ostali prihodi</v>
      </c>
      <c r="C100" s="593"/>
      <c r="D100" s="593"/>
      <c r="E100" s="593"/>
      <c r="F100" s="593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4">
        <f t="shared" si="21"/>
        <v>1.4196769637950202</v>
      </c>
    </row>
    <row r="101" spans="1:23">
      <c r="A101" s="116" t="str">
        <f t="shared" si="17"/>
        <v>73p</v>
      </c>
      <c r="B101" s="592" t="str">
        <f>+VLOOKUP(LEFT($A101,LEN(A101)-1)*1,Master!$D$30:$G$229,4,FALSE)</f>
        <v>Primici od otplate kredita i sredstva prenesena iz prethodne godine</v>
      </c>
      <c r="C101" s="593"/>
      <c r="D101" s="593"/>
      <c r="E101" s="593"/>
      <c r="F101" s="593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4">
        <f t="shared" si="21"/>
        <v>0.19907921041280252</v>
      </c>
    </row>
    <row r="102" spans="1:23" ht="13.5" thickBot="1">
      <c r="A102" s="116" t="str">
        <f t="shared" si="17"/>
        <v>74p</v>
      </c>
      <c r="B102" s="588" t="str">
        <f>+VLOOKUP(LEFT($A102,LEN(A102)-1)*1,Master!$D$30:$G$229,4,FALSE)</f>
        <v>Donacije i transferi</v>
      </c>
      <c r="C102" s="589"/>
      <c r="D102" s="589"/>
      <c r="E102" s="589"/>
      <c r="F102" s="589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5">
        <f t="shared" si="21"/>
        <v>1.3997347237199673</v>
      </c>
    </row>
    <row r="103" spans="1:23" ht="13.5" thickBot="1">
      <c r="A103" s="116" t="str">
        <f t="shared" si="17"/>
        <v>4p</v>
      </c>
      <c r="B103" s="570" t="str">
        <f>+VLOOKUP(LEFT($A103,LEN(A103)-1)*1,Master!$D$30:$G$229,4,FALSE)</f>
        <v>Izdaci budžeta</v>
      </c>
      <c r="C103" s="571"/>
      <c r="D103" s="571"/>
      <c r="E103" s="571"/>
      <c r="F103" s="571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0">
        <f>+SUM(G103:R103)</f>
        <v>2055535193.0642829</v>
      </c>
      <c r="T103" s="477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0" t="str">
        <f>+VLOOKUP(LEFT($A104,LEN(A104)-1)*1,Master!$D$30:$G$229,4,FALSE)</f>
        <v>Tekući izdaci</v>
      </c>
      <c r="C104" s="591"/>
      <c r="D104" s="591"/>
      <c r="E104" s="591"/>
      <c r="F104" s="591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2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86" t="str">
        <f>+VLOOKUP(LEFT($A105,LEN(A105)-1)*1,Master!$D$30:$G$229,4,FALSE)</f>
        <v>Bruto zarade i doprinosi na teret poslodavca</v>
      </c>
      <c r="C105" s="587"/>
      <c r="D105" s="587"/>
      <c r="E105" s="587"/>
      <c r="F105" s="587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3">
        <f t="shared" si="21"/>
        <v>11.278641018850019</v>
      </c>
    </row>
    <row r="106" spans="1:23">
      <c r="A106" s="116" t="str">
        <f t="shared" si="17"/>
        <v>412p</v>
      </c>
      <c r="B106" s="586" t="str">
        <f>+VLOOKUP(LEFT($A106,LEN(A106)-1)*1,Master!$D$30:$G$229,4,FALSE)</f>
        <v>Ostala lična primanja</v>
      </c>
      <c r="C106" s="587"/>
      <c r="D106" s="587"/>
      <c r="E106" s="587"/>
      <c r="F106" s="587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3">
        <f t="shared" si="21"/>
        <v>0.26959439934434715</v>
      </c>
    </row>
    <row r="107" spans="1:23">
      <c r="A107" s="116" t="str">
        <f t="shared" si="17"/>
        <v>413p</v>
      </c>
      <c r="B107" s="586" t="str">
        <f>+VLOOKUP(LEFT($A107,LEN(A107)-1)*1,Master!$D$30:$G$229,4,FALSE)</f>
        <v>Rashodi za materijal</v>
      </c>
      <c r="C107" s="587"/>
      <c r="D107" s="587"/>
      <c r="E107" s="587"/>
      <c r="F107" s="587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3">
        <f t="shared" si="21"/>
        <v>0.6893019837812191</v>
      </c>
    </row>
    <row r="108" spans="1:23">
      <c r="A108" s="116" t="str">
        <f t="shared" si="17"/>
        <v>414p</v>
      </c>
      <c r="B108" s="586" t="str">
        <f>+VLOOKUP(LEFT($A108,LEN(A108)-1)*1,Master!$D$30:$G$229,4,FALSE)</f>
        <v>Rashodi za usluge</v>
      </c>
      <c r="C108" s="587"/>
      <c r="D108" s="587"/>
      <c r="E108" s="587"/>
      <c r="F108" s="587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3">
        <f t="shared" si="21"/>
        <v>1.3532731210369666</v>
      </c>
    </row>
    <row r="109" spans="1:23">
      <c r="A109" s="116" t="str">
        <f t="shared" si="17"/>
        <v>415p</v>
      </c>
      <c r="B109" s="586" t="str">
        <f>+VLOOKUP(LEFT($A109,LEN(A109)-1)*1,Master!$D$30:$G$229,4,FALSE)</f>
        <v>Rashodi za tekuće održavanje</v>
      </c>
      <c r="C109" s="587"/>
      <c r="D109" s="587"/>
      <c r="E109" s="587"/>
      <c r="F109" s="587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3">
        <f t="shared" si="21"/>
        <v>0.50341789889142918</v>
      </c>
    </row>
    <row r="110" spans="1:23">
      <c r="A110" s="116" t="str">
        <f t="shared" si="17"/>
        <v>416p</v>
      </c>
      <c r="B110" s="586" t="str">
        <f>+VLOOKUP(LEFT($A110,LEN(A110)-1)*1,Master!$D$30:$G$229,4,FALSE)</f>
        <v>Kamate</v>
      </c>
      <c r="C110" s="587"/>
      <c r="D110" s="587"/>
      <c r="E110" s="587"/>
      <c r="F110" s="587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3">
        <f t="shared" si="21"/>
        <v>2.4387566176569671</v>
      </c>
    </row>
    <row r="111" spans="1:23">
      <c r="A111" s="116" t="str">
        <f t="shared" si="17"/>
        <v>417p</v>
      </c>
      <c r="B111" s="586" t="str">
        <f>+VLOOKUP(LEFT($A111,LEN(A111)-1)*1,Master!$D$30:$G$229,4,FALSE)</f>
        <v>Renta</v>
      </c>
      <c r="C111" s="587"/>
      <c r="D111" s="587"/>
      <c r="E111" s="587"/>
      <c r="F111" s="587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3">
        <f t="shared" si="21"/>
        <v>0.23455438597247985</v>
      </c>
    </row>
    <row r="112" spans="1:23">
      <c r="A112" s="116" t="str">
        <f t="shared" si="17"/>
        <v>418p</v>
      </c>
      <c r="B112" s="586" t="str">
        <f>+VLOOKUP(LEFT($A112,LEN(A112)-1)*1,Master!$D$30:$G$229,4,FALSE)</f>
        <v>Subvencije</v>
      </c>
      <c r="C112" s="587"/>
      <c r="D112" s="587"/>
      <c r="E112" s="587"/>
      <c r="F112" s="587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3">
        <f t="shared" si="21"/>
        <v>1.095014621489885</v>
      </c>
    </row>
    <row r="113" spans="1:22">
      <c r="A113" s="116" t="str">
        <f t="shared" si="17"/>
        <v>419p</v>
      </c>
      <c r="B113" s="586" t="str">
        <f>+VLOOKUP(LEFT($A113,LEN(A113)-1)*1,Master!$D$30:$G$229,4,FALSE)</f>
        <v>Ostali izdaci</v>
      </c>
      <c r="C113" s="587"/>
      <c r="D113" s="587"/>
      <c r="E113" s="587"/>
      <c r="F113" s="587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3">
        <f t="shared" si="21"/>
        <v>0.97937629944355764</v>
      </c>
    </row>
    <row r="114" spans="1:22">
      <c r="A114" s="116" t="str">
        <f t="shared" si="17"/>
        <v>42p</v>
      </c>
      <c r="B114" s="582" t="str">
        <f>+VLOOKUP(LEFT($A114,LEN(A114)-1)*1,Master!$D$30:$G$229,4,FALSE)</f>
        <v>Transferi za socijalnu zaštitu</v>
      </c>
      <c r="C114" s="583"/>
      <c r="D114" s="583"/>
      <c r="E114" s="583"/>
      <c r="F114" s="583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4">
        <f t="shared" si="21"/>
        <v>12.924380405253846</v>
      </c>
    </row>
    <row r="115" spans="1:22">
      <c r="A115" s="116" t="str">
        <f t="shared" si="17"/>
        <v>421p</v>
      </c>
      <c r="B115" s="586" t="str">
        <f>+VLOOKUP(LEFT($A115,LEN(A115)-1)*1,Master!$D$30:$G$229,4,FALSE)</f>
        <v>Prava iz oblasti socijalne zaštite</v>
      </c>
      <c r="C115" s="587"/>
      <c r="D115" s="587"/>
      <c r="E115" s="587"/>
      <c r="F115" s="587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3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86" t="str">
        <f>+VLOOKUP(LEFT($A116,LEN(A116)-1)*1,Master!$D$30:$G$229,4,FALSE)</f>
        <v>Sredstva za tehnološke viškove</v>
      </c>
      <c r="C116" s="587"/>
      <c r="D116" s="587"/>
      <c r="E116" s="587"/>
      <c r="F116" s="587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3">
        <f t="shared" si="21"/>
        <v>0.40028421558900928</v>
      </c>
    </row>
    <row r="117" spans="1:22">
      <c r="A117" s="116" t="str">
        <f t="shared" si="26"/>
        <v>423p</v>
      </c>
      <c r="B117" s="586" t="str">
        <f>+VLOOKUP(LEFT($A117,LEN(A117)-1)*1,Master!$D$30:$G$229,4,FALSE)</f>
        <v>Prava iz oblasti penzijskog i invalidskog osiguranja</v>
      </c>
      <c r="C117" s="587"/>
      <c r="D117" s="587"/>
      <c r="E117" s="587"/>
      <c r="F117" s="587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3">
        <f t="shared" si="21"/>
        <v>9.6073360637104752</v>
      </c>
    </row>
    <row r="118" spans="1:22">
      <c r="A118" s="116" t="str">
        <f t="shared" si="26"/>
        <v>424p</v>
      </c>
      <c r="B118" s="586" t="str">
        <f>+VLOOKUP(LEFT($A118,LEN(A118)-1)*1,Master!$D$30:$G$229,4,FALSE)</f>
        <v>Ostala prava iz oblasti zdravstvene zaštite</v>
      </c>
      <c r="C118" s="587"/>
      <c r="D118" s="587"/>
      <c r="E118" s="587"/>
      <c r="F118" s="587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3">
        <f t="shared" si="21"/>
        <v>0.32998317732821458</v>
      </c>
    </row>
    <row r="119" spans="1:22">
      <c r="A119" s="116" t="str">
        <f t="shared" si="26"/>
        <v>425p</v>
      </c>
      <c r="B119" s="586" t="str">
        <f>+VLOOKUP(LEFT($A119,LEN(A119)-1)*1,Master!$D$30:$G$229,4,FALSE)</f>
        <v>Ostala prava iz zdravstvenog osiguranja</v>
      </c>
      <c r="C119" s="587"/>
      <c r="D119" s="587"/>
      <c r="E119" s="587"/>
      <c r="F119" s="587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3">
        <f t="shared" si="21"/>
        <v>0.24802657119440971</v>
      </c>
    </row>
    <row r="120" spans="1:22">
      <c r="A120" s="116" t="str">
        <f t="shared" si="26"/>
        <v>43p</v>
      </c>
      <c r="B120" s="584" t="str">
        <f>+VLOOKUP(LEFT($A120,LEN(A120)-1)*1,Master!$D$30:$G$229,4,FALSE)</f>
        <v xml:space="preserve">Transferi institucijama, pojedincima, nevladinom i javnom sektoru </v>
      </c>
      <c r="C120" s="585"/>
      <c r="D120" s="585"/>
      <c r="E120" s="585"/>
      <c r="F120" s="585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4">
        <f t="shared" si="21"/>
        <v>5.6085441784928598</v>
      </c>
    </row>
    <row r="121" spans="1:22">
      <c r="A121" s="116" t="str">
        <f t="shared" si="26"/>
        <v>44p</v>
      </c>
      <c r="B121" s="584" t="str">
        <f>+VLOOKUP(LEFT($A121,LEN(A121)-1)*1,Master!$D$30:$G$229,4,FALSE)</f>
        <v>Kapitalni izdaci</v>
      </c>
      <c r="C121" s="585"/>
      <c r="D121" s="585"/>
      <c r="E121" s="585"/>
      <c r="F121" s="585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4">
        <f t="shared" si="21"/>
        <v>5.0803331212526421</v>
      </c>
    </row>
    <row r="122" spans="1:22">
      <c r="A122" s="116" t="str">
        <f t="shared" si="26"/>
        <v>451p</v>
      </c>
      <c r="B122" s="576" t="str">
        <f>+VLOOKUP(LEFT($A122,LEN(A122)-1)*1,Master!$D$30:$G$229,4,FALSE)</f>
        <v>Pozajmice i krediti</v>
      </c>
      <c r="C122" s="577"/>
      <c r="D122" s="577"/>
      <c r="E122" s="577"/>
      <c r="F122" s="577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3">
        <f t="shared" si="21"/>
        <v>3.3515959970668155E-2</v>
      </c>
    </row>
    <row r="123" spans="1:22">
      <c r="A123" s="116" t="str">
        <f t="shared" si="26"/>
        <v>47p</v>
      </c>
      <c r="B123" s="576" t="str">
        <f>+VLOOKUP(LEFT($A123,LEN(A123)-1)*1,Master!$D$30:$G$229,4,FALSE)</f>
        <v>Rezerve</v>
      </c>
      <c r="C123" s="577"/>
      <c r="D123" s="577"/>
      <c r="E123" s="577"/>
      <c r="F123" s="577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3">
        <f t="shared" si="21"/>
        <v>1.535889466419359</v>
      </c>
    </row>
    <row r="124" spans="1:22">
      <c r="A124" s="116" t="str">
        <f t="shared" si="26"/>
        <v>462p</v>
      </c>
      <c r="B124" s="576" t="str">
        <f>+VLOOKUP(LEFT($A124,LEN(A124)-1)*1,Master!$D$30:$G$229,4,FALSE)</f>
        <v>Otplata garancija</v>
      </c>
      <c r="C124" s="577"/>
      <c r="D124" s="577"/>
      <c r="E124" s="577"/>
      <c r="F124" s="577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3">
        <f t="shared" si="21"/>
        <v>8.3250657809601863E-2</v>
      </c>
    </row>
    <row r="125" spans="1:22">
      <c r="A125" s="117" t="str">
        <f t="shared" si="26"/>
        <v>4630p</v>
      </c>
      <c r="B125" s="576" t="str">
        <f>+VLOOKUP(LEFT($A125,LEN(A125)-1)*1,Master!$D$30:$G$229,4,FALSE)</f>
        <v>Otplata obaveza iz prethodnog perioda</v>
      </c>
      <c r="C125" s="577"/>
      <c r="D125" s="577"/>
      <c r="E125" s="577"/>
      <c r="F125" s="577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1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76" t="str">
        <f>+VLOOKUP(LEFT($A126,LEN(A126)-1)*1,Master!$D$30:$G$229,4,FALSE)</f>
        <v>Neto povećanje obaveza</v>
      </c>
      <c r="C126" s="577"/>
      <c r="D126" s="577"/>
      <c r="E126" s="577"/>
      <c r="F126" s="577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1"/>
        <v>0</v>
      </c>
    </row>
    <row r="127" spans="1:22" ht="13.5" thickBot="1">
      <c r="A127" s="117" t="str">
        <f t="shared" si="26"/>
        <v>1000p</v>
      </c>
      <c r="B127" s="578" t="str">
        <f>+VLOOKUP(LEFT($A127,LEN(A127)-1)*1,Master!$D$30:$G$226,4,FALSE)</f>
        <v>Suficit / deficit</v>
      </c>
      <c r="C127" s="579"/>
      <c r="D127" s="579"/>
      <c r="E127" s="579"/>
      <c r="F127" s="579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69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80" t="str">
        <f>+VLOOKUP(LEFT($A128,LEN(A128)-1)*1,Master!$D$30:$G$226,4,FALSE)</f>
        <v>Primarni suficit/deficit</v>
      </c>
      <c r="C128" s="581"/>
      <c r="D128" s="581"/>
      <c r="E128" s="581"/>
      <c r="F128" s="581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69">
        <f t="shared" si="21"/>
        <v>-1.3426639863283505</v>
      </c>
    </row>
    <row r="129" spans="1:22">
      <c r="A129" s="117" t="str">
        <f t="shared" si="26"/>
        <v>46p</v>
      </c>
      <c r="B129" s="582" t="str">
        <f>+VLOOKUP(LEFT($A129,LEN(A129)-1)*1,Master!$D$30:$G$226,4,FALSE)</f>
        <v>Otplata dugova</v>
      </c>
      <c r="C129" s="583"/>
      <c r="D129" s="583"/>
      <c r="E129" s="583"/>
      <c r="F129" s="583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3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0">
        <f t="shared" si="21"/>
        <v>9.4014988176105767</v>
      </c>
    </row>
    <row r="130" spans="1:22">
      <c r="A130" s="117" t="str">
        <f t="shared" si="26"/>
        <v>4611p</v>
      </c>
      <c r="B130" s="574" t="str">
        <f>+VLOOKUP(LEFT($A130,LEN(A130)-1)*1,Master!$D$30:$G$226,4,FALSE)</f>
        <v>Otplata hartija od vrijednosti i kredita rezidentima</v>
      </c>
      <c r="C130" s="575"/>
      <c r="D130" s="575"/>
      <c r="E130" s="575"/>
      <c r="F130" s="575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2">
        <v>294018.01</v>
      </c>
      <c r="N130" s="482">
        <v>1750047.75</v>
      </c>
      <c r="O130" s="482">
        <v>2421267.87</v>
      </c>
      <c r="P130" s="482">
        <v>3875503.62</v>
      </c>
      <c r="Q130" s="482">
        <v>3741551.76</v>
      </c>
      <c r="R130" s="482">
        <v>2536618.6</v>
      </c>
      <c r="S130" s="103">
        <f t="shared" si="20"/>
        <v>85893831.950000018</v>
      </c>
      <c r="T130" s="471">
        <f t="shared" si="21"/>
        <v>1.8525176195919428</v>
      </c>
    </row>
    <row r="131" spans="1:22" ht="13.5" thickBot="1">
      <c r="A131" s="117" t="str">
        <f t="shared" si="26"/>
        <v>4612p</v>
      </c>
      <c r="B131" s="576" t="str">
        <f>+VLOOKUP(LEFT($A131,LEN(A131)-1)*1,Master!$D$30:$G$226,4,FALSE)</f>
        <v>Otplata hartija od vrijednosti i kredita nerezidentima</v>
      </c>
      <c r="C131" s="577"/>
      <c r="D131" s="577"/>
      <c r="E131" s="577"/>
      <c r="F131" s="577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2">
        <v>25464619.924741425</v>
      </c>
      <c r="N131" s="482">
        <v>3126864.3779565003</v>
      </c>
      <c r="O131" s="482">
        <v>11497770.422649164</v>
      </c>
      <c r="P131" s="482">
        <v>3625120.5096505</v>
      </c>
      <c r="Q131" s="482">
        <v>4121213.775667767</v>
      </c>
      <c r="R131" s="482">
        <v>4218746.7266666656</v>
      </c>
      <c r="S131" s="103">
        <f t="shared" si="20"/>
        <v>350016062.22733206</v>
      </c>
      <c r="T131" s="471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70" t="str">
        <f>+VLOOKUP(LEFT($A132,LEN(A132)-1)*1,Master!$D$30:$G$226,4,FALSE)</f>
        <v>Izdaci za kupovinu hartija od vrijednosti</v>
      </c>
      <c r="C132" s="571"/>
      <c r="D132" s="571"/>
      <c r="E132" s="571"/>
      <c r="F132" s="571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8">
        <f t="shared" si="20"/>
        <v>590000</v>
      </c>
      <c r="T132" s="478">
        <f t="shared" si="21"/>
        <v>1.2724841478669716E-2</v>
      </c>
    </row>
    <row r="133" spans="1:22" ht="13.5" thickBot="1">
      <c r="A133" s="117" t="str">
        <f t="shared" si="26"/>
        <v>1002p</v>
      </c>
      <c r="B133" s="572" t="str">
        <f>+VLOOKUP(LEFT($A133,LEN(A133)-1)*1,Master!$D$30:$G$226,4,FALSE)</f>
        <v>Nedostajuća sredstva</v>
      </c>
      <c r="C133" s="573"/>
      <c r="D133" s="573"/>
      <c r="E133" s="573"/>
      <c r="F133" s="573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3">
        <f t="shared" si="21"/>
        <v>-13.195644263074563</v>
      </c>
    </row>
    <row r="134" spans="1:22" ht="13.5" thickBot="1">
      <c r="A134" s="117" t="str">
        <f t="shared" si="26"/>
        <v>1003p</v>
      </c>
      <c r="B134" s="570" t="str">
        <f>+VLOOKUP(LEFT($A134,LEN(A134)-1)*1,Master!$D$30:$G$226,4,FALSE)</f>
        <v>Finansiranje</v>
      </c>
      <c r="C134" s="571"/>
      <c r="D134" s="571"/>
      <c r="E134" s="571"/>
      <c r="F134" s="571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4">
        <f t="shared" si="21"/>
        <v>13.195644263074563</v>
      </c>
    </row>
    <row r="135" spans="1:22">
      <c r="A135" s="117" t="str">
        <f t="shared" si="26"/>
        <v>7511p</v>
      </c>
      <c r="B135" s="574" t="str">
        <f>+VLOOKUP(LEFT($A135,LEN(A135)-1)*1,Master!$D$30:$G$226,4,FALSE)</f>
        <v>Pozajmice i krediti od domaćih izvora</v>
      </c>
      <c r="C135" s="575"/>
      <c r="D135" s="575"/>
      <c r="E135" s="575"/>
      <c r="F135" s="575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1">
        <f t="shared" si="21"/>
        <v>0</v>
      </c>
    </row>
    <row r="136" spans="1:22">
      <c r="A136" s="117" t="str">
        <f t="shared" si="26"/>
        <v>7512p</v>
      </c>
      <c r="B136" s="576" t="str">
        <f>+VLOOKUP(LEFT($A136,LEN(A136)-1)*1,Master!$D$30:$G$226,4,FALSE)</f>
        <v>Pozajmice i krediti od inostranih izvora</v>
      </c>
      <c r="C136" s="577"/>
      <c r="D136" s="577"/>
      <c r="E136" s="577"/>
      <c r="F136" s="577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1">
        <f t="shared" si="21"/>
        <v>3.5586421084415303</v>
      </c>
    </row>
    <row r="137" spans="1:22">
      <c r="A137" s="117" t="str">
        <f t="shared" si="26"/>
        <v>72p</v>
      </c>
      <c r="B137" s="576" t="str">
        <f>+VLOOKUP(LEFT($A137,LEN(A137)-1)*1,Master!$D$30:$G$226,4,FALSE)</f>
        <v>Primici od prodaje imovine</v>
      </c>
      <c r="C137" s="577"/>
      <c r="D137" s="577"/>
      <c r="E137" s="577"/>
      <c r="F137" s="577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1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5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619" t="str">
        <f>+Master!G252</f>
        <v>Ostvarenje budžeta</v>
      </c>
      <c r="C7" s="551"/>
      <c r="D7" s="551"/>
      <c r="E7" s="551"/>
      <c r="F7" s="551"/>
      <c r="G7" s="559">
        <v>2020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tr">
        <f>+Master!G249</f>
        <v>BDP</v>
      </c>
      <c r="T7" s="236">
        <v>4185600000</v>
      </c>
    </row>
    <row r="8" spans="1:20" ht="16.5" customHeight="1">
      <c r="A8" s="144"/>
      <c r="B8" s="552"/>
      <c r="C8" s="553"/>
      <c r="D8" s="553"/>
      <c r="E8" s="553"/>
      <c r="F8" s="554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59" t="str">
        <f>+Master!G247</f>
        <v>Jan - Dec</v>
      </c>
      <c r="T8" s="563"/>
    </row>
    <row r="9" spans="1:20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18" t="str">
        <f>+VLOOKUP($A10,Master!$D$30:$G$226,4,FALSE)</f>
        <v>Prihodi budžeta</v>
      </c>
      <c r="C10" s="519"/>
      <c r="D10" s="519"/>
      <c r="E10" s="519"/>
      <c r="F10" s="51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3">
        <f>+S10/$T$7*100</f>
        <v>39.146813852016443</v>
      </c>
    </row>
    <row r="11" spans="1:20">
      <c r="A11" s="150">
        <v>711</v>
      </c>
      <c r="B11" s="520" t="str">
        <f>+VLOOKUP($A11,Master!$D$30:$G$226,4,FALSE)</f>
        <v>Porezi</v>
      </c>
      <c r="C11" s="521"/>
      <c r="D11" s="521"/>
      <c r="E11" s="521"/>
      <c r="F11" s="52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4">
        <f t="shared" ref="T11:T64" si="4">+S11/$T$7*100</f>
        <v>23.081609190558101</v>
      </c>
    </row>
    <row r="12" spans="1:20">
      <c r="A12" s="150">
        <v>7111</v>
      </c>
      <c r="B12" s="522" t="str">
        <f>+VLOOKUP($A12,Master!$D$30:$G$226,4,FALSE)</f>
        <v>Porez na dohodak fizičkih lica</v>
      </c>
      <c r="C12" s="523"/>
      <c r="D12" s="523"/>
      <c r="E12" s="523"/>
      <c r="F12" s="523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5">
        <f t="shared" si="4"/>
        <v>2.827361163990826</v>
      </c>
    </row>
    <row r="13" spans="1:20">
      <c r="A13" s="150">
        <v>7112</v>
      </c>
      <c r="B13" s="522" t="str">
        <f>+VLOOKUP($A13,Master!$D$30:$G$226,4,FALSE)</f>
        <v>Porez na dobit pravnih lica</v>
      </c>
      <c r="C13" s="523"/>
      <c r="D13" s="523"/>
      <c r="E13" s="523"/>
      <c r="F13" s="523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5">
        <f t="shared" si="4"/>
        <v>1.8736944908734712</v>
      </c>
    </row>
    <row r="14" spans="1:20">
      <c r="A14" s="150">
        <v>7113</v>
      </c>
      <c r="B14" s="522" t="str">
        <f>+VLOOKUP($A14,Master!$D$30:$G$226,4,FALSE)</f>
        <v>Porez na promet nepokretnosti</v>
      </c>
      <c r="C14" s="523"/>
      <c r="D14" s="523"/>
      <c r="E14" s="523"/>
      <c r="F14" s="523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5">
        <f t="shared" si="4"/>
        <v>3.6875256116207955E-2</v>
      </c>
    </row>
    <row r="15" spans="1:20">
      <c r="A15" s="150">
        <v>7114</v>
      </c>
      <c r="B15" s="522" t="str">
        <f>+VLOOKUP($A15,Master!$D$30:$G$226,4,FALSE)</f>
        <v>Porez na dodatu vrijednost</v>
      </c>
      <c r="C15" s="523"/>
      <c r="D15" s="523"/>
      <c r="E15" s="523"/>
      <c r="F15" s="523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5">
        <f t="shared" si="4"/>
        <v>12.657215500525613</v>
      </c>
    </row>
    <row r="16" spans="1:20">
      <c r="A16" s="150">
        <v>7115</v>
      </c>
      <c r="B16" s="522" t="str">
        <f>+VLOOKUP($A16,Master!$D$30:$G$226,4,FALSE)</f>
        <v>Akcize</v>
      </c>
      <c r="C16" s="523"/>
      <c r="D16" s="523"/>
      <c r="E16" s="523"/>
      <c r="F16" s="523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5">
        <f t="shared" si="4"/>
        <v>4.9071243733276004</v>
      </c>
    </row>
    <row r="17" spans="1:25">
      <c r="A17" s="150">
        <v>7116</v>
      </c>
      <c r="B17" s="522" t="str">
        <f>+VLOOKUP($A17,Master!$D$30:$G$226,4,FALSE)</f>
        <v>Porez na međunarodnu trgovinu i transakcije</v>
      </c>
      <c r="C17" s="523"/>
      <c r="D17" s="523"/>
      <c r="E17" s="523"/>
      <c r="F17" s="523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5">
        <f t="shared" si="4"/>
        <v>0.5408522474675076</v>
      </c>
    </row>
    <row r="18" spans="1:25">
      <c r="A18" s="150">
        <v>7118</v>
      </c>
      <c r="B18" s="522" t="str">
        <f>+VLOOKUP($A18,Master!$D$30:$G$226,4,FALSE)</f>
        <v>Ostali državni porezi</v>
      </c>
      <c r="C18" s="523"/>
      <c r="D18" s="523"/>
      <c r="E18" s="523"/>
      <c r="F18" s="523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5">
        <f t="shared" si="4"/>
        <v>0.23848615825688071</v>
      </c>
    </row>
    <row r="19" spans="1:25">
      <c r="A19" s="150">
        <v>712</v>
      </c>
      <c r="B19" s="526" t="str">
        <f>+VLOOKUP($A19,Master!$D$30:$G$226,4,FALSE)</f>
        <v>Doprinosi</v>
      </c>
      <c r="C19" s="527"/>
      <c r="D19" s="527"/>
      <c r="E19" s="527"/>
      <c r="F19" s="52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6">
        <f t="shared" si="4"/>
        <v>12.686844691083715</v>
      </c>
    </row>
    <row r="20" spans="1:25">
      <c r="A20" s="150">
        <v>7121</v>
      </c>
      <c r="B20" s="522" t="str">
        <f>+VLOOKUP($A20,Master!$D$30:$G$226,4,FALSE)</f>
        <v>Doprinosi za penzijsko i invalidsko osiguranje</v>
      </c>
      <c r="C20" s="523"/>
      <c r="D20" s="523"/>
      <c r="E20" s="523"/>
      <c r="F20" s="523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5">
        <f t="shared" si="4"/>
        <v>7.9034619619648323</v>
      </c>
    </row>
    <row r="21" spans="1:25">
      <c r="A21" s="150">
        <v>7122</v>
      </c>
      <c r="B21" s="522" t="str">
        <f>+VLOOKUP($A21,Master!$D$30:$G$226,4,FALSE)</f>
        <v>Doprinosi za zdravstveno osiguranje</v>
      </c>
      <c r="C21" s="523"/>
      <c r="D21" s="523"/>
      <c r="E21" s="523"/>
      <c r="F21" s="523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5">
        <f t="shared" si="4"/>
        <v>4.0988543831230881</v>
      </c>
    </row>
    <row r="22" spans="1:25">
      <c r="A22" s="150">
        <v>7123</v>
      </c>
      <c r="B22" s="522" t="str">
        <f>+VLOOKUP($A22,Master!$D$30:$G$226,4,FALSE)</f>
        <v>Doprinosi za osiguranje od nezaposlenosti</v>
      </c>
      <c r="C22" s="523"/>
      <c r="D22" s="523"/>
      <c r="E22" s="523"/>
      <c r="F22" s="523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5">
        <f t="shared" si="4"/>
        <v>0.3683970890672783</v>
      </c>
    </row>
    <row r="23" spans="1:25">
      <c r="A23" s="150">
        <v>7124</v>
      </c>
      <c r="B23" s="522" t="str">
        <f>+VLOOKUP($A23,Master!$D$30:$G$226,4,FALSE)</f>
        <v>Ostali doprinosi</v>
      </c>
      <c r="C23" s="523"/>
      <c r="D23" s="523"/>
      <c r="E23" s="523"/>
      <c r="F23" s="523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5">
        <f t="shared" si="4"/>
        <v>0.31613125692851679</v>
      </c>
      <c r="Y23" s="305"/>
    </row>
    <row r="24" spans="1:25">
      <c r="A24" s="150">
        <v>713</v>
      </c>
      <c r="B24" s="524" t="str">
        <f>+VLOOKUP($A24,Master!$D$30:$G$226,4,FALSE)</f>
        <v>Takse</v>
      </c>
      <c r="C24" s="525"/>
      <c r="D24" s="525"/>
      <c r="E24" s="525"/>
      <c r="F24" s="525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6">
        <f t="shared" si="4"/>
        <v>0.25411990754013764</v>
      </c>
      <c r="Y24" s="305"/>
    </row>
    <row r="25" spans="1:25">
      <c r="A25" s="150">
        <v>714</v>
      </c>
      <c r="B25" s="524" t="str">
        <f>+VLOOKUP($A25,Master!$D$30:$G$226,4,FALSE)</f>
        <v>Naknade</v>
      </c>
      <c r="C25" s="525"/>
      <c r="D25" s="525"/>
      <c r="E25" s="525"/>
      <c r="F25" s="525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6">
        <f t="shared" si="4"/>
        <v>0.66463075926987769</v>
      </c>
      <c r="W25" s="292"/>
    </row>
    <row r="26" spans="1:25">
      <c r="A26" s="150">
        <v>715</v>
      </c>
      <c r="B26" s="524" t="str">
        <f>+VLOOKUP($A26,Master!$D$30:$G$226,4,FALSE)</f>
        <v>Ostali prihodi</v>
      </c>
      <c r="C26" s="525"/>
      <c r="D26" s="525"/>
      <c r="E26" s="525"/>
      <c r="F26" s="525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6">
        <f t="shared" si="4"/>
        <v>0.89869098313264495</v>
      </c>
      <c r="W26" s="311"/>
    </row>
    <row r="27" spans="1:25">
      <c r="A27" s="150">
        <v>73</v>
      </c>
      <c r="B27" s="524" t="str">
        <f>+VLOOKUP($A27,Master!$D$30:$G$226,4,FALSE)</f>
        <v>Primici od otplate kredita i sredstva prenesena iz prethodne godine</v>
      </c>
      <c r="C27" s="525"/>
      <c r="D27" s="525"/>
      <c r="E27" s="525"/>
      <c r="F27" s="525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6">
        <f t="shared" si="4"/>
        <v>0.17715297090022936</v>
      </c>
    </row>
    <row r="28" spans="1:25" ht="13.5" thickBot="1">
      <c r="A28" s="150">
        <v>74</v>
      </c>
      <c r="B28" s="528" t="str">
        <f>+VLOOKUP($A28,Master!$D$30:$G$226,4,FALSE)</f>
        <v>Donacije i transferi</v>
      </c>
      <c r="C28" s="529"/>
      <c r="D28" s="529"/>
      <c r="E28" s="529"/>
      <c r="F28" s="529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7">
        <f t="shared" si="4"/>
        <v>1.3837653495317279</v>
      </c>
    </row>
    <row r="29" spans="1:25" ht="13.5" thickBot="1">
      <c r="A29" s="150">
        <v>4</v>
      </c>
      <c r="B29" s="530" t="str">
        <f>+VLOOKUP($A29,Master!$D$30:$G$226,4,FALSE)</f>
        <v>Izdaci budžeta</v>
      </c>
      <c r="C29" s="531"/>
      <c r="D29" s="531"/>
      <c r="E29" s="531"/>
      <c r="F29" s="531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8">
        <f t="shared" si="4"/>
        <v>49.328204113627663</v>
      </c>
    </row>
    <row r="30" spans="1:25">
      <c r="A30" s="150">
        <v>41</v>
      </c>
      <c r="B30" s="534" t="str">
        <f>+VLOOKUP($A30,Master!$D$30:$G$226,4,FALSE)</f>
        <v>Tekući izdaci</v>
      </c>
      <c r="C30" s="535"/>
      <c r="D30" s="535"/>
      <c r="E30" s="535"/>
      <c r="F30" s="53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3">
        <f t="shared" si="3"/>
        <v>858015865.80999994</v>
      </c>
      <c r="T30" s="434">
        <f t="shared" si="4"/>
        <v>20.499232268014143</v>
      </c>
    </row>
    <row r="31" spans="1:25">
      <c r="A31" s="150">
        <v>411</v>
      </c>
      <c r="B31" s="522" t="str">
        <f>+VLOOKUP($A31,Master!$D$30:$G$226,4,FALSE)</f>
        <v>Bruto zarade i doprinosi na teret poslodavca</v>
      </c>
      <c r="C31" s="523"/>
      <c r="D31" s="523"/>
      <c r="E31" s="523"/>
      <c r="F31" s="523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5">
        <f t="shared" si="4"/>
        <v>11.92533854405581</v>
      </c>
    </row>
    <row r="32" spans="1:25">
      <c r="A32" s="150">
        <v>412</v>
      </c>
      <c r="B32" s="522" t="str">
        <f>+VLOOKUP($A32,Master!$D$30:$G$226,4,FALSE)</f>
        <v>Ostala lična primanja</v>
      </c>
      <c r="C32" s="523"/>
      <c r="D32" s="523"/>
      <c r="E32" s="523"/>
      <c r="F32" s="523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5">
        <f t="shared" si="4"/>
        <v>0.30866892512423549</v>
      </c>
    </row>
    <row r="33" spans="1:23">
      <c r="A33" s="150">
        <v>413</v>
      </c>
      <c r="B33" s="522" t="str">
        <f>+VLOOKUP($A33,Master!$D$30:$G$226,4,FALSE)</f>
        <v>Rashodi za materijal</v>
      </c>
      <c r="C33" s="523"/>
      <c r="D33" s="523"/>
      <c r="E33" s="523"/>
      <c r="F33" s="523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5">
        <f t="shared" si="4"/>
        <v>0.95395377293577988</v>
      </c>
      <c r="V33" s="291"/>
    </row>
    <row r="34" spans="1:23" s="360" customFormat="1">
      <c r="A34" s="359">
        <v>414</v>
      </c>
      <c r="B34" s="617" t="str">
        <f>+VLOOKUP($A34,Master!$D$30:$G$226,4,FALSE)</f>
        <v>Rashodi za usluge</v>
      </c>
      <c r="C34" s="618"/>
      <c r="D34" s="618"/>
      <c r="E34" s="618"/>
      <c r="F34" s="618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5">
        <f t="shared" si="4"/>
        <v>1.7738425862480884</v>
      </c>
      <c r="U34" s="258"/>
    </row>
    <row r="35" spans="1:23">
      <c r="A35" s="150">
        <v>415</v>
      </c>
      <c r="B35" s="522" t="str">
        <f>+VLOOKUP($A35,Master!$D$30:$G$226,4,FALSE)</f>
        <v>Rashodi za tekuće održavanje</v>
      </c>
      <c r="C35" s="523"/>
      <c r="D35" s="523"/>
      <c r="E35" s="523"/>
      <c r="F35" s="523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5">
        <f t="shared" si="4"/>
        <v>0.58208342388188083</v>
      </c>
    </row>
    <row r="36" spans="1:23">
      <c r="A36" s="150">
        <v>416</v>
      </c>
      <c r="B36" s="522" t="str">
        <f>+VLOOKUP($A36,Master!$D$30:$G$226,4,FALSE)</f>
        <v>Kamate</v>
      </c>
      <c r="C36" s="523"/>
      <c r="D36" s="523"/>
      <c r="E36" s="523"/>
      <c r="F36" s="523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5">
        <f t="shared" si="4"/>
        <v>2.6545515183008415</v>
      </c>
    </row>
    <row r="37" spans="1:23">
      <c r="A37" s="150">
        <v>417</v>
      </c>
      <c r="B37" s="522" t="str">
        <f>+VLOOKUP($A37,Master!$D$30:$G$226,4,FALSE)</f>
        <v>Renta</v>
      </c>
      <c r="C37" s="523"/>
      <c r="D37" s="523"/>
      <c r="E37" s="523"/>
      <c r="F37" s="523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5">
        <f t="shared" si="4"/>
        <v>0.27163620030581043</v>
      </c>
    </row>
    <row r="38" spans="1:23">
      <c r="A38" s="150">
        <v>418</v>
      </c>
      <c r="B38" s="522" t="str">
        <f>+VLOOKUP($A38,Master!$D$30:$G$226,4,FALSE)</f>
        <v>Subvencije</v>
      </c>
      <c r="C38" s="523"/>
      <c r="D38" s="523"/>
      <c r="E38" s="523"/>
      <c r="F38" s="523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5">
        <f t="shared" si="4"/>
        <v>0.86783859709480116</v>
      </c>
    </row>
    <row r="39" spans="1:23" s="360" customFormat="1">
      <c r="A39" s="359">
        <v>419</v>
      </c>
      <c r="B39" s="617" t="str">
        <f>+VLOOKUP($A39,Master!$D$30:$G$226,4,FALSE)</f>
        <v>Ostali izdaci</v>
      </c>
      <c r="C39" s="618"/>
      <c r="D39" s="618"/>
      <c r="E39" s="618"/>
      <c r="F39" s="618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5">
        <f t="shared" si="4"/>
        <v>1.1613187000668961</v>
      </c>
      <c r="U39" s="258"/>
    </row>
    <row r="40" spans="1:23">
      <c r="A40" s="150">
        <v>42</v>
      </c>
      <c r="B40" s="538" t="str">
        <f>+VLOOKUP($A40,Master!$D$30:$G$226,4,FALSE)</f>
        <v>Transferi za socijalnu zaštitu</v>
      </c>
      <c r="C40" s="539"/>
      <c r="D40" s="539"/>
      <c r="E40" s="539"/>
      <c r="F40" s="539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6">
        <f t="shared" si="4"/>
        <v>13.347643551701072</v>
      </c>
      <c r="U40" s="242"/>
      <c r="W40" s="309"/>
    </row>
    <row r="41" spans="1:23">
      <c r="A41" s="150">
        <v>421</v>
      </c>
      <c r="B41" s="522" t="str">
        <f>+VLOOKUP($A41,Master!$D$30:$G$226,4,FALSE)</f>
        <v>Prava iz oblasti socijalne zaštite</v>
      </c>
      <c r="C41" s="523"/>
      <c r="D41" s="523"/>
      <c r="E41" s="523"/>
      <c r="F41" s="523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5">
        <f t="shared" si="4"/>
        <v>1.9227658534021408</v>
      </c>
      <c r="U41" s="242"/>
    </row>
    <row r="42" spans="1:23">
      <c r="A42" s="150">
        <v>422</v>
      </c>
      <c r="B42" s="522" t="str">
        <f>+VLOOKUP($A42,Master!$D$30:$G$226,4,FALSE)</f>
        <v>Sredstva za tehnološke viškove</v>
      </c>
      <c r="C42" s="523"/>
      <c r="D42" s="523"/>
      <c r="E42" s="523"/>
      <c r="F42" s="523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5">
        <f t="shared" si="4"/>
        <v>0.48018163704128441</v>
      </c>
      <c r="U42" s="242"/>
    </row>
    <row r="43" spans="1:23">
      <c r="A43" s="150">
        <v>423</v>
      </c>
      <c r="B43" s="522" t="str">
        <f>+VLOOKUP($A43,Master!$D$30:$G$226,4,FALSE)</f>
        <v>Prava iz oblasti penzijskog i invalidskog osiguranja</v>
      </c>
      <c r="C43" s="523"/>
      <c r="D43" s="523"/>
      <c r="E43" s="523"/>
      <c r="F43" s="523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5">
        <f t="shared" si="4"/>
        <v>10.22724545775994</v>
      </c>
      <c r="U43" s="242"/>
    </row>
    <row r="44" spans="1:23">
      <c r="A44" s="150">
        <v>424</v>
      </c>
      <c r="B44" s="522" t="str">
        <f>+VLOOKUP($A44,Master!$D$30:$G$226,4,FALSE)</f>
        <v>Ostala prava iz oblasti zdravstvene zaštite</v>
      </c>
      <c r="C44" s="523"/>
      <c r="D44" s="523"/>
      <c r="E44" s="523"/>
      <c r="F44" s="523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5">
        <f t="shared" si="4"/>
        <v>0.48311802370030571</v>
      </c>
      <c r="U44" s="242"/>
    </row>
    <row r="45" spans="1:23" s="360" customFormat="1">
      <c r="A45" s="359">
        <v>425</v>
      </c>
      <c r="B45" s="613" t="str">
        <f>+VLOOKUP($A45,Master!$D$30:$G$226,4,FALSE)</f>
        <v>Ostala prava iz zdravstvenog osiguranja</v>
      </c>
      <c r="C45" s="614"/>
      <c r="D45" s="614"/>
      <c r="E45" s="614"/>
      <c r="F45" s="614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5">
        <f t="shared" si="4"/>
        <v>0.23433257979740058</v>
      </c>
      <c r="U45" s="242"/>
    </row>
    <row r="46" spans="1:23">
      <c r="A46" s="150">
        <v>43</v>
      </c>
      <c r="B46" s="536" t="str">
        <f>+VLOOKUP($A46,Master!$D$30:$G$226,4,FALSE)</f>
        <v xml:space="preserve">Transferi institucijama, pojedincima, nevladinom i javnom sektoru </v>
      </c>
      <c r="C46" s="537"/>
      <c r="D46" s="537"/>
      <c r="E46" s="537"/>
      <c r="F46" s="537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6">
        <f t="shared" si="4"/>
        <v>6.7194405222668205</v>
      </c>
      <c r="U46" s="242"/>
    </row>
    <row r="47" spans="1:23">
      <c r="A47" s="150">
        <v>44</v>
      </c>
      <c r="B47" s="536" t="str">
        <f>+VLOOKUP($A47,Master!$D$30:$G$226,4,FALSE)</f>
        <v>Kapitalni izdaci</v>
      </c>
      <c r="C47" s="537"/>
      <c r="D47" s="537"/>
      <c r="E47" s="537"/>
      <c r="F47" s="537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6">
        <f t="shared" si="4"/>
        <v>5.4935233579415135</v>
      </c>
      <c r="U47" s="242"/>
    </row>
    <row r="48" spans="1:23">
      <c r="A48" s="150">
        <v>451</v>
      </c>
      <c r="B48" s="615" t="str">
        <f>+VLOOKUP($A48,Master!$D$30:$G$226,4,FALSE)</f>
        <v>Pozajmice i krediti</v>
      </c>
      <c r="C48" s="616"/>
      <c r="D48" s="616"/>
      <c r="E48" s="616"/>
      <c r="F48" s="616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5">
        <f t="shared" si="4"/>
        <v>3.8500262805810398E-2</v>
      </c>
      <c r="U48" s="242"/>
    </row>
    <row r="49" spans="1:22" s="360" customFormat="1">
      <c r="A49" s="359">
        <v>47</v>
      </c>
      <c r="B49" s="607" t="str">
        <f>+VLOOKUP($A49,Master!$D$30:$G$226,4,FALSE)</f>
        <v>Rezerve</v>
      </c>
      <c r="C49" s="608"/>
      <c r="D49" s="608"/>
      <c r="E49" s="608"/>
      <c r="F49" s="608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5">
        <f t="shared" si="4"/>
        <v>2.7812908352446479</v>
      </c>
      <c r="U49" s="242"/>
    </row>
    <row r="50" spans="1:22" ht="13.5" thickBot="1">
      <c r="A50" s="150">
        <v>462</v>
      </c>
      <c r="B50" s="542" t="str">
        <f>+VLOOKUP($A50,Master!$D$30:$G$226,4,FALSE)</f>
        <v>Otplata garancija</v>
      </c>
      <c r="C50" s="543"/>
      <c r="D50" s="543"/>
      <c r="E50" s="543"/>
      <c r="F50" s="54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5">
        <f t="shared" si="4"/>
        <v>0</v>
      </c>
      <c r="U50" s="242"/>
      <c r="V50" s="293"/>
    </row>
    <row r="51" spans="1:22" ht="13.5" thickBot="1">
      <c r="A51" s="144">
        <v>4630</v>
      </c>
      <c r="B51" s="609" t="str">
        <f>+VLOOKUP($A51,Master!$D$30:$G$226,4,TRUE)</f>
        <v>Otplata obaveza iz prethodnog perioda</v>
      </c>
      <c r="C51" s="610"/>
      <c r="D51" s="610"/>
      <c r="E51" s="610"/>
      <c r="F51" s="610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4">
        <f>+SUM(G51:R51)</f>
        <v>18775484.700000003</v>
      </c>
      <c r="T51" s="439">
        <f t="shared" si="4"/>
        <v>0.44857331565366981</v>
      </c>
      <c r="U51" s="242"/>
    </row>
    <row r="52" spans="1:22" ht="13.5" thickBot="1">
      <c r="A52" s="70">
        <v>1005</v>
      </c>
      <c r="B52" s="611" t="str">
        <f>+VLOOKUP($A52,Master!$D$30:$G$228,4,FALSE)</f>
        <v>Neto povećanje obaveza</v>
      </c>
      <c r="C52" s="612"/>
      <c r="D52" s="612"/>
      <c r="E52" s="612"/>
      <c r="F52" s="612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0">
        <f t="shared" si="4"/>
        <v>0</v>
      </c>
    </row>
    <row r="53" spans="1:22" ht="13.5" thickBot="1">
      <c r="A53" s="144">
        <v>1000</v>
      </c>
      <c r="B53" s="544" t="str">
        <f>+VLOOKUP($A53,Master!$D$30:$G$226,4,FALSE)</f>
        <v>Suficit / deficit</v>
      </c>
      <c r="C53" s="545"/>
      <c r="D53" s="545"/>
      <c r="E53" s="545"/>
      <c r="F53" s="545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1">
        <f t="shared" si="4"/>
        <v>-10.181390261611241</v>
      </c>
    </row>
    <row r="54" spans="1:22" ht="13.5" thickBot="1">
      <c r="A54" s="144">
        <v>1001</v>
      </c>
      <c r="B54" s="546" t="str">
        <f>+VLOOKUP($A54,Master!$D$30:$G$226,4,FALSE)</f>
        <v>Primarni suficit/deficit</v>
      </c>
      <c r="C54" s="547"/>
      <c r="D54" s="547"/>
      <c r="E54" s="547"/>
      <c r="F54" s="547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1">
        <f t="shared" si="4"/>
        <v>-7.5268387433103978</v>
      </c>
    </row>
    <row r="55" spans="1:22">
      <c r="A55" s="144">
        <v>46</v>
      </c>
      <c r="B55" s="568" t="str">
        <f>+VLOOKUP($A55,Master!$D$30:$G$226,4,FALSE)</f>
        <v>Otplata dugova</v>
      </c>
      <c r="C55" s="569"/>
      <c r="D55" s="569"/>
      <c r="E55" s="569"/>
      <c r="F55" s="569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2">
        <f t="shared" si="4"/>
        <v>15.90801867426414</v>
      </c>
      <c r="V55" s="309"/>
    </row>
    <row r="56" spans="1:22">
      <c r="A56" s="144">
        <v>4611</v>
      </c>
      <c r="B56" s="564" t="str">
        <f>+VLOOKUP($A56,Master!$D$30:$G$226,4,FALSE)</f>
        <v>Otplata hartija od vrijednosti i kredita rezidentima</v>
      </c>
      <c r="C56" s="565"/>
      <c r="D56" s="565"/>
      <c r="E56" s="565"/>
      <c r="F56" s="565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3">
        <f t="shared" si="4"/>
        <v>5.8341507953459475</v>
      </c>
      <c r="V56" s="352"/>
    </row>
    <row r="57" spans="1:22" ht="13.5" thickBot="1">
      <c r="A57" s="144">
        <v>4612</v>
      </c>
      <c r="B57" s="540" t="str">
        <f>+VLOOKUP($A57,Master!$D$30:$G$226,4,FALSE)</f>
        <v>Otplata hartija od vrijednosti i kredita nerezidentima</v>
      </c>
      <c r="C57" s="541"/>
      <c r="D57" s="541"/>
      <c r="E57" s="541"/>
      <c r="F57" s="541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3">
        <f t="shared" si="4"/>
        <v>10.073867878918195</v>
      </c>
      <c r="V57" s="318"/>
    </row>
    <row r="58" spans="1:22" ht="13.5" thickBot="1">
      <c r="A58" s="144">
        <v>4418</v>
      </c>
      <c r="B58" s="532" t="str">
        <f>+VLOOKUP($A58,Master!$D$30:$G$226,4,FALSE)</f>
        <v>Izdaci za kupovinu hartija od vrijednosti</v>
      </c>
      <c r="C58" s="533"/>
      <c r="D58" s="533"/>
      <c r="E58" s="533"/>
      <c r="F58" s="533"/>
      <c r="G58" s="459">
        <f>+INDEX(DataEx!$1:$1048576,MATCH('2020'!$A58,DataEx!$D:$D,0),MATCH('2020'!G$6,DataEx!$7:$7,0))</f>
        <v>0</v>
      </c>
      <c r="H58" s="459">
        <f>+INDEX(DataEx!$1:$1048576,MATCH('2020'!$A58,DataEx!$D:$D,0),MATCH('2020'!H$6,DataEx!$7:$7,0))</f>
        <v>0</v>
      </c>
      <c r="I58" s="459">
        <f>+INDEX(DataEx!$1:$1048576,MATCH('2020'!$A58,DataEx!$D:$D,0),MATCH('2020'!I$6,DataEx!$7:$7,0))</f>
        <v>0</v>
      </c>
      <c r="J58" s="459">
        <f>+INDEX(DataEx!$1:$1048576,MATCH('2020'!$A58,DataEx!$D:$D,0),MATCH('2020'!J$6,DataEx!$7:$7,0))</f>
        <v>0</v>
      </c>
      <c r="K58" s="459">
        <f>+INDEX(DataEx!$1:$1048576,MATCH('2020'!$A58,DataEx!$D:$D,0),MATCH('2020'!K$6,DataEx!$7:$7,0))</f>
        <v>0</v>
      </c>
      <c r="L58" s="459">
        <f>+INDEX(DataEx!$1:$1048576,MATCH('2020'!$A58,DataEx!$D:$D,0),MATCH('2020'!L$6,DataEx!$7:$7,0))</f>
        <v>0</v>
      </c>
      <c r="M58" s="459">
        <f>+INDEX(DataEx!$1:$1048576,MATCH('2020'!$A58,DataEx!$D:$D,0),MATCH('2020'!M$6,DataEx!$7:$7,0))</f>
        <v>0</v>
      </c>
      <c r="N58" s="459">
        <f>+INDEX(DataEx!$1:$1048576,MATCH('2020'!$A58,DataEx!$D:$D,0),MATCH('2020'!N$6,DataEx!$7:$7,0))</f>
        <v>0</v>
      </c>
      <c r="O58" s="459">
        <f>+INDEX(DataEx!$1:$1048576,MATCH('2020'!$A58,DataEx!$D:$D,0),MATCH('2020'!O$6,DataEx!$7:$7,0))</f>
        <v>940769.61</v>
      </c>
      <c r="P58" s="459">
        <f>+INDEX(DataEx!$1:$1048576,MATCH('2020'!$A58,DataEx!$D:$D,0),MATCH('2020'!P$6,DataEx!$7:$7,0))</f>
        <v>0</v>
      </c>
      <c r="Q58" s="459">
        <f>+INDEX(DataEx!$1:$1048576,MATCH('2020'!$A58,DataEx!$D:$D,0),MATCH('2020'!Q$6,DataEx!$7:$7,0))</f>
        <v>0</v>
      </c>
      <c r="R58" s="460">
        <f>+INDEX(DataEx!$1:$1048576,MATCH('2020'!$A58,DataEx!$D:$D,0),MATCH('2020'!R$6,DataEx!$7:$7,0))</f>
        <v>0</v>
      </c>
      <c r="S58" s="249">
        <f>SUM(G58:R58)</f>
        <v>940769.61</v>
      </c>
      <c r="T58" s="444">
        <f t="shared" si="4"/>
        <v>2.2476338159403669E-2</v>
      </c>
      <c r="V58" s="318"/>
    </row>
    <row r="59" spans="1:22" ht="13.5" thickBot="1">
      <c r="A59" s="144">
        <v>1002</v>
      </c>
      <c r="B59" s="566" t="str">
        <f>+VLOOKUP($A59,Master!$D$30:$G$226,4,FALSE)</f>
        <v>Nedostajuća sredstva</v>
      </c>
      <c r="C59" s="567"/>
      <c r="D59" s="567"/>
      <c r="E59" s="567"/>
      <c r="F59" s="567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5">
        <f t="shared" si="4"/>
        <v>-26.111885274034783</v>
      </c>
    </row>
    <row r="60" spans="1:22" ht="13.5" thickBot="1">
      <c r="A60" s="144">
        <v>1003</v>
      </c>
      <c r="B60" s="530" t="str">
        <f>+VLOOKUP($A60,Master!$D$30:$G$226,4,FALSE)</f>
        <v>Finansiranje</v>
      </c>
      <c r="C60" s="531"/>
      <c r="D60" s="531"/>
      <c r="E60" s="531"/>
      <c r="F60" s="531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6">
        <f t="shared" si="4"/>
        <v>26.111885274034783</v>
      </c>
    </row>
    <row r="61" spans="1:22">
      <c r="A61" s="144">
        <v>7511</v>
      </c>
      <c r="B61" s="564" t="str">
        <f>+VLOOKUP($A61,Master!$D$30:$G$226,4,FALSE)</f>
        <v>Pozajmice i krediti od domaćih izvora</v>
      </c>
      <c r="C61" s="565"/>
      <c r="D61" s="565"/>
      <c r="E61" s="565"/>
      <c r="F61" s="565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3">
        <f t="shared" si="4"/>
        <v>4.0025816879300455</v>
      </c>
    </row>
    <row r="62" spans="1:22">
      <c r="A62" s="144">
        <v>7512</v>
      </c>
      <c r="B62" s="540" t="str">
        <f>+VLOOKUP($A62,Master!$D$30:$G$226,4,FALSE)</f>
        <v>Pozajmice i krediti od inostranih izvora</v>
      </c>
      <c r="C62" s="541"/>
      <c r="D62" s="541"/>
      <c r="E62" s="541"/>
      <c r="F62" s="541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3">
        <f t="shared" si="4"/>
        <v>28.329148839353973</v>
      </c>
    </row>
    <row r="63" spans="1:22">
      <c r="A63" s="144">
        <v>72</v>
      </c>
      <c r="B63" s="540" t="str">
        <f>+VLOOKUP($A63,Master!$D$30:$G$226,4,FALSE)</f>
        <v>Primici od prodaje imovine</v>
      </c>
      <c r="C63" s="541"/>
      <c r="D63" s="541"/>
      <c r="E63" s="541"/>
      <c r="F63" s="541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3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7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96" t="str">
        <f>+Master!G253</f>
        <v>Plan ostvarenja budžeta</v>
      </c>
      <c r="C100" s="597"/>
      <c r="D100" s="597"/>
      <c r="E100" s="597"/>
      <c r="F100" s="597"/>
      <c r="G100" s="604">
        <v>2020</v>
      </c>
      <c r="H100" s="605"/>
      <c r="I100" s="605"/>
      <c r="J100" s="605"/>
      <c r="K100" s="605"/>
      <c r="L100" s="605"/>
      <c r="M100" s="605"/>
      <c r="N100" s="605"/>
      <c r="O100" s="605"/>
      <c r="P100" s="605"/>
      <c r="Q100" s="605"/>
      <c r="R100" s="606"/>
      <c r="S100" s="107" t="str">
        <f>+S7</f>
        <v>BDP</v>
      </c>
      <c r="T100" s="108">
        <v>4607300000</v>
      </c>
    </row>
    <row r="101" spans="1:21" ht="15.75" customHeight="1">
      <c r="B101" s="598"/>
      <c r="C101" s="599"/>
      <c r="D101" s="599"/>
      <c r="E101" s="599"/>
      <c r="F101" s="600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04" t="str">
        <f>+Master!G247</f>
        <v>Jan - Dec</v>
      </c>
      <c r="T101" s="606">
        <f>+T8</f>
        <v>0</v>
      </c>
    </row>
    <row r="102" spans="1:21" ht="13.5" thickBot="1">
      <c r="B102" s="601"/>
      <c r="C102" s="602"/>
      <c r="D102" s="602"/>
      <c r="E102" s="602"/>
      <c r="F102" s="603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20" t="str">
        <f>+VLOOKUP(LEFT($A103,LEN(A103)-1)*1,Master!$D$30:$G$226,4,FALSE)</f>
        <v>Prihodi budžeta</v>
      </c>
      <c r="C103" s="621"/>
      <c r="D103" s="621"/>
      <c r="E103" s="621"/>
      <c r="F103" s="62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2">
        <f>+SUM(G103:R103)</f>
        <v>1704989389.157774</v>
      </c>
      <c r="T103" s="453">
        <f>+S103/$T$100*100</f>
        <v>37.006259396127319</v>
      </c>
    </row>
    <row r="104" spans="1:21">
      <c r="A104" s="116" t="str">
        <f t="shared" si="16"/>
        <v>711p</v>
      </c>
      <c r="B104" s="594" t="str">
        <f>+VLOOKUP(LEFT($A104,LEN(A104)-1)*1,Master!$D$30:$G$226,4,FALSE)</f>
        <v>Porezi</v>
      </c>
      <c r="C104" s="595"/>
      <c r="D104" s="595"/>
      <c r="E104" s="595"/>
      <c r="F104" s="595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4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86" t="str">
        <f>+VLOOKUP(LEFT($A105,LEN(A105)-1)*1,Master!$D$30:$G$229,4,FALSE)</f>
        <v>Porez na dohodak fizičkih lica</v>
      </c>
      <c r="C105" s="587"/>
      <c r="D105" s="587"/>
      <c r="E105" s="587"/>
      <c r="F105" s="587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5">
        <f t="shared" si="20"/>
        <v>2.4452362067202373</v>
      </c>
    </row>
    <row r="106" spans="1:21">
      <c r="A106" s="116" t="str">
        <f t="shared" si="16"/>
        <v>7112p</v>
      </c>
      <c r="B106" s="586" t="str">
        <f>+VLOOKUP(LEFT($A106,LEN(A106)-1)*1,Master!$D$30:$G$229,4,FALSE)</f>
        <v>Porez na dobit pravnih lica</v>
      </c>
      <c r="C106" s="587"/>
      <c r="D106" s="587"/>
      <c r="E106" s="587"/>
      <c r="F106" s="587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5">
        <f t="shared" si="20"/>
        <v>1.4671745812461314</v>
      </c>
    </row>
    <row r="107" spans="1:21">
      <c r="A107" s="116" t="str">
        <f t="shared" si="16"/>
        <v>7113p</v>
      </c>
      <c r="B107" s="586" t="str">
        <f>+VLOOKUP(LEFT($A107,LEN(A107)-1)*1,Master!$D$30:$G$229,4,FALSE)</f>
        <v>Porez na promet nepokretnosti</v>
      </c>
      <c r="C107" s="587"/>
      <c r="D107" s="587"/>
      <c r="E107" s="587"/>
      <c r="F107" s="587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5">
        <f t="shared" si="20"/>
        <v>4.1303611443361622E-2</v>
      </c>
    </row>
    <row r="108" spans="1:21">
      <c r="A108" s="116" t="str">
        <f t="shared" si="16"/>
        <v>7114p</v>
      </c>
      <c r="B108" s="586" t="str">
        <f>+VLOOKUP(LEFT($A108,LEN(A108)-1)*1,Master!$D$30:$G$229,4,FALSE)</f>
        <v>Porez na dodatu vrijednost</v>
      </c>
      <c r="C108" s="587"/>
      <c r="D108" s="587"/>
      <c r="E108" s="587"/>
      <c r="F108" s="587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5">
        <f t="shared" si="20"/>
        <v>13.365384391976216</v>
      </c>
    </row>
    <row r="109" spans="1:21">
      <c r="A109" s="116" t="str">
        <f t="shared" si="16"/>
        <v>7115p</v>
      </c>
      <c r="B109" s="586" t="str">
        <f>+VLOOKUP(LEFT($A109,LEN(A109)-1)*1,Master!$D$30:$G$229,4,FALSE)</f>
        <v>Akcize</v>
      </c>
      <c r="C109" s="587"/>
      <c r="D109" s="587"/>
      <c r="E109" s="587"/>
      <c r="F109" s="587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5">
        <f t="shared" si="20"/>
        <v>4.8051517235226715</v>
      </c>
    </row>
    <row r="110" spans="1:21">
      <c r="A110" s="116" t="str">
        <f t="shared" si="16"/>
        <v>7116p</v>
      </c>
      <c r="B110" s="586" t="str">
        <f>+VLOOKUP(LEFT($A110,LEN(A110)-1)*1,Master!$D$30:$G$229,4,FALSE)</f>
        <v>Porez na međunarodnu trgovinu i transakcije</v>
      </c>
      <c r="C110" s="587"/>
      <c r="D110" s="587"/>
      <c r="E110" s="587"/>
      <c r="F110" s="587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5">
        <f t="shared" si="20"/>
        <v>0.58139087437023862</v>
      </c>
    </row>
    <row r="111" spans="1:21">
      <c r="A111" s="116" t="str">
        <f t="shared" si="16"/>
        <v>7118p</v>
      </c>
      <c r="B111" s="586" t="str">
        <f>+VLOOKUP(LEFT($A111,LEN(A111)-1)*1,Master!$D$30:$G$229,4,FALSE)</f>
        <v>Ostali državni porezi</v>
      </c>
      <c r="C111" s="587"/>
      <c r="D111" s="587"/>
      <c r="E111" s="587"/>
      <c r="F111" s="587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5">
        <f t="shared" si="20"/>
        <v>0.20229513960237019</v>
      </c>
    </row>
    <row r="112" spans="1:21">
      <c r="A112" s="116" t="str">
        <f t="shared" si="16"/>
        <v>712p</v>
      </c>
      <c r="B112" s="622" t="str">
        <f>+VLOOKUP(LEFT($A112,LEN(A112)-1)*1,Master!$D$30:$G$229,4,FALSE)</f>
        <v>Doprinosi</v>
      </c>
      <c r="C112" s="623"/>
      <c r="D112" s="623"/>
      <c r="E112" s="623"/>
      <c r="F112" s="623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6">
        <f t="shared" si="20"/>
        <v>10.68956613019113</v>
      </c>
    </row>
    <row r="113" spans="1:20">
      <c r="A113" s="116" t="str">
        <f t="shared" si="16"/>
        <v>7121p</v>
      </c>
      <c r="B113" s="586" t="str">
        <f>+VLOOKUP(LEFT($A113,LEN(A113)-1)*1,Master!$D$30:$G$229,4,FALSE)</f>
        <v>Doprinosi za penzijsko i invalidsko osiguranje</v>
      </c>
      <c r="C113" s="587"/>
      <c r="D113" s="587"/>
      <c r="E113" s="587"/>
      <c r="F113" s="587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5">
        <f t="shared" si="20"/>
        <v>6.6171744431734636</v>
      </c>
    </row>
    <row r="114" spans="1:20">
      <c r="A114" s="116" t="str">
        <f t="shared" si="16"/>
        <v>7122p</v>
      </c>
      <c r="B114" s="586" t="str">
        <f>+VLOOKUP(LEFT($A114,LEN(A114)-1)*1,Master!$D$30:$G$229,4,FALSE)</f>
        <v>Doprinosi za zdravstveno osiguranje</v>
      </c>
      <c r="C114" s="587"/>
      <c r="D114" s="587"/>
      <c r="E114" s="587"/>
      <c r="F114" s="587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5">
        <f t="shared" si="20"/>
        <v>3.4819631387690197</v>
      </c>
    </row>
    <row r="115" spans="1:20">
      <c r="A115" s="116" t="str">
        <f t="shared" si="16"/>
        <v>7123p</v>
      </c>
      <c r="B115" s="586" t="str">
        <f>+VLOOKUP(LEFT($A115,LEN(A115)-1)*1,Master!$D$30:$G$229,4,FALSE)</f>
        <v>Doprinosi za osiguranje od nezaposlenosti</v>
      </c>
      <c r="C115" s="587"/>
      <c r="D115" s="587"/>
      <c r="E115" s="587"/>
      <c r="F115" s="587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5">
        <f t="shared" si="20"/>
        <v>0.31374529664462025</v>
      </c>
    </row>
    <row r="116" spans="1:20">
      <c r="A116" s="116" t="str">
        <f t="shared" si="16"/>
        <v>7124p</v>
      </c>
      <c r="B116" s="586" t="str">
        <f>+VLOOKUP(LEFT($A116,LEN(A116)-1)*1,Master!$D$30:$G$229,4,FALSE)</f>
        <v>Ostali doprinosi</v>
      </c>
      <c r="C116" s="587"/>
      <c r="D116" s="587"/>
      <c r="E116" s="587"/>
      <c r="F116" s="587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5">
        <f t="shared" si="20"/>
        <v>0.2766832516040264</v>
      </c>
    </row>
    <row r="117" spans="1:20">
      <c r="A117" s="116" t="str">
        <f t="shared" si="16"/>
        <v>713p</v>
      </c>
      <c r="B117" s="592" t="str">
        <f>+VLOOKUP(LEFT($A117,LEN(A117)-1)*1,Master!$D$30:$G$229,4,FALSE)</f>
        <v>Takse</v>
      </c>
      <c r="C117" s="593"/>
      <c r="D117" s="593"/>
      <c r="E117" s="593"/>
      <c r="F117" s="593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6">
        <f t="shared" si="20"/>
        <v>0.26451836008573354</v>
      </c>
    </row>
    <row r="118" spans="1:20">
      <c r="A118" s="116" t="str">
        <f t="shared" si="16"/>
        <v>714p</v>
      </c>
      <c r="B118" s="592" t="str">
        <f>+VLOOKUP(LEFT($A118,LEN(A118)-1)*1,Master!$D$30:$G$229,4,FALSE)</f>
        <v>Naknade</v>
      </c>
      <c r="C118" s="593"/>
      <c r="D118" s="593"/>
      <c r="E118" s="593"/>
      <c r="F118" s="593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6">
        <f t="shared" si="20"/>
        <v>0.53882429835369972</v>
      </c>
    </row>
    <row r="119" spans="1:20">
      <c r="A119" s="116" t="str">
        <f t="shared" si="16"/>
        <v>715p</v>
      </c>
      <c r="B119" s="592" t="str">
        <f>+VLOOKUP(LEFT($A119,LEN(A119)-1)*1,Master!$D$30:$G$229,4,FALSE)</f>
        <v>Ostali prihodi</v>
      </c>
      <c r="C119" s="593"/>
      <c r="D119" s="593"/>
      <c r="E119" s="593"/>
      <c r="F119" s="593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6">
        <f t="shared" si="20"/>
        <v>1.148755088100482</v>
      </c>
    </row>
    <row r="120" spans="1:20">
      <c r="A120" s="116" t="str">
        <f t="shared" si="16"/>
        <v>73p</v>
      </c>
      <c r="B120" s="592" t="str">
        <f>+VLOOKUP(LEFT($A120,LEN(A120)-1)*1,Master!$D$30:$G$229,4,FALSE)</f>
        <v>Primici od otplate kredita i sredstva prenesena iz prethodne godine</v>
      </c>
      <c r="C120" s="593"/>
      <c r="D120" s="593"/>
      <c r="E120" s="593"/>
      <c r="F120" s="593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6">
        <f t="shared" si="20"/>
        <v>0.37142952358214143</v>
      </c>
    </row>
    <row r="121" spans="1:20" ht="13.5" thickBot="1">
      <c r="A121" s="116" t="str">
        <f t="shared" si="16"/>
        <v>74p</v>
      </c>
      <c r="B121" s="588" t="str">
        <f>+VLOOKUP(LEFT($A121,LEN(A121)-1)*1,Master!$D$30:$G$229,4,FALSE)</f>
        <v>Donacije i transferi</v>
      </c>
      <c r="C121" s="589"/>
      <c r="D121" s="589"/>
      <c r="E121" s="589"/>
      <c r="F121" s="589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7">
        <f t="shared" si="20"/>
        <v>1.0852294669329108</v>
      </c>
    </row>
    <row r="122" spans="1:20" ht="13.5" thickBot="1">
      <c r="A122" s="116" t="str">
        <f t="shared" si="16"/>
        <v>4p</v>
      </c>
      <c r="B122" s="570" t="str">
        <f>+VLOOKUP(LEFT($A122,LEN(A122)-1)*1,Master!$D$30:$G$229,4,FALSE)</f>
        <v>Izdaci budžeta</v>
      </c>
      <c r="C122" s="571"/>
      <c r="D122" s="571"/>
      <c r="E122" s="571"/>
      <c r="F122" s="571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0">
        <f>+SUM(G122:R122)</f>
        <v>2040879206.795902</v>
      </c>
      <c r="T122" s="451">
        <f t="shared" si="20"/>
        <v>44.296642432572263</v>
      </c>
    </row>
    <row r="123" spans="1:20">
      <c r="A123" s="116" t="str">
        <f t="shared" si="16"/>
        <v>41p</v>
      </c>
      <c r="B123" s="590" t="str">
        <f>+VLOOKUP(LEFT($A123,LEN(A123)-1)*1,Master!$D$30:$G$229,4,FALSE)</f>
        <v>Tekući izdaci</v>
      </c>
      <c r="C123" s="591"/>
      <c r="D123" s="591"/>
      <c r="E123" s="591"/>
      <c r="F123" s="591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4">
        <f t="shared" si="20"/>
        <v>18.234006898745513</v>
      </c>
    </row>
    <row r="124" spans="1:20">
      <c r="A124" s="116" t="str">
        <f t="shared" si="16"/>
        <v>411p</v>
      </c>
      <c r="B124" s="586" t="str">
        <f>+VLOOKUP(LEFT($A124,LEN(A124)-1)*1,Master!$D$30:$G$229,4,FALSE)</f>
        <v>Bruto zarade i doprinosi na teret poslodavca</v>
      </c>
      <c r="C124" s="587"/>
      <c r="D124" s="587"/>
      <c r="E124" s="587"/>
      <c r="F124" s="587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5">
        <f t="shared" si="20"/>
        <v>10.81917370889675</v>
      </c>
    </row>
    <row r="125" spans="1:20">
      <c r="A125" s="116" t="str">
        <f t="shared" si="16"/>
        <v>412p</v>
      </c>
      <c r="B125" s="586" t="str">
        <f>+VLOOKUP(LEFT($A125,LEN(A125)-1)*1,Master!$D$30:$G$229,4,FALSE)</f>
        <v>Ostala lična primanja</v>
      </c>
      <c r="C125" s="587"/>
      <c r="D125" s="587"/>
      <c r="E125" s="587"/>
      <c r="F125" s="587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5">
        <f t="shared" si="20"/>
        <v>0.32417865148785635</v>
      </c>
    </row>
    <row r="126" spans="1:20">
      <c r="A126" s="116" t="str">
        <f t="shared" si="16"/>
        <v>413p</v>
      </c>
      <c r="B126" s="586" t="str">
        <f>+VLOOKUP(LEFT($A126,LEN(A126)-1)*1,Master!$D$30:$G$229,4,FALSE)</f>
        <v>Rashodi za materijal</v>
      </c>
      <c r="C126" s="587"/>
      <c r="D126" s="587"/>
      <c r="E126" s="587"/>
      <c r="F126" s="587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5">
        <f t="shared" si="20"/>
        <v>0.77555155266429454</v>
      </c>
    </row>
    <row r="127" spans="1:20">
      <c r="A127" s="116" t="str">
        <f t="shared" si="16"/>
        <v>414p</v>
      </c>
      <c r="B127" s="586" t="str">
        <f>+VLOOKUP(LEFT($A127,LEN(A127)-1)*1,Master!$D$30:$G$229,4,FALSE)</f>
        <v>Rashodi za usluge</v>
      </c>
      <c r="C127" s="587"/>
      <c r="D127" s="587"/>
      <c r="E127" s="587"/>
      <c r="F127" s="587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5">
        <f t="shared" si="20"/>
        <v>1.3413157254791312</v>
      </c>
    </row>
    <row r="128" spans="1:20">
      <c r="A128" s="116" t="str">
        <f t="shared" si="16"/>
        <v>415p</v>
      </c>
      <c r="B128" s="586" t="str">
        <f>+VLOOKUP(LEFT($A128,LEN(A128)-1)*1,Master!$D$30:$G$229,4,FALSE)</f>
        <v>Rashodi za tekuće održavanje</v>
      </c>
      <c r="C128" s="587"/>
      <c r="D128" s="587"/>
      <c r="E128" s="587"/>
      <c r="F128" s="587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5">
        <f t="shared" si="20"/>
        <v>0.56486301651726611</v>
      </c>
    </row>
    <row r="129" spans="1:20">
      <c r="A129" s="116" t="str">
        <f t="shared" si="16"/>
        <v>416p</v>
      </c>
      <c r="B129" s="586" t="str">
        <f>+VLOOKUP(LEFT($A129,LEN(A129)-1)*1,Master!$D$30:$G$229,4,FALSE)</f>
        <v>Kamate</v>
      </c>
      <c r="C129" s="587"/>
      <c r="D129" s="587"/>
      <c r="E129" s="587"/>
      <c r="F129" s="587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5">
        <f t="shared" si="20"/>
        <v>2.2430494311201787</v>
      </c>
    </row>
    <row r="130" spans="1:20">
      <c r="A130" s="116" t="str">
        <f t="shared" si="16"/>
        <v>417p</v>
      </c>
      <c r="B130" s="586" t="str">
        <f>+VLOOKUP(LEFT($A130,LEN(A130)-1)*1,Master!$D$30:$G$229,4,FALSE)</f>
        <v>Renta</v>
      </c>
      <c r="C130" s="587"/>
      <c r="D130" s="587"/>
      <c r="E130" s="587"/>
      <c r="F130" s="587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5">
        <f t="shared" si="20"/>
        <v>0.24149152996331913</v>
      </c>
    </row>
    <row r="131" spans="1:20">
      <c r="A131" s="116" t="str">
        <f t="shared" si="16"/>
        <v>418p</v>
      </c>
      <c r="B131" s="586" t="str">
        <f>+VLOOKUP(LEFT($A131,LEN(A131)-1)*1,Master!$D$30:$G$229,4,FALSE)</f>
        <v>Subvencije</v>
      </c>
      <c r="C131" s="587"/>
      <c r="D131" s="587"/>
      <c r="E131" s="587"/>
      <c r="F131" s="587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5">
        <f t="shared" si="20"/>
        <v>0.84831977448831197</v>
      </c>
    </row>
    <row r="132" spans="1:20">
      <c r="A132" s="116" t="str">
        <f t="shared" si="16"/>
        <v>419p</v>
      </c>
      <c r="B132" s="586" t="str">
        <f>+VLOOKUP(LEFT($A132,LEN(A132)-1)*1,Master!$D$30:$G$229,4,FALSE)</f>
        <v>Ostali izdaci</v>
      </c>
      <c r="C132" s="587"/>
      <c r="D132" s="587"/>
      <c r="E132" s="587"/>
      <c r="F132" s="587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5">
        <f t="shared" si="20"/>
        <v>1.0760635081284049</v>
      </c>
    </row>
    <row r="133" spans="1:20">
      <c r="A133" s="116" t="str">
        <f t="shared" si="16"/>
        <v>42p</v>
      </c>
      <c r="B133" s="582" t="str">
        <f>+VLOOKUP(LEFT($A133,LEN(A133)-1)*1,Master!$D$30:$G$229,4,FALSE)</f>
        <v>Transferi za socijalnu zaštitu</v>
      </c>
      <c r="C133" s="583"/>
      <c r="D133" s="583"/>
      <c r="E133" s="583"/>
      <c r="F133" s="583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6">
        <f t="shared" si="20"/>
        <v>12.538545292470646</v>
      </c>
    </row>
    <row r="134" spans="1:20">
      <c r="A134" s="116" t="str">
        <f t="shared" si="16"/>
        <v>421p</v>
      </c>
      <c r="B134" s="586" t="str">
        <f>+VLOOKUP(LEFT($A134,LEN(A134)-1)*1,Master!$D$30:$G$229,4,FALSE)</f>
        <v>Prava iz oblasti socijalne zaštite</v>
      </c>
      <c r="C134" s="587"/>
      <c r="D134" s="587"/>
      <c r="E134" s="587"/>
      <c r="F134" s="587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5">
        <f t="shared" si="20"/>
        <v>1.8346971111062882</v>
      </c>
    </row>
    <row r="135" spans="1:20">
      <c r="A135" s="116" t="str">
        <f t="shared" si="16"/>
        <v>422p</v>
      </c>
      <c r="B135" s="586" t="str">
        <f>+VLOOKUP(LEFT($A135,LEN(A135)-1)*1,Master!$D$30:$G$229,4,FALSE)</f>
        <v>Sredstva za tehnološke viškove</v>
      </c>
      <c r="C135" s="587"/>
      <c r="D135" s="587"/>
      <c r="E135" s="587"/>
      <c r="F135" s="587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5">
        <f t="shared" si="20"/>
        <v>0.44186401406463649</v>
      </c>
    </row>
    <row r="136" spans="1:20">
      <c r="A136" s="116" t="str">
        <f t="shared" si="16"/>
        <v>423p</v>
      </c>
      <c r="B136" s="586" t="str">
        <f>+VLOOKUP(LEFT($A136,LEN(A136)-1)*1,Master!$D$30:$G$229,4,FALSE)</f>
        <v>Prava iz oblasti penzijskog i invalidskog osiguranja</v>
      </c>
      <c r="C136" s="587"/>
      <c r="D136" s="587"/>
      <c r="E136" s="587"/>
      <c r="F136" s="587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5">
        <f t="shared" si="20"/>
        <v>9.5972781138627852</v>
      </c>
    </row>
    <row r="137" spans="1:20">
      <c r="A137" s="116" t="str">
        <f t="shared" si="16"/>
        <v>424p</v>
      </c>
      <c r="B137" s="586" t="str">
        <f>+VLOOKUP(LEFT($A137,LEN(A137)-1)*1,Master!$D$30:$G$229,4,FALSE)</f>
        <v>Ostala prava iz oblasti zdravstvene zaštite</v>
      </c>
      <c r="C137" s="587"/>
      <c r="D137" s="587"/>
      <c r="E137" s="587"/>
      <c r="F137" s="587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5">
        <f t="shared" si="20"/>
        <v>0.43409374253901412</v>
      </c>
    </row>
    <row r="138" spans="1:20">
      <c r="A138" s="116" t="str">
        <f t="shared" si="16"/>
        <v>425p</v>
      </c>
      <c r="B138" s="586" t="str">
        <f>+VLOOKUP(LEFT($A138,LEN(A138)-1)*1,Master!$D$30:$G$229,4,FALSE)</f>
        <v>Ostala prava iz zdravstvenog osiguranja</v>
      </c>
      <c r="C138" s="587"/>
      <c r="D138" s="587"/>
      <c r="E138" s="587"/>
      <c r="F138" s="587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5">
        <f t="shared" si="20"/>
        <v>0.23061231089792286</v>
      </c>
    </row>
    <row r="139" spans="1:20">
      <c r="A139" s="116" t="str">
        <f t="shared" si="16"/>
        <v>43p</v>
      </c>
      <c r="B139" s="584" t="str">
        <f>+VLOOKUP(LEFT($A139,LEN(A139)-1)*1,Master!$D$30:$G$229,4,FALSE)</f>
        <v xml:space="preserve">Transferi institucijama, pojedincima, nevladinom i javnom sektoru </v>
      </c>
      <c r="C139" s="585"/>
      <c r="D139" s="585"/>
      <c r="E139" s="585"/>
      <c r="F139" s="585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6">
        <f t="shared" si="20"/>
        <v>6.0063028847698297</v>
      </c>
    </row>
    <row r="140" spans="1:20">
      <c r="A140" s="116" t="str">
        <f t="shared" si="16"/>
        <v>44p</v>
      </c>
      <c r="B140" s="584" t="str">
        <f>+VLOOKUP(LEFT($A140,LEN(A140)-1)*1,Master!$D$30:$G$229,4,FALSE)</f>
        <v>Kapitalni izdaci</v>
      </c>
      <c r="C140" s="585"/>
      <c r="D140" s="585"/>
      <c r="E140" s="585"/>
      <c r="F140" s="585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6">
        <f t="shared" si="20"/>
        <v>4.229181139713063</v>
      </c>
    </row>
    <row r="141" spans="1:20">
      <c r="A141" s="116" t="str">
        <f t="shared" si="16"/>
        <v>451p</v>
      </c>
      <c r="B141" s="576" t="str">
        <f>+VLOOKUP(LEFT($A141,LEN(A141)-1)*1,Master!$D$30:$G$229,4,FALSE)</f>
        <v>Pozajmice i krediti</v>
      </c>
      <c r="C141" s="577"/>
      <c r="D141" s="577"/>
      <c r="E141" s="577"/>
      <c r="F141" s="577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5">
        <f t="shared" si="20"/>
        <v>3.4293447355283994E-2</v>
      </c>
    </row>
    <row r="142" spans="1:20">
      <c r="A142" s="116" t="str">
        <f t="shared" si="16"/>
        <v>47p</v>
      </c>
      <c r="B142" s="576" t="str">
        <f>+VLOOKUP(LEFT($A142,LEN(A142)-1)*1,Master!$D$30:$G$229,4,FALSE)</f>
        <v>Rezerve</v>
      </c>
      <c r="C142" s="577"/>
      <c r="D142" s="577"/>
      <c r="E142" s="577"/>
      <c r="F142" s="577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5">
        <f t="shared" si="20"/>
        <v>2.9004080480975842</v>
      </c>
    </row>
    <row r="143" spans="1:20">
      <c r="A143" s="116" t="str">
        <f t="shared" si="16"/>
        <v>462p</v>
      </c>
      <c r="B143" s="576" t="str">
        <f>+VLOOKUP(LEFT($A143,LEN(A143)-1)*1,Master!$D$30:$G$229,4,FALSE)</f>
        <v>Otplata garancija</v>
      </c>
      <c r="C143" s="577"/>
      <c r="D143" s="577"/>
      <c r="E143" s="577"/>
      <c r="F143" s="577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5">
        <f t="shared" si="20"/>
        <v>0</v>
      </c>
    </row>
    <row r="144" spans="1:20">
      <c r="A144" s="117" t="str">
        <f t="shared" si="16"/>
        <v>4630p</v>
      </c>
      <c r="B144" s="576" t="str">
        <f>+VLOOKUP(LEFT($A144,LEN(A144)-1)*1,Master!$D$30:$G$229,4,FALSE)</f>
        <v>Otplata obaveza iz prethodnog perioda</v>
      </c>
      <c r="C144" s="577"/>
      <c r="D144" s="577"/>
      <c r="E144" s="577"/>
      <c r="F144" s="577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3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76" t="str">
        <f>+VLOOKUP(LEFT($A145,LEN(A145)-1)*1,Master!$D$30:$G$229,4,FALSE)</f>
        <v>Neto povećanje obaveza</v>
      </c>
      <c r="C145" s="577"/>
      <c r="D145" s="577"/>
      <c r="E145" s="577"/>
      <c r="F145" s="577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0">
        <f t="shared" si="20"/>
        <v>0</v>
      </c>
    </row>
    <row r="146" spans="1:23" ht="13.5" thickBot="1">
      <c r="A146" s="117" t="str">
        <f t="shared" si="25"/>
        <v>1000p</v>
      </c>
      <c r="B146" s="578" t="str">
        <f>+VLOOKUP(LEFT($A146,LEN(A146)-1)*1,Master!$D$30:$G$226,4,FALSE)</f>
        <v>Suficit / deficit</v>
      </c>
      <c r="C146" s="579"/>
      <c r="D146" s="579"/>
      <c r="E146" s="579"/>
      <c r="F146" s="579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1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80" t="str">
        <f>+VLOOKUP(LEFT($A147,LEN(A147)-1)*1,Master!$D$30:$G$226,4,FALSE)</f>
        <v>Primarni suficit/deficit</v>
      </c>
      <c r="C147" s="581"/>
      <c r="D147" s="581"/>
      <c r="E147" s="581"/>
      <c r="F147" s="581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1">
        <f t="shared" si="20"/>
        <v>-5.0473336053247726</v>
      </c>
    </row>
    <row r="148" spans="1:23">
      <c r="A148" s="117" t="str">
        <f t="shared" si="25"/>
        <v>46p</v>
      </c>
      <c r="B148" s="582" t="str">
        <f>+VLOOKUP(LEFT($A148,LEN(A148)-1)*1,Master!$D$30:$G$226,4,FALSE)</f>
        <v>Otplata dugova</v>
      </c>
      <c r="C148" s="583"/>
      <c r="D148" s="583"/>
      <c r="E148" s="583"/>
      <c r="F148" s="583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2">
        <f t="shared" si="20"/>
        <v>11.711631541249758</v>
      </c>
    </row>
    <row r="149" spans="1:23">
      <c r="A149" s="117" t="str">
        <f t="shared" si="25"/>
        <v>4611p</v>
      </c>
      <c r="B149" s="574" t="str">
        <f>+VLOOKUP(LEFT($A149,LEN(A149)-1)*1,Master!$D$30:$G$226,4,FALSE)</f>
        <v>Otplata hartija od vrijednosti i kredita rezidentima</v>
      </c>
      <c r="C149" s="575"/>
      <c r="D149" s="575"/>
      <c r="E149" s="575"/>
      <c r="F149" s="575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3">
        <f t="shared" si="20"/>
        <v>2.598267966053871</v>
      </c>
    </row>
    <row r="150" spans="1:23" ht="13.5" thickBot="1">
      <c r="A150" s="117" t="str">
        <f t="shared" si="25"/>
        <v>4612p</v>
      </c>
      <c r="B150" s="576" t="str">
        <f>+VLOOKUP(LEFT($A150,LEN(A150)-1)*1,Master!$D$30:$G$226,4,FALSE)</f>
        <v>Otplata hartija od vrijednosti i kredita nerezidentima</v>
      </c>
      <c r="C150" s="577"/>
      <c r="D150" s="577"/>
      <c r="E150" s="577"/>
      <c r="F150" s="577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3">
        <f t="shared" si="20"/>
        <v>9.1133635751958835</v>
      </c>
    </row>
    <row r="151" spans="1:23" ht="13.5" thickBot="1">
      <c r="A151" s="117" t="str">
        <f t="shared" si="25"/>
        <v>4418p</v>
      </c>
      <c r="B151" s="570" t="str">
        <f>+VLOOKUP(LEFT($A151,LEN(A151)-1)*1,Master!$D$30:$G$226,4,FALSE)</f>
        <v>Izdaci za kupovinu hartija od vrijednosti</v>
      </c>
      <c r="C151" s="571"/>
      <c r="D151" s="571"/>
      <c r="E151" s="571"/>
      <c r="F151" s="571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8">
        <f t="shared" si="19"/>
        <v>2010000</v>
      </c>
      <c r="T151" s="449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72" t="str">
        <f>+VLOOKUP(LEFT($A152,LEN(A152)-1)*1,Master!$D$30:$G$226,4,FALSE)</f>
        <v>Nedostajuća sredstva</v>
      </c>
      <c r="C152" s="573"/>
      <c r="D152" s="573"/>
      <c r="E152" s="573"/>
      <c r="F152" s="573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5">
        <f t="shared" si="20"/>
        <v>-19.045640996638557</v>
      </c>
    </row>
    <row r="153" spans="1:23" ht="13.5" thickBot="1">
      <c r="A153" s="117" t="str">
        <f t="shared" si="29"/>
        <v>1003p</v>
      </c>
      <c r="B153" s="570" t="str">
        <f>+VLOOKUP(LEFT($A153,LEN(A153)-1)*1,Master!$D$30:$G$226,4,FALSE)</f>
        <v>Finansiranje</v>
      </c>
      <c r="C153" s="571"/>
      <c r="D153" s="571"/>
      <c r="E153" s="571"/>
      <c r="F153" s="571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6">
        <f t="shared" si="20"/>
        <v>19.045640996638557</v>
      </c>
    </row>
    <row r="154" spans="1:23">
      <c r="A154" s="117" t="str">
        <f t="shared" si="29"/>
        <v>7511p</v>
      </c>
      <c r="B154" s="574" t="str">
        <f>+VLOOKUP(LEFT($A154,LEN(A154)-1)*1,Master!$D$30:$G$226,4,FALSE)</f>
        <v>Pozajmice i krediti od domaćih izvora</v>
      </c>
      <c r="C154" s="575"/>
      <c r="D154" s="575"/>
      <c r="E154" s="575"/>
      <c r="F154" s="575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3">
        <f t="shared" si="20"/>
        <v>0</v>
      </c>
    </row>
    <row r="155" spans="1:23">
      <c r="A155" s="117" t="str">
        <f t="shared" si="29"/>
        <v>7512p</v>
      </c>
      <c r="B155" s="576" t="str">
        <f>+VLOOKUP(LEFT($A155,LEN(A155)-1)*1,Master!$D$30:$G$226,4,FALSE)</f>
        <v>Pozajmice i krediti od inostranih izvora</v>
      </c>
      <c r="C155" s="577"/>
      <c r="D155" s="577"/>
      <c r="E155" s="577"/>
      <c r="F155" s="577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3">
        <f t="shared" si="20"/>
        <v>7.1948775823150264</v>
      </c>
    </row>
    <row r="156" spans="1:23">
      <c r="A156" s="117" t="str">
        <f t="shared" si="29"/>
        <v>72p</v>
      </c>
      <c r="B156" s="576" t="str">
        <f>+VLOOKUP(LEFT($A156,LEN(A156)-1)*1,Master!$D$30:$G$226,4,FALSE)</f>
        <v>Primici od prodaje imovine</v>
      </c>
      <c r="C156" s="577"/>
      <c r="D156" s="577"/>
      <c r="E156" s="577"/>
      <c r="F156" s="577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3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7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619" t="s">
        <v>553</v>
      </c>
      <c r="C7" s="551"/>
      <c r="D7" s="551"/>
      <c r="E7" s="551"/>
      <c r="F7" s="551"/>
      <c r="G7" s="559">
        <v>2019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">
        <v>419</v>
      </c>
      <c r="T7" s="236">
        <v>4951000000</v>
      </c>
    </row>
    <row r="8" spans="1:20" ht="16.5" customHeight="1">
      <c r="A8" s="144"/>
      <c r="B8" s="552"/>
      <c r="C8" s="553"/>
      <c r="D8" s="553"/>
      <c r="E8" s="553"/>
      <c r="F8" s="554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59" t="s">
        <v>806</v>
      </c>
      <c r="T8" s="563"/>
    </row>
    <row r="9" spans="1:20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30" t="s">
        <v>680</v>
      </c>
      <c r="C10" s="531"/>
      <c r="D10" s="531"/>
      <c r="E10" s="531"/>
      <c r="F10" s="531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2">
        <f>+SUM(G10:O10)</f>
        <v>1338151716.3200002</v>
      </c>
      <c r="T10" s="367">
        <f>+S10/$T$7</f>
        <v>0.2702790782306605</v>
      </c>
    </row>
    <row r="11" spans="1:20" ht="13.5" thickBot="1">
      <c r="A11" s="150">
        <v>711</v>
      </c>
      <c r="B11" s="520" t="s">
        <v>21</v>
      </c>
      <c r="C11" s="521"/>
      <c r="D11" s="521"/>
      <c r="E11" s="521"/>
      <c r="F11" s="52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2">
        <f t="shared" ref="S11:S28" si="3">+SUM(G11:O11)</f>
        <v>878844461.47000003</v>
      </c>
      <c r="T11" s="368">
        <f t="shared" ref="T11:T64" si="4">+S11/$T$7</f>
        <v>0.17750847535245406</v>
      </c>
    </row>
    <row r="12" spans="1:20" ht="13.5" thickBot="1">
      <c r="A12" s="150">
        <v>7111</v>
      </c>
      <c r="B12" s="522" t="s">
        <v>23</v>
      </c>
      <c r="C12" s="523"/>
      <c r="D12" s="523"/>
      <c r="E12" s="523"/>
      <c r="F12" s="523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2">
        <f t="shared" si="3"/>
        <v>85547113.409999996</v>
      </c>
      <c r="T12" s="369">
        <f t="shared" si="4"/>
        <v>1.727875447586346E-2</v>
      </c>
    </row>
    <row r="13" spans="1:20" ht="13.5" thickBot="1">
      <c r="A13" s="150">
        <v>7112</v>
      </c>
      <c r="B13" s="522" t="s">
        <v>25</v>
      </c>
      <c r="C13" s="523"/>
      <c r="D13" s="523"/>
      <c r="E13" s="523"/>
      <c r="F13" s="523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2">
        <f t="shared" si="3"/>
        <v>63460533.5</v>
      </c>
      <c r="T13" s="369">
        <f t="shared" si="4"/>
        <v>1.2817720359523329E-2</v>
      </c>
    </row>
    <row r="14" spans="1:20" ht="13.5" thickBot="1">
      <c r="A14" s="150">
        <v>7113</v>
      </c>
      <c r="B14" s="522" t="s">
        <v>27</v>
      </c>
      <c r="C14" s="523"/>
      <c r="D14" s="523"/>
      <c r="E14" s="523"/>
      <c r="F14" s="523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2">
        <f t="shared" si="3"/>
        <v>1401042.18</v>
      </c>
      <c r="T14" s="369">
        <f t="shared" si="4"/>
        <v>2.8298165623106441E-4</v>
      </c>
    </row>
    <row r="15" spans="1:20" ht="13.5" thickBot="1">
      <c r="A15" s="150">
        <v>7114</v>
      </c>
      <c r="B15" s="522" t="s">
        <v>29</v>
      </c>
      <c r="C15" s="523"/>
      <c r="D15" s="523"/>
      <c r="E15" s="523"/>
      <c r="F15" s="523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2">
        <f t="shared" si="3"/>
        <v>517818183.34000003</v>
      </c>
      <c r="T15" s="369">
        <f t="shared" si="4"/>
        <v>0.10458860499697031</v>
      </c>
    </row>
    <row r="16" spans="1:20" ht="13.5" thickBot="1">
      <c r="A16" s="150">
        <v>7115</v>
      </c>
      <c r="B16" s="522" t="s">
        <v>31</v>
      </c>
      <c r="C16" s="523"/>
      <c r="D16" s="523"/>
      <c r="E16" s="523"/>
      <c r="F16" s="523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2">
        <f t="shared" si="3"/>
        <v>178709360.70000002</v>
      </c>
      <c r="T16" s="369">
        <f t="shared" si="4"/>
        <v>3.6095609109270857E-2</v>
      </c>
    </row>
    <row r="17" spans="1:25" ht="13.5" thickBot="1">
      <c r="A17" s="150">
        <v>7116</v>
      </c>
      <c r="B17" s="522" t="s">
        <v>33</v>
      </c>
      <c r="C17" s="523"/>
      <c r="D17" s="523"/>
      <c r="E17" s="523"/>
      <c r="F17" s="523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2">
        <f t="shared" si="3"/>
        <v>21570886.120000001</v>
      </c>
      <c r="T17" s="369">
        <f t="shared" si="4"/>
        <v>4.3568745950313074E-3</v>
      </c>
    </row>
    <row r="18" spans="1:25" ht="13.5" thickBot="1">
      <c r="A18" s="150">
        <v>7118</v>
      </c>
      <c r="B18" s="522" t="s">
        <v>721</v>
      </c>
      <c r="C18" s="523"/>
      <c r="D18" s="523"/>
      <c r="E18" s="523"/>
      <c r="F18" s="523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2">
        <f t="shared" si="3"/>
        <v>10337342.220000001</v>
      </c>
      <c r="T18" s="369">
        <f t="shared" si="4"/>
        <v>2.0879301595637246E-3</v>
      </c>
    </row>
    <row r="19" spans="1:25" ht="13.5" thickBot="1">
      <c r="A19" s="150">
        <v>712</v>
      </c>
      <c r="B19" s="526" t="s">
        <v>37</v>
      </c>
      <c r="C19" s="527"/>
      <c r="D19" s="527"/>
      <c r="E19" s="527"/>
      <c r="F19" s="52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2">
        <f t="shared" si="3"/>
        <v>370571042.34999996</v>
      </c>
      <c r="T19" s="370">
        <f t="shared" si="4"/>
        <v>7.4847716087659055E-2</v>
      </c>
    </row>
    <row r="20" spans="1:25" ht="13.5" thickBot="1">
      <c r="A20" s="150">
        <v>7121</v>
      </c>
      <c r="B20" s="522" t="s">
        <v>39</v>
      </c>
      <c r="C20" s="523"/>
      <c r="D20" s="523"/>
      <c r="E20" s="523"/>
      <c r="F20" s="523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2">
        <f t="shared" si="3"/>
        <v>220192746.31</v>
      </c>
      <c r="T20" s="369">
        <f t="shared" si="4"/>
        <v>4.447439836598667E-2</v>
      </c>
    </row>
    <row r="21" spans="1:25" ht="13.5" thickBot="1">
      <c r="A21" s="150">
        <v>7122</v>
      </c>
      <c r="B21" s="522" t="s">
        <v>41</v>
      </c>
      <c r="C21" s="523"/>
      <c r="D21" s="523"/>
      <c r="E21" s="523"/>
      <c r="F21" s="523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2">
        <f t="shared" si="3"/>
        <v>130738336.89</v>
      </c>
      <c r="T21" s="369">
        <f t="shared" si="4"/>
        <v>2.6406450593819429E-2</v>
      </c>
    </row>
    <row r="22" spans="1:25" ht="13.5" thickBot="1">
      <c r="A22" s="150">
        <v>7123</v>
      </c>
      <c r="B22" s="522" t="s">
        <v>43</v>
      </c>
      <c r="C22" s="523"/>
      <c r="D22" s="523"/>
      <c r="E22" s="523"/>
      <c r="F22" s="523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2">
        <f t="shared" si="3"/>
        <v>10196734.950000001</v>
      </c>
      <c r="T22" s="369">
        <f t="shared" si="4"/>
        <v>2.0595303878004445E-3</v>
      </c>
    </row>
    <row r="23" spans="1:25" ht="13.5" thickBot="1">
      <c r="A23" s="150">
        <v>7124</v>
      </c>
      <c r="B23" s="522" t="s">
        <v>45</v>
      </c>
      <c r="C23" s="523"/>
      <c r="D23" s="523"/>
      <c r="E23" s="523"/>
      <c r="F23" s="523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2">
        <f t="shared" si="3"/>
        <v>9443224.1999999993</v>
      </c>
      <c r="T23" s="369">
        <f t="shared" si="4"/>
        <v>1.9073367400525144E-3</v>
      </c>
      <c r="Y23" s="305"/>
    </row>
    <row r="24" spans="1:25" ht="13.5" thickBot="1">
      <c r="A24" s="150">
        <v>713</v>
      </c>
      <c r="B24" s="524" t="s">
        <v>47</v>
      </c>
      <c r="C24" s="525"/>
      <c r="D24" s="525"/>
      <c r="E24" s="525"/>
      <c r="F24" s="525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2">
        <f t="shared" si="3"/>
        <v>11793221.899999999</v>
      </c>
      <c r="T24" s="370">
        <f t="shared" si="4"/>
        <v>2.3819878610381738E-3</v>
      </c>
      <c r="Y24" s="305"/>
    </row>
    <row r="25" spans="1:25" ht="13.5" thickBot="1">
      <c r="A25" s="150">
        <v>714</v>
      </c>
      <c r="B25" s="524" t="s">
        <v>61</v>
      </c>
      <c r="C25" s="525"/>
      <c r="D25" s="525"/>
      <c r="E25" s="525"/>
      <c r="F25" s="525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2">
        <f t="shared" si="3"/>
        <v>20484439.07</v>
      </c>
      <c r="T25" s="370">
        <f t="shared" si="4"/>
        <v>4.1374346738032725E-3</v>
      </c>
      <c r="W25" s="292"/>
    </row>
    <row r="26" spans="1:25" ht="13.5" thickBot="1">
      <c r="A26" s="150">
        <v>715</v>
      </c>
      <c r="B26" s="524" t="s">
        <v>81</v>
      </c>
      <c r="C26" s="525"/>
      <c r="D26" s="525"/>
      <c r="E26" s="525"/>
      <c r="F26" s="525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2">
        <f t="shared" si="3"/>
        <v>28696128.32</v>
      </c>
      <c r="T26" s="370">
        <f t="shared" si="4"/>
        <v>5.7960267259139567E-3</v>
      </c>
      <c r="W26" s="311"/>
    </row>
    <row r="27" spans="1:25" ht="13.5" thickBot="1">
      <c r="A27" s="150">
        <v>73</v>
      </c>
      <c r="B27" s="524" t="s">
        <v>99</v>
      </c>
      <c r="C27" s="525"/>
      <c r="D27" s="525"/>
      <c r="E27" s="525"/>
      <c r="F27" s="525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2">
        <f t="shared" si="3"/>
        <v>4775383.3</v>
      </c>
      <c r="T27" s="370">
        <f t="shared" si="4"/>
        <v>9.6452904463744694E-4</v>
      </c>
    </row>
    <row r="28" spans="1:25" ht="13.5" thickBot="1">
      <c r="A28" s="150">
        <v>74</v>
      </c>
      <c r="B28" s="528" t="s">
        <v>105</v>
      </c>
      <c r="C28" s="529"/>
      <c r="D28" s="529"/>
      <c r="E28" s="529"/>
      <c r="F28" s="529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2">
        <f t="shared" si="3"/>
        <v>22987039.909999996</v>
      </c>
      <c r="T28" s="371">
        <f t="shared" si="4"/>
        <v>4.6429084851545132E-3</v>
      </c>
    </row>
    <row r="29" spans="1:25" ht="13.5" thickBot="1">
      <c r="A29" s="150">
        <v>4</v>
      </c>
      <c r="B29" s="530" t="s">
        <v>801</v>
      </c>
      <c r="C29" s="531"/>
      <c r="D29" s="531"/>
      <c r="E29" s="531"/>
      <c r="F29" s="531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6">
        <f t="shared" ref="S29:S63" si="6">+SUM(G29:R29)</f>
        <v>2028496341.4899998</v>
      </c>
      <c r="T29" s="372">
        <f t="shared" si="4"/>
        <v>0.40971447010502926</v>
      </c>
    </row>
    <row r="30" spans="1:25" ht="13.5" thickBot="1">
      <c r="A30" s="150">
        <v>40</v>
      </c>
      <c r="B30" s="532" t="s">
        <v>120</v>
      </c>
      <c r="C30" s="533"/>
      <c r="D30" s="533"/>
      <c r="E30" s="533"/>
      <c r="F30" s="533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7">
        <f t="shared" si="6"/>
        <v>822772770.01999998</v>
      </c>
      <c r="T30" s="373">
        <f t="shared" si="4"/>
        <v>0.16618314886285598</v>
      </c>
      <c r="U30" s="242"/>
    </row>
    <row r="31" spans="1:25">
      <c r="A31" s="150">
        <v>411</v>
      </c>
      <c r="B31" s="522" t="s">
        <v>122</v>
      </c>
      <c r="C31" s="523"/>
      <c r="D31" s="523"/>
      <c r="E31" s="523"/>
      <c r="F31" s="523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4">
        <f>+SUM(G31:R31)</f>
        <v>472853876.71000004</v>
      </c>
      <c r="T31" s="369">
        <f t="shared" si="4"/>
        <v>9.5506741407796414E-2</v>
      </c>
      <c r="U31" s="456"/>
      <c r="W31" s="257"/>
    </row>
    <row r="32" spans="1:25">
      <c r="A32" s="150">
        <v>412</v>
      </c>
      <c r="B32" s="522" t="s">
        <v>133</v>
      </c>
      <c r="C32" s="523"/>
      <c r="D32" s="523"/>
      <c r="E32" s="523"/>
      <c r="F32" s="523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4">
        <f t="shared" si="6"/>
        <v>15228326.93</v>
      </c>
      <c r="T32" s="369">
        <f t="shared" si="4"/>
        <v>3.0758083074126437E-3</v>
      </c>
    </row>
    <row r="33" spans="1:23">
      <c r="A33" s="150">
        <v>413</v>
      </c>
      <c r="B33" s="522" t="s">
        <v>148</v>
      </c>
      <c r="C33" s="523"/>
      <c r="D33" s="523"/>
      <c r="E33" s="523"/>
      <c r="F33" s="523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4">
        <f t="shared" si="6"/>
        <v>33231725.990000002</v>
      </c>
      <c r="T33" s="369">
        <f t="shared" si="4"/>
        <v>6.7121240133306403E-3</v>
      </c>
      <c r="U33" s="293"/>
    </row>
    <row r="34" spans="1:23">
      <c r="A34" s="359">
        <v>414</v>
      </c>
      <c r="B34" s="522" t="s">
        <v>162</v>
      </c>
      <c r="C34" s="523"/>
      <c r="D34" s="523"/>
      <c r="E34" s="523"/>
      <c r="F34" s="523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4">
        <f t="shared" si="6"/>
        <v>77664645.890000001</v>
      </c>
      <c r="T34" s="369">
        <f t="shared" si="4"/>
        <v>1.5686658430620077E-2</v>
      </c>
      <c r="U34" s="311"/>
      <c r="V34" s="291"/>
    </row>
    <row r="35" spans="1:23" s="360" customFormat="1">
      <c r="A35" s="150">
        <v>415</v>
      </c>
      <c r="B35" s="617" t="s">
        <v>182</v>
      </c>
      <c r="C35" s="618"/>
      <c r="D35" s="618"/>
      <c r="E35" s="618"/>
      <c r="F35" s="618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4">
        <f t="shared" si="6"/>
        <v>22511706.030000001</v>
      </c>
      <c r="T35" s="369">
        <f t="shared" si="4"/>
        <v>4.5469008341749145E-3</v>
      </c>
      <c r="U35" s="311"/>
    </row>
    <row r="36" spans="1:23">
      <c r="A36" s="150">
        <v>416</v>
      </c>
      <c r="B36" s="522" t="s">
        <v>190</v>
      </c>
      <c r="C36" s="523"/>
      <c r="D36" s="523"/>
      <c r="E36" s="523"/>
      <c r="F36" s="523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4">
        <f t="shared" si="6"/>
        <v>105803340.84999999</v>
      </c>
      <c r="T36" s="369">
        <f t="shared" si="4"/>
        <v>2.1370095101999595E-2</v>
      </c>
      <c r="U36" s="311"/>
    </row>
    <row r="37" spans="1:23">
      <c r="A37" s="150">
        <v>417</v>
      </c>
      <c r="B37" s="522" t="s">
        <v>196</v>
      </c>
      <c r="C37" s="523"/>
      <c r="D37" s="523"/>
      <c r="E37" s="523"/>
      <c r="F37" s="523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4">
        <f>+SUM(G37:R37)</f>
        <v>10953661.65</v>
      </c>
      <c r="T37" s="369">
        <f t="shared" si="4"/>
        <v>2.2124139870733188E-3</v>
      </c>
      <c r="U37" s="311"/>
    </row>
    <row r="38" spans="1:23">
      <c r="A38" s="150">
        <v>418</v>
      </c>
      <c r="B38" s="522" t="s">
        <v>204</v>
      </c>
      <c r="C38" s="523"/>
      <c r="D38" s="523"/>
      <c r="E38" s="523"/>
      <c r="F38" s="523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4">
        <f t="shared" si="6"/>
        <v>34566147.960000001</v>
      </c>
      <c r="T38" s="369">
        <f t="shared" si="4"/>
        <v>6.9816497596445161E-3</v>
      </c>
      <c r="U38" s="311"/>
    </row>
    <row r="39" spans="1:23">
      <c r="A39" s="359">
        <v>419</v>
      </c>
      <c r="B39" s="522" t="s">
        <v>212</v>
      </c>
      <c r="C39" s="523"/>
      <c r="D39" s="523"/>
      <c r="E39" s="523"/>
      <c r="F39" s="523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4">
        <f t="shared" si="6"/>
        <v>49959338.009999998</v>
      </c>
      <c r="T39" s="369">
        <f t="shared" si="4"/>
        <v>1.0090757020803878E-2</v>
      </c>
      <c r="U39" s="311"/>
    </row>
    <row r="40" spans="1:23" s="360" customFormat="1">
      <c r="A40" s="150">
        <v>42</v>
      </c>
      <c r="B40" s="538" t="s">
        <v>230</v>
      </c>
      <c r="C40" s="539"/>
      <c r="D40" s="539"/>
      <c r="E40" s="539"/>
      <c r="F40" s="539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5">
        <f t="shared" si="6"/>
        <v>554348899.89999998</v>
      </c>
      <c r="T40" s="370">
        <f t="shared" si="4"/>
        <v>0.11196705713997172</v>
      </c>
      <c r="U40" s="311"/>
    </row>
    <row r="41" spans="1:23">
      <c r="A41" s="150">
        <v>421</v>
      </c>
      <c r="B41" s="522" t="s">
        <v>232</v>
      </c>
      <c r="C41" s="523"/>
      <c r="D41" s="523"/>
      <c r="E41" s="523"/>
      <c r="F41" s="523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4">
        <f t="shared" si="6"/>
        <v>79857118.899999991</v>
      </c>
      <c r="T41" s="369">
        <f t="shared" si="4"/>
        <v>1.6129492809533425E-2</v>
      </c>
      <c r="W41" s="309"/>
    </row>
    <row r="42" spans="1:23">
      <c r="A42" s="150">
        <v>422</v>
      </c>
      <c r="B42" s="522" t="s">
        <v>248</v>
      </c>
      <c r="C42" s="523"/>
      <c r="D42" s="523"/>
      <c r="E42" s="523"/>
      <c r="F42" s="523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4">
        <f t="shared" si="6"/>
        <v>20398152.109999999</v>
      </c>
      <c r="T42" s="369">
        <f t="shared" si="4"/>
        <v>4.1200064855584726E-3</v>
      </c>
    </row>
    <row r="43" spans="1:23">
      <c r="A43" s="150">
        <v>423</v>
      </c>
      <c r="B43" s="522" t="s">
        <v>259</v>
      </c>
      <c r="C43" s="523"/>
      <c r="D43" s="523"/>
      <c r="E43" s="523"/>
      <c r="F43" s="523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4">
        <f t="shared" si="6"/>
        <v>420870901.67999995</v>
      </c>
      <c r="T43" s="369">
        <f t="shared" si="4"/>
        <v>8.5007251399717224E-2</v>
      </c>
      <c r="V43" s="291"/>
    </row>
    <row r="44" spans="1:23">
      <c r="A44" s="150">
        <v>424</v>
      </c>
      <c r="B44" s="522" t="s">
        <v>274</v>
      </c>
      <c r="C44" s="523"/>
      <c r="D44" s="523"/>
      <c r="E44" s="523"/>
      <c r="F44" s="523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4">
        <f t="shared" si="6"/>
        <v>21699290.620000005</v>
      </c>
      <c r="T44" s="369">
        <f t="shared" si="4"/>
        <v>4.3828096586548178E-3</v>
      </c>
    </row>
    <row r="45" spans="1:23">
      <c r="A45" s="359">
        <v>425</v>
      </c>
      <c r="B45" s="522" t="s">
        <v>278</v>
      </c>
      <c r="C45" s="523"/>
      <c r="D45" s="523"/>
      <c r="E45" s="523"/>
      <c r="F45" s="523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4">
        <f t="shared" si="6"/>
        <v>11523436.590000002</v>
      </c>
      <c r="T45" s="369">
        <f t="shared" si="4"/>
        <v>2.3274967865077765E-3</v>
      </c>
      <c r="U45" s="352"/>
    </row>
    <row r="46" spans="1:23" s="360" customFormat="1">
      <c r="A46" s="150">
        <v>43</v>
      </c>
      <c r="B46" s="536" t="s">
        <v>286</v>
      </c>
      <c r="C46" s="537"/>
      <c r="D46" s="537"/>
      <c r="E46" s="537"/>
      <c r="F46" s="537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5">
        <f t="shared" si="6"/>
        <v>219689949.60999998</v>
      </c>
      <c r="T46" s="370">
        <f t="shared" si="4"/>
        <v>4.4372843791153298E-2</v>
      </c>
    </row>
    <row r="47" spans="1:23">
      <c r="A47" s="150">
        <v>44</v>
      </c>
      <c r="B47" s="536" t="s">
        <v>320</v>
      </c>
      <c r="C47" s="537"/>
      <c r="D47" s="537"/>
      <c r="E47" s="537"/>
      <c r="F47" s="537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5">
        <f t="shared" si="6"/>
        <v>344885621.69999993</v>
      </c>
      <c r="T47" s="370">
        <f t="shared" si="4"/>
        <v>6.965979028479094E-2</v>
      </c>
      <c r="U47" s="291"/>
    </row>
    <row r="48" spans="1:23">
      <c r="A48" s="150">
        <v>451</v>
      </c>
      <c r="B48" s="615" t="s">
        <v>113</v>
      </c>
      <c r="C48" s="616"/>
      <c r="D48" s="616"/>
      <c r="E48" s="616"/>
      <c r="F48" s="616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4">
        <f t="shared" si="6"/>
        <v>3176935.98</v>
      </c>
      <c r="T48" s="369">
        <f t="shared" si="4"/>
        <v>6.416756170470612E-4</v>
      </c>
    </row>
    <row r="49" spans="1:22" s="360" customFormat="1">
      <c r="A49" s="359">
        <v>47</v>
      </c>
      <c r="B49" s="607" t="s">
        <v>366</v>
      </c>
      <c r="C49" s="608"/>
      <c r="D49" s="608"/>
      <c r="E49" s="608"/>
      <c r="F49" s="608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4">
        <f t="shared" si="6"/>
        <v>24296455.589999996</v>
      </c>
      <c r="T49" s="369">
        <f t="shared" si="4"/>
        <v>4.9073834760654409E-3</v>
      </c>
    </row>
    <row r="50" spans="1:22" ht="13.5" thickBot="1">
      <c r="A50" s="150">
        <v>462</v>
      </c>
      <c r="B50" s="542" t="s">
        <v>359</v>
      </c>
      <c r="C50" s="543"/>
      <c r="D50" s="543"/>
      <c r="E50" s="543"/>
      <c r="F50" s="54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4">
        <f t="shared" si="6"/>
        <v>38684699.409999996</v>
      </c>
      <c r="T50" s="374">
        <f t="shared" si="4"/>
        <v>7.8135123025651378E-3</v>
      </c>
      <c r="U50" s="292"/>
      <c r="V50" s="293"/>
    </row>
    <row r="51" spans="1:22" ht="13.5" thickBot="1">
      <c r="A51" s="144">
        <v>4630</v>
      </c>
      <c r="B51" s="609" t="s">
        <v>794</v>
      </c>
      <c r="C51" s="610"/>
      <c r="D51" s="610"/>
      <c r="E51" s="610"/>
      <c r="F51" s="610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89">
        <f>+SUM(G51:R51)</f>
        <v>20641009.280000001</v>
      </c>
      <c r="T51" s="374">
        <f>+S51/$T$7</f>
        <v>4.1690586305796811E-3</v>
      </c>
    </row>
    <row r="52" spans="1:22" ht="13.5" thickBot="1">
      <c r="A52" s="70">
        <v>1005</v>
      </c>
      <c r="B52" s="611" t="s">
        <v>684</v>
      </c>
      <c r="C52" s="612"/>
      <c r="D52" s="612"/>
      <c r="E52" s="612"/>
      <c r="F52" s="612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0">
        <f>+SUM(G52:R52)</f>
        <v>0</v>
      </c>
      <c r="T52" s="375">
        <f>+S52/$T$7</f>
        <v>0</v>
      </c>
    </row>
    <row r="53" spans="1:22" ht="13.5" thickBot="1">
      <c r="A53" s="144">
        <v>1000</v>
      </c>
      <c r="B53" s="544" t="s">
        <v>545</v>
      </c>
      <c r="C53" s="545"/>
      <c r="D53" s="545"/>
      <c r="E53" s="545"/>
      <c r="F53" s="545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1">
        <f t="shared" si="6"/>
        <v>-143283723.32999992</v>
      </c>
      <c r="T53" s="376">
        <f t="shared" si="4"/>
        <v>-2.8940360195920001E-2</v>
      </c>
    </row>
    <row r="54" spans="1:22" ht="13.5" thickBot="1">
      <c r="A54" s="144">
        <v>1001</v>
      </c>
      <c r="B54" s="546" t="s">
        <v>792</v>
      </c>
      <c r="C54" s="547"/>
      <c r="D54" s="547"/>
      <c r="E54" s="547"/>
      <c r="F54" s="547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1">
        <f t="shared" si="6"/>
        <v>-37480382.479999945</v>
      </c>
      <c r="T54" s="376">
        <f t="shared" si="4"/>
        <v>-7.5702650939204093E-3</v>
      </c>
    </row>
    <row r="55" spans="1:22">
      <c r="A55" s="144">
        <v>46</v>
      </c>
      <c r="B55" s="568" t="s">
        <v>352</v>
      </c>
      <c r="C55" s="569"/>
      <c r="D55" s="569"/>
      <c r="E55" s="569"/>
      <c r="F55" s="569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2">
        <f t="shared" si="6"/>
        <v>507341253.08999997</v>
      </c>
      <c r="T55" s="377">
        <f t="shared" si="4"/>
        <v>0.10247248093112502</v>
      </c>
      <c r="V55" s="309"/>
    </row>
    <row r="56" spans="1:22">
      <c r="A56" s="144">
        <v>4611</v>
      </c>
      <c r="B56" s="564" t="s">
        <v>355</v>
      </c>
      <c r="C56" s="565"/>
      <c r="D56" s="565"/>
      <c r="E56" s="565"/>
      <c r="F56" s="565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3">
        <f t="shared" si="6"/>
        <v>178415558.27999997</v>
      </c>
      <c r="T56" s="378">
        <f t="shared" si="4"/>
        <v>3.6036267073318515E-2</v>
      </c>
      <c r="V56" s="352"/>
    </row>
    <row r="57" spans="1:22">
      <c r="A57" s="144">
        <v>4612</v>
      </c>
      <c r="B57" s="540" t="s">
        <v>357</v>
      </c>
      <c r="C57" s="541"/>
      <c r="D57" s="541"/>
      <c r="E57" s="541"/>
      <c r="F57" s="541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3">
        <f t="shared" si="6"/>
        <v>328925694.81</v>
      </c>
      <c r="T57" s="378">
        <f t="shared" si="4"/>
        <v>6.64362138578065E-2</v>
      </c>
      <c r="V57" s="318"/>
    </row>
    <row r="58" spans="1:22" ht="13.5" thickBot="1">
      <c r="A58" s="144">
        <v>4418</v>
      </c>
      <c r="B58" s="624" t="s">
        <v>336</v>
      </c>
      <c r="C58" s="625"/>
      <c r="D58" s="625"/>
      <c r="E58" s="625"/>
      <c r="F58" s="625"/>
      <c r="G58" s="494">
        <f>DataEx!FF167</f>
        <v>0</v>
      </c>
      <c r="H58" s="494">
        <f>DataEx!FG167</f>
        <v>35272.089999999997</v>
      </c>
      <c r="I58" s="494">
        <f>DataEx!FH167</f>
        <v>0</v>
      </c>
      <c r="J58" s="494">
        <f>DataEx!FI167</f>
        <v>39948396.369999997</v>
      </c>
      <c r="K58" s="494">
        <f>DataEx!FJ167</f>
        <v>0</v>
      </c>
      <c r="L58" s="494">
        <f>DataEx!FK167</f>
        <v>0</v>
      </c>
      <c r="M58" s="494">
        <f>DataEx!FL167</f>
        <v>0</v>
      </c>
      <c r="N58" s="494">
        <f>DataEx!FM167</f>
        <v>0</v>
      </c>
      <c r="O58" s="494">
        <f>DataEx!FN167</f>
        <v>0</v>
      </c>
      <c r="P58" s="494">
        <f>DataEx!FO167</f>
        <v>0</v>
      </c>
      <c r="Q58" s="494">
        <f>DataEx!FP167</f>
        <v>14495201.140000001</v>
      </c>
      <c r="R58" s="494">
        <f>DataEx!FQ167</f>
        <v>2849828.78</v>
      </c>
      <c r="S58" s="495">
        <f>SUM(G58:R58)</f>
        <v>57328698.380000003</v>
      </c>
      <c r="T58" s="496">
        <f>+S58/$T$7</f>
        <v>1.1579215992728742E-2</v>
      </c>
      <c r="V58" s="318"/>
    </row>
    <row r="59" spans="1:22" ht="13.5" thickBot="1">
      <c r="A59" s="144">
        <v>1002</v>
      </c>
      <c r="B59" s="566" t="s">
        <v>543</v>
      </c>
      <c r="C59" s="567"/>
      <c r="D59" s="567"/>
      <c r="E59" s="567"/>
      <c r="F59" s="567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4">
        <f t="shared" si="6"/>
        <v>-707953674.79999995</v>
      </c>
      <c r="T59" s="379">
        <f t="shared" si="4"/>
        <v>-0.14299205711977378</v>
      </c>
    </row>
    <row r="60" spans="1:22" ht="13.5" thickBot="1">
      <c r="A60" s="144">
        <v>1003</v>
      </c>
      <c r="B60" s="530" t="s">
        <v>544</v>
      </c>
      <c r="C60" s="531"/>
      <c r="D60" s="531"/>
      <c r="E60" s="531"/>
      <c r="F60" s="531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5">
        <f t="shared" si="6"/>
        <v>707953674.79999995</v>
      </c>
      <c r="T60" s="380">
        <f t="shared" si="4"/>
        <v>0.14299205711977378</v>
      </c>
    </row>
    <row r="61" spans="1:22">
      <c r="A61" s="144">
        <v>7511</v>
      </c>
      <c r="B61" s="564" t="s">
        <v>114</v>
      </c>
      <c r="C61" s="565"/>
      <c r="D61" s="565"/>
      <c r="E61" s="565"/>
      <c r="F61" s="565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3">
        <f t="shared" si="6"/>
        <v>363438000</v>
      </c>
      <c r="T61" s="378">
        <f t="shared" si="4"/>
        <v>7.3406988487174307E-2</v>
      </c>
    </row>
    <row r="62" spans="1:22">
      <c r="A62" s="144">
        <v>7512</v>
      </c>
      <c r="B62" s="540" t="s">
        <v>116</v>
      </c>
      <c r="C62" s="541"/>
      <c r="D62" s="541"/>
      <c r="E62" s="541"/>
      <c r="F62" s="541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3">
        <f t="shared" si="6"/>
        <v>651580293.42999995</v>
      </c>
      <c r="T62" s="378">
        <f t="shared" si="4"/>
        <v>0.13160579548172086</v>
      </c>
    </row>
    <row r="63" spans="1:22">
      <c r="A63" s="144">
        <v>72</v>
      </c>
      <c r="B63" s="540" t="s">
        <v>93</v>
      </c>
      <c r="C63" s="541"/>
      <c r="D63" s="541"/>
      <c r="E63" s="541"/>
      <c r="F63" s="541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3">
        <f t="shared" si="6"/>
        <v>4278082.92</v>
      </c>
      <c r="T63" s="378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6">
        <f>+SUM(G64:R64)</f>
        <v>-311342701.55000001</v>
      </c>
      <c r="T64" s="381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96" t="s">
        <v>551</v>
      </c>
      <c r="C100" s="597"/>
      <c r="D100" s="597"/>
      <c r="E100" s="597"/>
      <c r="F100" s="597"/>
      <c r="G100" s="604">
        <v>2019</v>
      </c>
      <c r="H100" s="605"/>
      <c r="I100" s="605"/>
      <c r="J100" s="605"/>
      <c r="K100" s="605"/>
      <c r="L100" s="605"/>
      <c r="M100" s="605"/>
      <c r="N100" s="605"/>
      <c r="O100" s="605"/>
      <c r="P100" s="605"/>
      <c r="Q100" s="605"/>
      <c r="R100" s="606"/>
      <c r="S100" s="107" t="str">
        <f>+S7</f>
        <v>BDP</v>
      </c>
      <c r="T100" s="108">
        <f>+T7</f>
        <v>4951000000</v>
      </c>
    </row>
    <row r="101" spans="1:21" ht="15.75" customHeight="1">
      <c r="B101" s="598"/>
      <c r="C101" s="599"/>
      <c r="D101" s="599"/>
      <c r="E101" s="599"/>
      <c r="F101" s="600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604" t="s">
        <v>806</v>
      </c>
      <c r="T101" s="606">
        <f>+T8</f>
        <v>0</v>
      </c>
    </row>
    <row r="102" spans="1:21" ht="13.5" thickBot="1">
      <c r="B102" s="601"/>
      <c r="C102" s="602"/>
      <c r="D102" s="602"/>
      <c r="E102" s="602"/>
      <c r="F102" s="603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20" t="s">
        <v>680</v>
      </c>
      <c r="C103" s="621"/>
      <c r="D103" s="621"/>
      <c r="E103" s="621"/>
      <c r="F103" s="621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7">
        <f>+SUM(G103:R103)</f>
        <v>1834032913.7635608</v>
      </c>
      <c r="T103" s="410">
        <f>+S103/$T$7</f>
        <v>0.37043686402010922</v>
      </c>
    </row>
    <row r="104" spans="1:21">
      <c r="A104" s="116" t="str">
        <f t="shared" si="17"/>
        <v>711p</v>
      </c>
      <c r="B104" s="594" t="s">
        <v>21</v>
      </c>
      <c r="C104" s="595"/>
      <c r="D104" s="595"/>
      <c r="E104" s="595"/>
      <c r="F104" s="595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8">
        <f t="shared" ref="S104:S159" si="20">+SUM(G104:R104)</f>
        <v>1122669950.9867301</v>
      </c>
      <c r="T104" s="411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86" t="s">
        <v>23</v>
      </c>
      <c r="C105" s="587"/>
      <c r="D105" s="587"/>
      <c r="E105" s="587"/>
      <c r="F105" s="587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399">
        <f t="shared" si="20"/>
        <v>120237518.04497004</v>
      </c>
      <c r="T105" s="412">
        <f t="shared" si="21"/>
        <v>2.4285501523928506E-2</v>
      </c>
    </row>
    <row r="106" spans="1:21">
      <c r="A106" s="116" t="str">
        <f t="shared" si="17"/>
        <v>7112p</v>
      </c>
      <c r="B106" s="586" t="s">
        <v>25</v>
      </c>
      <c r="C106" s="587"/>
      <c r="D106" s="587"/>
      <c r="E106" s="587"/>
      <c r="F106" s="587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399">
        <f t="shared" si="20"/>
        <v>71194860.131909981</v>
      </c>
      <c r="T106" s="412">
        <f t="shared" si="21"/>
        <v>1.4379894997356086E-2</v>
      </c>
    </row>
    <row r="107" spans="1:21">
      <c r="A107" s="116" t="str">
        <f t="shared" si="17"/>
        <v>7113p</v>
      </c>
      <c r="B107" s="586" t="s">
        <v>27</v>
      </c>
      <c r="C107" s="587"/>
      <c r="D107" s="587"/>
      <c r="E107" s="587"/>
      <c r="F107" s="587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399">
        <f t="shared" si="20"/>
        <v>1862816.4104000002</v>
      </c>
      <c r="T107" s="412">
        <f t="shared" si="21"/>
        <v>3.7625053734599074E-4</v>
      </c>
    </row>
    <row r="108" spans="1:21">
      <c r="A108" s="116" t="str">
        <f t="shared" si="17"/>
        <v>7114p</v>
      </c>
      <c r="B108" s="586" t="s">
        <v>29</v>
      </c>
      <c r="C108" s="587"/>
      <c r="D108" s="587"/>
      <c r="E108" s="587"/>
      <c r="F108" s="587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399">
        <f t="shared" si="20"/>
        <v>657905657.67184997</v>
      </c>
      <c r="T108" s="412">
        <f t="shared" si="21"/>
        <v>0.1328833887440618</v>
      </c>
    </row>
    <row r="109" spans="1:21">
      <c r="A109" s="116" t="str">
        <f t="shared" si="17"/>
        <v>7115p</v>
      </c>
      <c r="B109" s="586" t="s">
        <v>31</v>
      </c>
      <c r="C109" s="587"/>
      <c r="D109" s="587"/>
      <c r="E109" s="587"/>
      <c r="F109" s="587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399">
        <f t="shared" si="20"/>
        <v>234801605.29820004</v>
      </c>
      <c r="T109" s="412">
        <f t="shared" si="21"/>
        <v>4.7425086911371449E-2</v>
      </c>
    </row>
    <row r="110" spans="1:21">
      <c r="A110" s="116" t="str">
        <f t="shared" si="17"/>
        <v>7116p</v>
      </c>
      <c r="B110" s="586" t="s">
        <v>33</v>
      </c>
      <c r="C110" s="587"/>
      <c r="D110" s="587"/>
      <c r="E110" s="587"/>
      <c r="F110" s="587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399">
        <f t="shared" si="20"/>
        <v>27167589.829800002</v>
      </c>
      <c r="T110" s="412">
        <f t="shared" si="21"/>
        <v>5.4872934416885484E-3</v>
      </c>
    </row>
    <row r="111" spans="1:21">
      <c r="A111" s="116" t="str">
        <f t="shared" si="17"/>
        <v>7118p</v>
      </c>
      <c r="B111" s="586" t="s">
        <v>721</v>
      </c>
      <c r="C111" s="587"/>
      <c r="D111" s="587"/>
      <c r="E111" s="587"/>
      <c r="F111" s="587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399">
        <f t="shared" si="20"/>
        <v>9499903.5996000003</v>
      </c>
      <c r="T111" s="412">
        <f t="shared" si="21"/>
        <v>1.918784811068471E-3</v>
      </c>
    </row>
    <row r="112" spans="1:21">
      <c r="A112" s="116" t="str">
        <f t="shared" si="17"/>
        <v>712p</v>
      </c>
      <c r="B112" s="622" t="s">
        <v>37</v>
      </c>
      <c r="C112" s="623"/>
      <c r="D112" s="623"/>
      <c r="E112" s="623"/>
      <c r="F112" s="623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0">
        <f t="shared" si="20"/>
        <v>534213514.07533062</v>
      </c>
      <c r="T112" s="413">
        <f t="shared" si="21"/>
        <v>0.10790012403056566</v>
      </c>
    </row>
    <row r="113" spans="1:20">
      <c r="A113" s="116" t="str">
        <f t="shared" si="17"/>
        <v>7121p</v>
      </c>
      <c r="B113" s="586" t="s">
        <v>39</v>
      </c>
      <c r="C113" s="587"/>
      <c r="D113" s="587"/>
      <c r="E113" s="587"/>
      <c r="F113" s="587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399">
        <f t="shared" si="20"/>
        <v>327876749.17454183</v>
      </c>
      <c r="T113" s="412">
        <f t="shared" si="21"/>
        <v>6.6224348449715573E-2</v>
      </c>
    </row>
    <row r="114" spans="1:20">
      <c r="A114" s="116" t="str">
        <f t="shared" si="17"/>
        <v>7122p</v>
      </c>
      <c r="B114" s="586" t="s">
        <v>41</v>
      </c>
      <c r="C114" s="587"/>
      <c r="D114" s="587"/>
      <c r="E114" s="587"/>
      <c r="F114" s="587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399">
        <f t="shared" si="20"/>
        <v>178851341.72447601</v>
      </c>
      <c r="T114" s="412">
        <f t="shared" si="21"/>
        <v>3.6124286351136341E-2</v>
      </c>
    </row>
    <row r="115" spans="1:20">
      <c r="A115" s="116" t="str">
        <f t="shared" si="17"/>
        <v>7123p</v>
      </c>
      <c r="B115" s="586" t="s">
        <v>43</v>
      </c>
      <c r="C115" s="587"/>
      <c r="D115" s="587"/>
      <c r="E115" s="587"/>
      <c r="F115" s="587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399">
        <f t="shared" si="20"/>
        <v>14950709.439620741</v>
      </c>
      <c r="T115" s="412">
        <f t="shared" si="21"/>
        <v>3.0197352938034216E-3</v>
      </c>
    </row>
    <row r="116" spans="1:20">
      <c r="A116" s="116" t="str">
        <f t="shared" si="17"/>
        <v>7124p</v>
      </c>
      <c r="B116" s="586" t="s">
        <v>45</v>
      </c>
      <c r="C116" s="587"/>
      <c r="D116" s="587"/>
      <c r="E116" s="587"/>
      <c r="F116" s="587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399">
        <f t="shared" si="20"/>
        <v>12534713.736692008</v>
      </c>
      <c r="T116" s="412">
        <f t="shared" si="21"/>
        <v>2.5317539359103226E-3</v>
      </c>
    </row>
    <row r="117" spans="1:20">
      <c r="A117" s="116" t="str">
        <f t="shared" si="17"/>
        <v>713p</v>
      </c>
      <c r="B117" s="592" t="s">
        <v>47</v>
      </c>
      <c r="C117" s="593"/>
      <c r="D117" s="593"/>
      <c r="E117" s="593"/>
      <c r="F117" s="593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0">
        <f t="shared" si="20"/>
        <v>15318488.925500004</v>
      </c>
      <c r="T117" s="413">
        <f t="shared" si="21"/>
        <v>3.0940191729953554E-3</v>
      </c>
    </row>
    <row r="118" spans="1:20">
      <c r="A118" s="116" t="str">
        <f t="shared" si="17"/>
        <v>714p</v>
      </c>
      <c r="B118" s="592" t="s">
        <v>61</v>
      </c>
      <c r="C118" s="593"/>
      <c r="D118" s="593"/>
      <c r="E118" s="593"/>
      <c r="F118" s="593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0">
        <f t="shared" si="20"/>
        <v>31390844.861600004</v>
      </c>
      <c r="T118" s="413">
        <f t="shared" si="21"/>
        <v>6.3403039510401948E-3</v>
      </c>
    </row>
    <row r="119" spans="1:20">
      <c r="A119" s="116" t="str">
        <f t="shared" si="17"/>
        <v>715p</v>
      </c>
      <c r="B119" s="592" t="s">
        <v>81</v>
      </c>
      <c r="C119" s="593"/>
      <c r="D119" s="593"/>
      <c r="E119" s="593"/>
      <c r="F119" s="593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0">
        <f t="shared" si="20"/>
        <v>77448450.912399963</v>
      </c>
      <c r="T119" s="413">
        <f t="shared" si="21"/>
        <v>1.5642991499171876E-2</v>
      </c>
    </row>
    <row r="120" spans="1:20">
      <c r="A120" s="116" t="str">
        <f t="shared" si="17"/>
        <v>73p</v>
      </c>
      <c r="B120" s="592" t="s">
        <v>99</v>
      </c>
      <c r="C120" s="593"/>
      <c r="D120" s="593"/>
      <c r="E120" s="593"/>
      <c r="F120" s="593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0">
        <f t="shared" si="20"/>
        <v>8511664.0019999985</v>
      </c>
      <c r="T120" s="413">
        <f t="shared" si="21"/>
        <v>1.7191807719652591E-3</v>
      </c>
    </row>
    <row r="121" spans="1:20" ht="13.5" thickBot="1">
      <c r="A121" s="116" t="str">
        <f t="shared" si="17"/>
        <v>74p</v>
      </c>
      <c r="B121" s="588" t="s">
        <v>105</v>
      </c>
      <c r="C121" s="589"/>
      <c r="D121" s="589"/>
      <c r="E121" s="589"/>
      <c r="F121" s="589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1">
        <f t="shared" si="20"/>
        <v>44480000</v>
      </c>
      <c r="T121" s="414">
        <f t="shared" si="21"/>
        <v>8.98404362754999E-3</v>
      </c>
    </row>
    <row r="122" spans="1:20" ht="13.5" thickBot="1">
      <c r="A122" s="116" t="str">
        <f t="shared" si="17"/>
        <v>4p</v>
      </c>
      <c r="B122" s="570" t="s">
        <v>808</v>
      </c>
      <c r="C122" s="571"/>
      <c r="D122" s="571"/>
      <c r="E122" s="571"/>
      <c r="F122" s="571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2">
        <f>+SUM(G122:R122)</f>
        <v>1976630978.4000001</v>
      </c>
      <c r="T122" s="415">
        <f t="shared" si="21"/>
        <v>0.39923873528580089</v>
      </c>
    </row>
    <row r="123" spans="1:20" ht="13.5" thickBot="1">
      <c r="A123" s="116" t="str">
        <f t="shared" si="17"/>
        <v>40p</v>
      </c>
      <c r="B123" s="626" t="s">
        <v>773</v>
      </c>
      <c r="C123" s="627"/>
      <c r="D123" s="627"/>
      <c r="E123" s="627"/>
      <c r="F123" s="627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3">
        <f t="shared" si="20"/>
        <v>1680705978.4000001</v>
      </c>
      <c r="T123" s="416">
        <f t="shared" si="21"/>
        <v>0.33946798190264593</v>
      </c>
    </row>
    <row r="124" spans="1:20">
      <c r="A124" s="116" t="e">
        <f>+CONCATENATE(#REF!,"p")</f>
        <v>#REF!</v>
      </c>
      <c r="B124" s="590" t="e">
        <v>#REF!</v>
      </c>
      <c r="C124" s="591"/>
      <c r="D124" s="591"/>
      <c r="E124" s="591"/>
      <c r="F124" s="591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8">
        <f t="shared" si="20"/>
        <v>846670934.61000013</v>
      </c>
      <c r="T124" s="411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86" t="s">
        <v>122</v>
      </c>
      <c r="C125" s="587"/>
      <c r="D125" s="587"/>
      <c r="E125" s="587"/>
      <c r="F125" s="587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399">
        <f t="shared" si="20"/>
        <v>472054247.1500001</v>
      </c>
      <c r="T125" s="412">
        <f t="shared" si="21"/>
        <v>9.5345232710563541E-2</v>
      </c>
    </row>
    <row r="126" spans="1:20">
      <c r="A126" s="116" t="str">
        <f t="shared" si="26"/>
        <v>412p</v>
      </c>
      <c r="B126" s="586" t="s">
        <v>133</v>
      </c>
      <c r="C126" s="587"/>
      <c r="D126" s="587"/>
      <c r="E126" s="587"/>
      <c r="F126" s="587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399">
        <f t="shared" si="20"/>
        <v>15077125.449999996</v>
      </c>
      <c r="T126" s="412">
        <f t="shared" si="21"/>
        <v>3.0452687234902029E-3</v>
      </c>
    </row>
    <row r="127" spans="1:20">
      <c r="A127" s="116" t="str">
        <f t="shared" si="26"/>
        <v>413p</v>
      </c>
      <c r="B127" s="586" t="s">
        <v>148</v>
      </c>
      <c r="C127" s="587"/>
      <c r="D127" s="587"/>
      <c r="E127" s="587"/>
      <c r="F127" s="587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399">
        <f t="shared" si="20"/>
        <v>36652827.660000004</v>
      </c>
      <c r="T127" s="412">
        <f t="shared" si="21"/>
        <v>7.4031160694809136E-3</v>
      </c>
    </row>
    <row r="128" spans="1:20">
      <c r="A128" s="116" t="str">
        <f t="shared" si="26"/>
        <v>414p</v>
      </c>
      <c r="B128" s="586" t="s">
        <v>162</v>
      </c>
      <c r="C128" s="587"/>
      <c r="D128" s="587"/>
      <c r="E128" s="587"/>
      <c r="F128" s="587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399">
        <f t="shared" si="20"/>
        <v>63127045.969999991</v>
      </c>
      <c r="T128" s="412">
        <f t="shared" si="21"/>
        <v>1.2750362748939606E-2</v>
      </c>
    </row>
    <row r="129" spans="1:20">
      <c r="A129" s="116" t="str">
        <f t="shared" si="26"/>
        <v>415p</v>
      </c>
      <c r="B129" s="586" t="s">
        <v>182</v>
      </c>
      <c r="C129" s="587"/>
      <c r="D129" s="587"/>
      <c r="E129" s="587"/>
      <c r="F129" s="587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399">
        <f t="shared" si="20"/>
        <v>23117903.600000001</v>
      </c>
      <c r="T129" s="412">
        <f t="shared" si="21"/>
        <v>4.6693402544940423E-3</v>
      </c>
    </row>
    <row r="130" spans="1:20">
      <c r="A130" s="116" t="str">
        <f t="shared" si="26"/>
        <v>416p</v>
      </c>
      <c r="B130" s="586" t="s">
        <v>190</v>
      </c>
      <c r="C130" s="587"/>
      <c r="D130" s="587"/>
      <c r="E130" s="587"/>
      <c r="F130" s="587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399">
        <f t="shared" si="20"/>
        <v>95752699.999999985</v>
      </c>
      <c r="T130" s="412">
        <f t="shared" si="21"/>
        <v>1.9340072712583315E-2</v>
      </c>
    </row>
    <row r="131" spans="1:20">
      <c r="A131" s="116" t="str">
        <f t="shared" si="26"/>
        <v>417p</v>
      </c>
      <c r="B131" s="586" t="s">
        <v>196</v>
      </c>
      <c r="C131" s="587"/>
      <c r="D131" s="587"/>
      <c r="E131" s="587"/>
      <c r="F131" s="587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399">
        <f t="shared" si="20"/>
        <v>9821101.7599999998</v>
      </c>
      <c r="T131" s="412">
        <f t="shared" si="21"/>
        <v>1.9836602221773377E-3</v>
      </c>
    </row>
    <row r="132" spans="1:20">
      <c r="A132" s="116" t="str">
        <f t="shared" si="26"/>
        <v>418p</v>
      </c>
      <c r="B132" s="586" t="s">
        <v>204</v>
      </c>
      <c r="C132" s="587"/>
      <c r="D132" s="587"/>
      <c r="E132" s="587"/>
      <c r="F132" s="587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399">
        <f t="shared" si="20"/>
        <v>30814599.999999993</v>
      </c>
      <c r="T132" s="412">
        <f t="shared" si="21"/>
        <v>6.2239143607352035E-3</v>
      </c>
    </row>
    <row r="133" spans="1:20">
      <c r="A133" s="116" t="str">
        <f t="shared" si="26"/>
        <v>419p</v>
      </c>
      <c r="B133" s="586" t="s">
        <v>212</v>
      </c>
      <c r="C133" s="587"/>
      <c r="D133" s="587"/>
      <c r="E133" s="587"/>
      <c r="F133" s="587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399">
        <f t="shared" si="20"/>
        <v>41196323.400000006</v>
      </c>
      <c r="T133" s="412">
        <f t="shared" si="21"/>
        <v>8.3208086043223602E-3</v>
      </c>
    </row>
    <row r="134" spans="1:20">
      <c r="A134" s="116" t="e">
        <f>+CONCATENATE(#REF!,"p")</f>
        <v>#REF!</v>
      </c>
      <c r="B134" s="586" t="e">
        <v>#REF!</v>
      </c>
      <c r="C134" s="587"/>
      <c r="D134" s="587"/>
      <c r="E134" s="587"/>
      <c r="F134" s="587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399">
        <f t="shared" si="20"/>
        <v>59057059.620000012</v>
      </c>
      <c r="T134" s="412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582" t="s">
        <v>230</v>
      </c>
      <c r="C135" s="583"/>
      <c r="D135" s="583"/>
      <c r="E135" s="583"/>
      <c r="F135" s="583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0">
        <f t="shared" si="20"/>
        <v>557842584.41999996</v>
      </c>
      <c r="T135" s="413">
        <f t="shared" si="21"/>
        <v>0.11267270943647748</v>
      </c>
    </row>
    <row r="136" spans="1:20">
      <c r="A136" s="116" t="str">
        <f t="shared" si="27"/>
        <v>421p</v>
      </c>
      <c r="B136" s="586" t="s">
        <v>232</v>
      </c>
      <c r="C136" s="587"/>
      <c r="D136" s="587"/>
      <c r="E136" s="587"/>
      <c r="F136" s="587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399">
        <f t="shared" si="20"/>
        <v>80990000.000000015</v>
      </c>
      <c r="T136" s="412">
        <f t="shared" si="21"/>
        <v>1.6358311452231874E-2</v>
      </c>
    </row>
    <row r="137" spans="1:20">
      <c r="A137" s="116" t="str">
        <f t="shared" si="27"/>
        <v>422p</v>
      </c>
      <c r="B137" s="586" t="s">
        <v>248</v>
      </c>
      <c r="C137" s="587"/>
      <c r="D137" s="587"/>
      <c r="E137" s="587"/>
      <c r="F137" s="587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399">
        <f t="shared" si="20"/>
        <v>18202468.969999999</v>
      </c>
      <c r="T137" s="412">
        <f t="shared" si="21"/>
        <v>3.6765237265198947E-3</v>
      </c>
    </row>
    <row r="138" spans="1:20">
      <c r="A138" s="116" t="str">
        <f t="shared" si="27"/>
        <v>423p</v>
      </c>
      <c r="B138" s="586" t="s">
        <v>259</v>
      </c>
      <c r="C138" s="587"/>
      <c r="D138" s="587"/>
      <c r="E138" s="587"/>
      <c r="F138" s="587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399">
        <f t="shared" si="20"/>
        <v>429025014.44999993</v>
      </c>
      <c r="T138" s="412">
        <f t="shared" si="21"/>
        <v>8.6654214189052697E-2</v>
      </c>
    </row>
    <row r="139" spans="1:20">
      <c r="A139" s="116" t="str">
        <f t="shared" si="27"/>
        <v>424p</v>
      </c>
      <c r="B139" s="586" t="s">
        <v>274</v>
      </c>
      <c r="C139" s="587"/>
      <c r="D139" s="587"/>
      <c r="E139" s="587"/>
      <c r="F139" s="587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399">
        <f t="shared" si="20"/>
        <v>19000100</v>
      </c>
      <c r="T139" s="412">
        <f t="shared" si="21"/>
        <v>3.8376287618662897E-3</v>
      </c>
    </row>
    <row r="140" spans="1:20">
      <c r="A140" s="116" t="str">
        <f t="shared" si="27"/>
        <v>425p</v>
      </c>
      <c r="B140" s="586" t="s">
        <v>278</v>
      </c>
      <c r="C140" s="587"/>
      <c r="D140" s="587"/>
      <c r="E140" s="587"/>
      <c r="F140" s="587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399">
        <f t="shared" si="20"/>
        <v>10625001</v>
      </c>
      <c r="T140" s="412">
        <f t="shared" si="21"/>
        <v>2.1460313068067055E-3</v>
      </c>
    </row>
    <row r="141" spans="1:20">
      <c r="A141" s="116" t="str">
        <f t="shared" si="27"/>
        <v>43p</v>
      </c>
      <c r="B141" s="584" t="s">
        <v>286</v>
      </c>
      <c r="C141" s="585"/>
      <c r="D141" s="585"/>
      <c r="E141" s="585"/>
      <c r="F141" s="585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0">
        <f>+SUM(G141:R141)</f>
        <v>220947786.96000001</v>
      </c>
      <c r="T141" s="413">
        <f t="shared" si="21"/>
        <v>4.4626901022015754E-2</v>
      </c>
    </row>
    <row r="142" spans="1:20">
      <c r="A142" s="116" t="str">
        <f t="shared" si="27"/>
        <v>44p</v>
      </c>
      <c r="B142" s="584" t="s">
        <v>809</v>
      </c>
      <c r="C142" s="585"/>
      <c r="D142" s="585"/>
      <c r="E142" s="585"/>
      <c r="F142" s="585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0">
        <f t="shared" si="20"/>
        <v>295925000</v>
      </c>
      <c r="T142" s="413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576" t="s">
        <v>113</v>
      </c>
      <c r="C143" s="577"/>
      <c r="D143" s="577"/>
      <c r="E143" s="577"/>
      <c r="F143" s="577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399">
        <f t="shared" si="20"/>
        <v>2280000.9999999995</v>
      </c>
      <c r="T143" s="412">
        <f t="shared" si="21"/>
        <v>4.6051322965057553E-4</v>
      </c>
    </row>
    <row r="144" spans="1:20">
      <c r="A144" s="116" t="str">
        <f t="shared" si="29"/>
        <v>47p</v>
      </c>
      <c r="B144" s="576" t="s">
        <v>366</v>
      </c>
      <c r="C144" s="577"/>
      <c r="D144" s="577"/>
      <c r="E144" s="577"/>
      <c r="F144" s="577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399">
        <f t="shared" si="20"/>
        <v>24999999.999999996</v>
      </c>
      <c r="T144" s="412">
        <f t="shared" si="21"/>
        <v>5.0494849525348409E-3</v>
      </c>
    </row>
    <row r="145" spans="1:20">
      <c r="A145" s="116" t="str">
        <f t="shared" si="29"/>
        <v>462p</v>
      </c>
      <c r="B145" s="576" t="s">
        <v>359</v>
      </c>
      <c r="C145" s="577"/>
      <c r="D145" s="577"/>
      <c r="E145" s="577"/>
      <c r="F145" s="577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399">
        <f t="shared" si="20"/>
        <v>9434672.4100000001</v>
      </c>
      <c r="T145" s="412">
        <f t="shared" si="21"/>
        <v>1.9056094546556252E-3</v>
      </c>
    </row>
    <row r="146" spans="1:20">
      <c r="A146" s="117" t="str">
        <f>+CONCATENATE(A51,"p")</f>
        <v>4630p</v>
      </c>
      <c r="B146" s="576" t="s">
        <v>365</v>
      </c>
      <c r="C146" s="577"/>
      <c r="D146" s="577"/>
      <c r="E146" s="577"/>
      <c r="F146" s="577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4">
        <f>+SUM(G146:R146)</f>
        <v>18529999</v>
      </c>
      <c r="T146" s="417">
        <f>+S146/$T$7</f>
        <v>3.7426780448394266E-3</v>
      </c>
    </row>
    <row r="147" spans="1:20" ht="13.5" thickBot="1">
      <c r="A147" s="116"/>
      <c r="B147" s="628" t="s">
        <v>685</v>
      </c>
      <c r="C147" s="629"/>
      <c r="D147" s="629"/>
      <c r="E147" s="629"/>
      <c r="F147" s="629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0">
        <f>SUM(G147:R147)</f>
        <v>0</v>
      </c>
      <c r="T147" s="375">
        <f t="shared" si="21"/>
        <v>0</v>
      </c>
    </row>
    <row r="148" spans="1:20" ht="13.5" thickBot="1">
      <c r="A148" s="117" t="str">
        <f>+CONCATENATE(A53,"p")</f>
        <v>1000p</v>
      </c>
      <c r="B148" s="578" t="s">
        <v>545</v>
      </c>
      <c r="C148" s="579"/>
      <c r="D148" s="579"/>
      <c r="E148" s="579"/>
      <c r="F148" s="579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5">
        <f t="shared" si="20"/>
        <v>-142598064.63643947</v>
      </c>
      <c r="T148" s="418">
        <f t="shared" si="21"/>
        <v>-2.8801871265691673E-2</v>
      </c>
    </row>
    <row r="149" spans="1:20" ht="13.5" thickBot="1">
      <c r="A149" s="117" t="str">
        <f>+CONCATENATE(A54,"p")</f>
        <v>1001p</v>
      </c>
      <c r="B149" s="580" t="s">
        <v>810</v>
      </c>
      <c r="C149" s="581"/>
      <c r="D149" s="581"/>
      <c r="E149" s="581"/>
      <c r="F149" s="581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5">
        <f t="shared" si="20"/>
        <v>-46845364.63643948</v>
      </c>
      <c r="T149" s="418">
        <f t="shared" si="21"/>
        <v>-9.4617985531083582E-3</v>
      </c>
    </row>
    <row r="150" spans="1:20">
      <c r="A150" s="117" t="str">
        <f>+CONCATENATE(A55,"p")</f>
        <v>46p</v>
      </c>
      <c r="B150" s="582" t="s">
        <v>352</v>
      </c>
      <c r="C150" s="583"/>
      <c r="D150" s="583"/>
      <c r="E150" s="583"/>
      <c r="F150" s="583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6">
        <f t="shared" si="20"/>
        <v>373600000</v>
      </c>
      <c r="T150" s="419">
        <f t="shared" si="21"/>
        <v>7.5459503130680672E-2</v>
      </c>
    </row>
    <row r="151" spans="1:20">
      <c r="A151" s="117" t="str">
        <f>+CONCATENATE(A56,"p")</f>
        <v>4611p</v>
      </c>
      <c r="B151" s="574" t="s">
        <v>355</v>
      </c>
      <c r="C151" s="575"/>
      <c r="D151" s="575"/>
      <c r="E151" s="575"/>
      <c r="F151" s="575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4">
        <f t="shared" si="20"/>
        <v>44100000.039999999</v>
      </c>
      <c r="T151" s="417">
        <f t="shared" si="21"/>
        <v>8.9072914643506355E-3</v>
      </c>
    </row>
    <row r="152" spans="1:20">
      <c r="A152" s="117" t="str">
        <f>+CONCATENATE(A57,"p")</f>
        <v>4612p</v>
      </c>
      <c r="B152" s="576" t="s">
        <v>357</v>
      </c>
      <c r="C152" s="577"/>
      <c r="D152" s="577"/>
      <c r="E152" s="577"/>
      <c r="F152" s="577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4">
        <f t="shared" si="20"/>
        <v>329499999.95999998</v>
      </c>
      <c r="T152" s="417">
        <f t="shared" si="21"/>
        <v>6.6552211666330033E-2</v>
      </c>
    </row>
    <row r="153" spans="1:20" ht="13.5" thickBot="1">
      <c r="A153" s="117"/>
      <c r="B153" s="624" t="s">
        <v>336</v>
      </c>
      <c r="C153" s="625"/>
      <c r="D153" s="625"/>
      <c r="E153" s="625"/>
      <c r="F153" s="625"/>
      <c r="G153" s="491">
        <v>26666.67</v>
      </c>
      <c r="H153" s="491">
        <v>26666.67</v>
      </c>
      <c r="I153" s="491">
        <v>26666.67</v>
      </c>
      <c r="J153" s="491">
        <v>39926666.670000002</v>
      </c>
      <c r="K153" s="491">
        <v>26666.67</v>
      </c>
      <c r="L153" s="491">
        <v>26666.67</v>
      </c>
      <c r="M153" s="491">
        <v>26666.67</v>
      </c>
      <c r="N153" s="491">
        <v>26666.67</v>
      </c>
      <c r="O153" s="491">
        <v>26666.67</v>
      </c>
      <c r="P153" s="491">
        <v>26666.67</v>
      </c>
      <c r="Q153" s="491">
        <v>26666.67</v>
      </c>
      <c r="R153" s="491">
        <v>26666.63</v>
      </c>
      <c r="S153" s="492">
        <f t="shared" si="20"/>
        <v>40220000.000000015</v>
      </c>
      <c r="T153" s="493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572" t="s">
        <v>543</v>
      </c>
      <c r="C154" s="573"/>
      <c r="D154" s="573"/>
      <c r="E154" s="573"/>
      <c r="F154" s="573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7">
        <f t="shared" si="20"/>
        <v>-556418064.63643956</v>
      </c>
      <c r="T154" s="420">
        <f t="shared" si="21"/>
        <v>-0.11238498578801041</v>
      </c>
    </row>
    <row r="155" spans="1:20" ht="13.5" thickBot="1">
      <c r="A155" s="117" t="str">
        <f t="shared" si="33"/>
        <v>1003p</v>
      </c>
      <c r="B155" s="570" t="s">
        <v>544</v>
      </c>
      <c r="C155" s="571"/>
      <c r="D155" s="571"/>
      <c r="E155" s="571"/>
      <c r="F155" s="571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8">
        <f t="shared" si="20"/>
        <v>556418064.63643956</v>
      </c>
      <c r="T155" s="421">
        <f t="shared" si="21"/>
        <v>0.11238498578801041</v>
      </c>
    </row>
    <row r="156" spans="1:20">
      <c r="A156" s="117" t="str">
        <f t="shared" si="33"/>
        <v>7511p</v>
      </c>
      <c r="B156" s="574" t="s">
        <v>114</v>
      </c>
      <c r="C156" s="575"/>
      <c r="D156" s="575"/>
      <c r="E156" s="575"/>
      <c r="F156" s="575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4">
        <f t="shared" si="20"/>
        <v>190000000</v>
      </c>
      <c r="T156" s="417">
        <f t="shared" si="21"/>
        <v>3.8376085639264798E-2</v>
      </c>
    </row>
    <row r="157" spans="1:20">
      <c r="A157" s="117" t="str">
        <f t="shared" si="33"/>
        <v>7512p</v>
      </c>
      <c r="B157" s="576" t="s">
        <v>116</v>
      </c>
      <c r="C157" s="577"/>
      <c r="D157" s="577"/>
      <c r="E157" s="577"/>
      <c r="F157" s="577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4">
        <f t="shared" si="20"/>
        <v>180405268.74155378</v>
      </c>
      <c r="T157" s="417">
        <f t="shared" si="21"/>
        <v>3.6438147594739199E-2</v>
      </c>
    </row>
    <row r="158" spans="1:20">
      <c r="A158" s="117" t="str">
        <f t="shared" si="33"/>
        <v>72p</v>
      </c>
      <c r="B158" s="576" t="s">
        <v>93</v>
      </c>
      <c r="C158" s="577"/>
      <c r="D158" s="577"/>
      <c r="E158" s="577"/>
      <c r="F158" s="577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4">
        <f t="shared" si="20"/>
        <v>6000000</v>
      </c>
      <c r="T158" s="417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09">
        <f t="shared" si="20"/>
        <v>180012795.89488566</v>
      </c>
      <c r="T159" s="422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619" t="s">
        <v>553</v>
      </c>
      <c r="C7" s="551"/>
      <c r="D7" s="551"/>
      <c r="E7" s="551"/>
      <c r="F7" s="551"/>
      <c r="G7" s="559">
        <v>2018</v>
      </c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3"/>
      <c r="S7" s="235" t="s">
        <v>419</v>
      </c>
      <c r="T7" s="236">
        <v>4663130000</v>
      </c>
    </row>
    <row r="8" spans="1:20" ht="16.5" customHeight="1">
      <c r="A8" s="144"/>
      <c r="B8" s="552"/>
      <c r="C8" s="553"/>
      <c r="D8" s="553"/>
      <c r="E8" s="553"/>
      <c r="F8" s="554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59" t="s">
        <v>806</v>
      </c>
      <c r="T8" s="563"/>
    </row>
    <row r="9" spans="1:20" ht="13.5" thickBot="1">
      <c r="A9" s="144"/>
      <c r="B9" s="555"/>
      <c r="C9" s="556"/>
      <c r="D9" s="556"/>
      <c r="E9" s="556"/>
      <c r="F9" s="557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18" t="s">
        <v>680</v>
      </c>
      <c r="C10" s="519"/>
      <c r="D10" s="519"/>
      <c r="E10" s="519"/>
      <c r="F10" s="51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2">
        <f>+SUM(G10:R10)</f>
        <v>1746018287.1400003</v>
      </c>
      <c r="T10" s="367">
        <f>+S10/$T$7</f>
        <v>0.3744305406754691</v>
      </c>
    </row>
    <row r="11" spans="1:20">
      <c r="A11" s="150">
        <v>711</v>
      </c>
      <c r="B11" s="520" t="s">
        <v>21</v>
      </c>
      <c r="C11" s="521"/>
      <c r="D11" s="521"/>
      <c r="E11" s="521"/>
      <c r="F11" s="52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3">
        <f t="shared" ref="S11:S66" si="3">+SUM(G11:R11)</f>
        <v>1068947201.3</v>
      </c>
      <c r="T11" s="368">
        <f t="shared" ref="T11:T67" si="4">+S11/$T$7</f>
        <v>0.22923384106812375</v>
      </c>
    </row>
    <row r="12" spans="1:20">
      <c r="A12" s="150">
        <v>7111</v>
      </c>
      <c r="B12" s="522" t="s">
        <v>23</v>
      </c>
      <c r="C12" s="523"/>
      <c r="D12" s="523"/>
      <c r="E12" s="523"/>
      <c r="F12" s="523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4">
        <f t="shared" si="3"/>
        <v>124898382.06000002</v>
      </c>
      <c r="T12" s="369">
        <f t="shared" si="4"/>
        <v>2.6784237638667593E-2</v>
      </c>
    </row>
    <row r="13" spans="1:20">
      <c r="A13" s="150">
        <v>7112</v>
      </c>
      <c r="B13" s="522" t="s">
        <v>25</v>
      </c>
      <c r="C13" s="523"/>
      <c r="D13" s="523"/>
      <c r="E13" s="523"/>
      <c r="F13" s="523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4">
        <f t="shared" si="3"/>
        <v>68172478.429999992</v>
      </c>
      <c r="T13" s="369">
        <f t="shared" si="4"/>
        <v>1.4619467703023505E-2</v>
      </c>
    </row>
    <row r="14" spans="1:20">
      <c r="A14" s="150">
        <v>7113</v>
      </c>
      <c r="B14" s="522" t="s">
        <v>27</v>
      </c>
      <c r="C14" s="523"/>
      <c r="D14" s="523"/>
      <c r="E14" s="523"/>
      <c r="F14" s="523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4">
        <f t="shared" si="3"/>
        <v>1836094.52</v>
      </c>
      <c r="T14" s="369">
        <f t="shared" si="4"/>
        <v>3.9374722986491905E-4</v>
      </c>
    </row>
    <row r="15" spans="1:20">
      <c r="A15" s="150">
        <v>7114</v>
      </c>
      <c r="B15" s="522" t="s">
        <v>29</v>
      </c>
      <c r="C15" s="523"/>
      <c r="D15" s="523"/>
      <c r="E15" s="523"/>
      <c r="F15" s="523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4">
        <f t="shared" si="3"/>
        <v>616913678.91000009</v>
      </c>
      <c r="T15" s="369">
        <f t="shared" si="4"/>
        <v>0.13229604984420337</v>
      </c>
    </row>
    <row r="16" spans="1:20">
      <c r="A16" s="150">
        <v>7115</v>
      </c>
      <c r="B16" s="522" t="s">
        <v>31</v>
      </c>
      <c r="C16" s="523"/>
      <c r="D16" s="523"/>
      <c r="E16" s="523"/>
      <c r="F16" s="523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4">
        <f t="shared" si="3"/>
        <v>221178044.41</v>
      </c>
      <c r="T16" s="369">
        <f t="shared" si="4"/>
        <v>4.7431241335755166E-2</v>
      </c>
    </row>
    <row r="17" spans="1:25">
      <c r="A17" s="150">
        <v>7116</v>
      </c>
      <c r="B17" s="522" t="s">
        <v>33</v>
      </c>
      <c r="C17" s="523"/>
      <c r="D17" s="523"/>
      <c r="E17" s="523"/>
      <c r="F17" s="523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4">
        <f t="shared" si="3"/>
        <v>26634891.989999998</v>
      </c>
      <c r="T17" s="369">
        <f t="shared" si="4"/>
        <v>5.7118055876632214E-3</v>
      </c>
    </row>
    <row r="18" spans="1:25">
      <c r="A18" s="150">
        <v>7118</v>
      </c>
      <c r="B18" s="522" t="s">
        <v>721</v>
      </c>
      <c r="C18" s="523"/>
      <c r="D18" s="523"/>
      <c r="E18" s="523"/>
      <c r="F18" s="523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4">
        <f t="shared" si="3"/>
        <v>9313630.9799999986</v>
      </c>
      <c r="T18" s="369">
        <f t="shared" si="4"/>
        <v>1.9972917289460082E-3</v>
      </c>
    </row>
    <row r="19" spans="1:25">
      <c r="A19" s="150">
        <v>712</v>
      </c>
      <c r="B19" s="526" t="s">
        <v>37</v>
      </c>
      <c r="C19" s="527"/>
      <c r="D19" s="527"/>
      <c r="E19" s="527"/>
      <c r="F19" s="52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5">
        <f t="shared" si="3"/>
        <v>524440114.39999998</v>
      </c>
      <c r="T19" s="370">
        <f t="shared" si="4"/>
        <v>0.11246525711271184</v>
      </c>
    </row>
    <row r="20" spans="1:25">
      <c r="A20" s="150">
        <v>7121</v>
      </c>
      <c r="B20" s="522" t="s">
        <v>39</v>
      </c>
      <c r="C20" s="523"/>
      <c r="D20" s="523"/>
      <c r="E20" s="523"/>
      <c r="F20" s="523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4">
        <f t="shared" si="3"/>
        <v>316982958.28000003</v>
      </c>
      <c r="T20" s="369">
        <f t="shared" si="4"/>
        <v>6.7976436059041898E-2</v>
      </c>
    </row>
    <row r="21" spans="1:25">
      <c r="A21" s="150">
        <v>7122</v>
      </c>
      <c r="B21" s="522" t="s">
        <v>41</v>
      </c>
      <c r="C21" s="523"/>
      <c r="D21" s="523"/>
      <c r="E21" s="523"/>
      <c r="F21" s="523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4">
        <f t="shared" si="3"/>
        <v>182045765.34999999</v>
      </c>
      <c r="T21" s="369">
        <f t="shared" si="4"/>
        <v>3.9039393143661019E-2</v>
      </c>
    </row>
    <row r="22" spans="1:25">
      <c r="A22" s="150">
        <v>7123</v>
      </c>
      <c r="B22" s="522" t="s">
        <v>43</v>
      </c>
      <c r="C22" s="523"/>
      <c r="D22" s="523"/>
      <c r="E22" s="523"/>
      <c r="F22" s="523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4">
        <f t="shared" si="3"/>
        <v>13590597.370000001</v>
      </c>
      <c r="T22" s="369">
        <f t="shared" si="4"/>
        <v>2.9144796242009125E-3</v>
      </c>
    </row>
    <row r="23" spans="1:25">
      <c r="A23" s="150">
        <v>7124</v>
      </c>
      <c r="B23" s="522" t="s">
        <v>45</v>
      </c>
      <c r="C23" s="523"/>
      <c r="D23" s="523"/>
      <c r="E23" s="523"/>
      <c r="F23" s="523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4">
        <f t="shared" si="3"/>
        <v>11820793.4</v>
      </c>
      <c r="T23" s="369">
        <f t="shared" si="4"/>
        <v>2.5349482858080304E-3</v>
      </c>
      <c r="Y23" s="305"/>
    </row>
    <row r="24" spans="1:25">
      <c r="A24" s="150">
        <v>713</v>
      </c>
      <c r="B24" s="524" t="s">
        <v>47</v>
      </c>
      <c r="C24" s="525"/>
      <c r="D24" s="525"/>
      <c r="E24" s="525"/>
      <c r="F24" s="525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5">
        <f t="shared" si="3"/>
        <v>16901007.650000002</v>
      </c>
      <c r="T24" s="370">
        <f t="shared" si="4"/>
        <v>3.6243912672389582E-3</v>
      </c>
      <c r="Y24" s="305"/>
    </row>
    <row r="25" spans="1:25">
      <c r="A25" s="150">
        <v>714</v>
      </c>
      <c r="B25" s="524" t="s">
        <v>61</v>
      </c>
      <c r="C25" s="525"/>
      <c r="D25" s="525"/>
      <c r="E25" s="525"/>
      <c r="F25" s="525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5">
        <f t="shared" si="3"/>
        <v>26419539.080000002</v>
      </c>
      <c r="T25" s="370">
        <f t="shared" si="4"/>
        <v>5.6656235361227337E-3</v>
      </c>
      <c r="W25" s="292"/>
    </row>
    <row r="26" spans="1:25">
      <c r="A26" s="150">
        <v>715</v>
      </c>
      <c r="B26" s="524" t="s">
        <v>81</v>
      </c>
      <c r="C26" s="525"/>
      <c r="D26" s="525"/>
      <c r="E26" s="525"/>
      <c r="F26" s="525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5">
        <f t="shared" si="3"/>
        <v>71315064.620000005</v>
      </c>
      <c r="T26" s="370">
        <f t="shared" si="4"/>
        <v>1.529338976610131E-2</v>
      </c>
    </row>
    <row r="27" spans="1:25">
      <c r="A27" s="150">
        <v>73</v>
      </c>
      <c r="B27" s="524" t="s">
        <v>99</v>
      </c>
      <c r="C27" s="525"/>
      <c r="D27" s="525"/>
      <c r="E27" s="525"/>
      <c r="F27" s="525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5">
        <f t="shared" si="3"/>
        <v>11285945.1</v>
      </c>
      <c r="T27" s="370">
        <f t="shared" si="4"/>
        <v>2.4202510116595505E-3</v>
      </c>
    </row>
    <row r="28" spans="1:25" ht="13.5" thickBot="1">
      <c r="A28" s="150">
        <v>74</v>
      </c>
      <c r="B28" s="528" t="s">
        <v>105</v>
      </c>
      <c r="C28" s="529"/>
      <c r="D28" s="529"/>
      <c r="E28" s="529"/>
      <c r="F28" s="529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5">
        <f t="shared" si="3"/>
        <v>26709414.990000006</v>
      </c>
      <c r="T28" s="371">
        <f t="shared" si="4"/>
        <v>5.7277869135108836E-3</v>
      </c>
    </row>
    <row r="29" spans="1:25" ht="13.5" thickBot="1">
      <c r="A29" s="150">
        <v>4</v>
      </c>
      <c r="B29" s="530" t="s">
        <v>801</v>
      </c>
      <c r="C29" s="531"/>
      <c r="D29" s="531"/>
      <c r="E29" s="531"/>
      <c r="F29" s="531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6">
        <f t="shared" si="3"/>
        <v>1914918461.6599998</v>
      </c>
      <c r="T29" s="372">
        <f t="shared" si="4"/>
        <v>0.41065088506217923</v>
      </c>
    </row>
    <row r="30" spans="1:25" ht="13.5" thickBot="1">
      <c r="A30" s="150">
        <v>40</v>
      </c>
      <c r="B30" s="532" t="s">
        <v>773</v>
      </c>
      <c r="C30" s="533"/>
      <c r="D30" s="533"/>
      <c r="E30" s="533"/>
      <c r="F30" s="53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7">
        <f t="shared" si="3"/>
        <v>1671556011.4800003</v>
      </c>
      <c r="T30" s="373">
        <f t="shared" si="4"/>
        <v>0.35846223705536845</v>
      </c>
    </row>
    <row r="31" spans="1:25">
      <c r="A31" s="150">
        <v>41</v>
      </c>
      <c r="B31" s="534" t="s">
        <v>120</v>
      </c>
      <c r="C31" s="535"/>
      <c r="D31" s="535"/>
      <c r="E31" s="535"/>
      <c r="F31" s="53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8">
        <f t="shared" si="3"/>
        <v>866631492.57999992</v>
      </c>
      <c r="T31" s="368">
        <f t="shared" si="4"/>
        <v>0.185847594336851</v>
      </c>
    </row>
    <row r="32" spans="1:25">
      <c r="A32" s="150">
        <v>411</v>
      </c>
      <c r="B32" s="522" t="s">
        <v>122</v>
      </c>
      <c r="C32" s="523"/>
      <c r="D32" s="523"/>
      <c r="E32" s="523"/>
      <c r="F32" s="523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4">
        <f t="shared" si="3"/>
        <v>459796234.55000001</v>
      </c>
      <c r="T32" s="369">
        <f t="shared" si="4"/>
        <v>9.860249114864908E-2</v>
      </c>
    </row>
    <row r="33" spans="1:22">
      <c r="A33" s="150">
        <v>412</v>
      </c>
      <c r="B33" s="522" t="s">
        <v>133</v>
      </c>
      <c r="C33" s="523"/>
      <c r="D33" s="523"/>
      <c r="E33" s="523"/>
      <c r="F33" s="523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4">
        <f t="shared" si="3"/>
        <v>13212940.209999999</v>
      </c>
      <c r="T33" s="369">
        <f t="shared" si="4"/>
        <v>2.8334917126479424E-3</v>
      </c>
      <c r="U33" s="293"/>
    </row>
    <row r="34" spans="1:22">
      <c r="A34" s="150">
        <v>413</v>
      </c>
      <c r="B34" s="522" t="s">
        <v>148</v>
      </c>
      <c r="C34" s="523"/>
      <c r="D34" s="523"/>
      <c r="E34" s="523"/>
      <c r="F34" s="523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4">
        <f t="shared" si="3"/>
        <v>36731134.720000006</v>
      </c>
      <c r="T34" s="369">
        <f t="shared" si="4"/>
        <v>7.8769270254099733E-3</v>
      </c>
      <c r="U34" s="311"/>
      <c r="V34" s="291"/>
    </row>
    <row r="35" spans="1:22">
      <c r="A35" s="150">
        <v>414</v>
      </c>
      <c r="B35" s="522" t="s">
        <v>162</v>
      </c>
      <c r="C35" s="523"/>
      <c r="D35" s="523"/>
      <c r="E35" s="523"/>
      <c r="F35" s="523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4">
        <f t="shared" si="3"/>
        <v>75138922.689999998</v>
      </c>
      <c r="T35" s="369">
        <f t="shared" si="4"/>
        <v>1.6113409381681404E-2</v>
      </c>
    </row>
    <row r="36" spans="1:22">
      <c r="A36" s="150">
        <v>415</v>
      </c>
      <c r="B36" s="522" t="s">
        <v>182</v>
      </c>
      <c r="C36" s="523"/>
      <c r="D36" s="523"/>
      <c r="E36" s="523"/>
      <c r="F36" s="523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4">
        <f t="shared" si="3"/>
        <v>20973232.77</v>
      </c>
      <c r="T36" s="369">
        <f t="shared" si="4"/>
        <v>4.4976727584262076E-3</v>
      </c>
    </row>
    <row r="37" spans="1:22">
      <c r="A37" s="150">
        <v>416</v>
      </c>
      <c r="B37" s="522" t="s">
        <v>190</v>
      </c>
      <c r="C37" s="523"/>
      <c r="D37" s="523"/>
      <c r="E37" s="523"/>
      <c r="F37" s="523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4">
        <f>+SUM(G37:R37)</f>
        <v>97597309.48999998</v>
      </c>
      <c r="T37" s="369">
        <f t="shared" si="4"/>
        <v>2.0929570801157159E-2</v>
      </c>
    </row>
    <row r="38" spans="1:22">
      <c r="A38" s="150">
        <v>417</v>
      </c>
      <c r="B38" s="522" t="s">
        <v>196</v>
      </c>
      <c r="C38" s="523"/>
      <c r="D38" s="523"/>
      <c r="E38" s="523"/>
      <c r="F38" s="523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4">
        <f t="shared" si="3"/>
        <v>10693128.550000001</v>
      </c>
      <c r="T38" s="369">
        <f t="shared" si="4"/>
        <v>2.2931225485886093E-3</v>
      </c>
    </row>
    <row r="39" spans="1:22">
      <c r="A39" s="150">
        <v>418</v>
      </c>
      <c r="B39" s="522" t="s">
        <v>204</v>
      </c>
      <c r="C39" s="523"/>
      <c r="D39" s="523"/>
      <c r="E39" s="523"/>
      <c r="F39" s="523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4">
        <f t="shared" si="3"/>
        <v>30560884.969999999</v>
      </c>
      <c r="T39" s="369">
        <f t="shared" si="4"/>
        <v>6.5537278544668493E-3</v>
      </c>
    </row>
    <row r="40" spans="1:22">
      <c r="A40" s="150">
        <v>419</v>
      </c>
      <c r="B40" s="522" t="s">
        <v>212</v>
      </c>
      <c r="C40" s="523"/>
      <c r="D40" s="523"/>
      <c r="E40" s="523"/>
      <c r="F40" s="523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4">
        <f t="shared" si="3"/>
        <v>43556427.669999994</v>
      </c>
      <c r="T40" s="369">
        <f t="shared" si="4"/>
        <v>9.3405990547121773E-3</v>
      </c>
    </row>
    <row r="41" spans="1:22">
      <c r="A41" s="150">
        <v>440</v>
      </c>
      <c r="B41" s="522" t="s">
        <v>802</v>
      </c>
      <c r="C41" s="523"/>
      <c r="D41" s="523"/>
      <c r="E41" s="523"/>
      <c r="F41" s="523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4">
        <f t="shared" si="3"/>
        <v>78371276.960000008</v>
      </c>
      <c r="T41" s="369">
        <f t="shared" si="4"/>
        <v>1.6806582051111595E-2</v>
      </c>
    </row>
    <row r="42" spans="1:22">
      <c r="A42" s="150">
        <v>42</v>
      </c>
      <c r="B42" s="538" t="s">
        <v>230</v>
      </c>
      <c r="C42" s="539"/>
      <c r="D42" s="539"/>
      <c r="E42" s="539"/>
      <c r="F42" s="539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5">
        <f t="shared" si="3"/>
        <v>544485571.48000002</v>
      </c>
      <c r="T42" s="370">
        <f t="shared" si="4"/>
        <v>0.11676397001155876</v>
      </c>
    </row>
    <row r="43" spans="1:22">
      <c r="A43" s="150">
        <v>421</v>
      </c>
      <c r="B43" s="522" t="s">
        <v>232</v>
      </c>
      <c r="C43" s="523"/>
      <c r="D43" s="523"/>
      <c r="E43" s="523"/>
      <c r="F43" s="523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4">
        <f t="shared" si="3"/>
        <v>82294784.480000004</v>
      </c>
      <c r="T43" s="369">
        <f t="shared" si="4"/>
        <v>1.7647971315404031E-2</v>
      </c>
    </row>
    <row r="44" spans="1:22">
      <c r="A44" s="150">
        <v>422</v>
      </c>
      <c r="B44" s="522" t="s">
        <v>248</v>
      </c>
      <c r="C44" s="523"/>
      <c r="D44" s="523"/>
      <c r="E44" s="523"/>
      <c r="F44" s="523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4">
        <f t="shared" si="3"/>
        <v>14196791.939999998</v>
      </c>
      <c r="T44" s="369">
        <f t="shared" si="4"/>
        <v>3.0444769800541693E-3</v>
      </c>
    </row>
    <row r="45" spans="1:22">
      <c r="A45" s="150">
        <v>423</v>
      </c>
      <c r="B45" s="522" t="s">
        <v>259</v>
      </c>
      <c r="C45" s="523"/>
      <c r="D45" s="523"/>
      <c r="E45" s="523"/>
      <c r="F45" s="523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4">
        <f t="shared" si="3"/>
        <v>414750265.80000001</v>
      </c>
      <c r="T45" s="369">
        <f t="shared" si="4"/>
        <v>8.8942462637756181E-2</v>
      </c>
    </row>
    <row r="46" spans="1:22">
      <c r="A46" s="150">
        <v>424</v>
      </c>
      <c r="B46" s="522" t="s">
        <v>274</v>
      </c>
      <c r="C46" s="523"/>
      <c r="D46" s="523"/>
      <c r="E46" s="523"/>
      <c r="F46" s="523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4">
        <f t="shared" si="3"/>
        <v>20004829.280000001</v>
      </c>
      <c r="T46" s="369">
        <f t="shared" si="4"/>
        <v>4.2900003388282124E-3</v>
      </c>
    </row>
    <row r="47" spans="1:22">
      <c r="A47" s="150">
        <v>425</v>
      </c>
      <c r="B47" s="630" t="s">
        <v>278</v>
      </c>
      <c r="C47" s="631"/>
      <c r="D47" s="631"/>
      <c r="E47" s="631"/>
      <c r="F47" s="631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4">
        <f t="shared" si="3"/>
        <v>13238899.98</v>
      </c>
      <c r="T47" s="369">
        <f t="shared" si="4"/>
        <v>2.8390587395161621E-3</v>
      </c>
    </row>
    <row r="48" spans="1:22">
      <c r="A48" s="150">
        <v>43</v>
      </c>
      <c r="B48" s="536" t="s">
        <v>286</v>
      </c>
      <c r="C48" s="537"/>
      <c r="D48" s="537"/>
      <c r="E48" s="537"/>
      <c r="F48" s="537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5">
        <f t="shared" si="3"/>
        <v>208726710.33999997</v>
      </c>
      <c r="T48" s="370">
        <f t="shared" si="4"/>
        <v>4.4761074715909697E-2</v>
      </c>
    </row>
    <row r="49" spans="1:22">
      <c r="A49" s="150">
        <v>44</v>
      </c>
      <c r="B49" s="536" t="s">
        <v>320</v>
      </c>
      <c r="C49" s="537"/>
      <c r="D49" s="537"/>
      <c r="E49" s="537"/>
      <c r="F49" s="537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5">
        <f t="shared" si="3"/>
        <v>243362450.18000001</v>
      </c>
      <c r="T49" s="370">
        <f t="shared" si="4"/>
        <v>5.2188648006810875E-2</v>
      </c>
    </row>
    <row r="50" spans="1:22">
      <c r="A50" s="150">
        <v>451</v>
      </c>
      <c r="B50" s="615" t="s">
        <v>113</v>
      </c>
      <c r="C50" s="616"/>
      <c r="D50" s="616"/>
      <c r="E50" s="616"/>
      <c r="F50" s="616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4">
        <f t="shared" si="3"/>
        <v>4596369</v>
      </c>
      <c r="T50" s="369">
        <f t="shared" si="4"/>
        <v>9.8568322135561309E-4</v>
      </c>
    </row>
    <row r="51" spans="1:22">
      <c r="A51" s="150">
        <v>47</v>
      </c>
      <c r="B51" s="540" t="s">
        <v>366</v>
      </c>
      <c r="C51" s="541"/>
      <c r="D51" s="541"/>
      <c r="E51" s="541"/>
      <c r="F51" s="541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4">
        <f t="shared" si="3"/>
        <v>23887500.050000001</v>
      </c>
      <c r="T51" s="369">
        <f t="shared" si="4"/>
        <v>5.1226322341431617E-3</v>
      </c>
      <c r="U51" s="352"/>
    </row>
    <row r="52" spans="1:22" ht="13.5" thickBot="1">
      <c r="A52" s="150">
        <v>462</v>
      </c>
      <c r="B52" s="542" t="s">
        <v>359</v>
      </c>
      <c r="C52" s="543"/>
      <c r="D52" s="543"/>
      <c r="E52" s="543"/>
      <c r="F52" s="54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4">
        <f t="shared" si="3"/>
        <v>0</v>
      </c>
      <c r="T52" s="374">
        <f t="shared" si="4"/>
        <v>0</v>
      </c>
      <c r="U52" s="292"/>
    </row>
    <row r="53" spans="1:22" ht="13.5" thickBot="1">
      <c r="A53" s="144">
        <v>4630</v>
      </c>
      <c r="B53" s="609" t="s">
        <v>794</v>
      </c>
      <c r="C53" s="610"/>
      <c r="D53" s="610"/>
      <c r="E53" s="610"/>
      <c r="F53" s="610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89">
        <f>+SUM(G53:R53)</f>
        <v>23228368.030000001</v>
      </c>
      <c r="T53" s="374">
        <f>+S53/$T$7</f>
        <v>4.9812825355501564E-3</v>
      </c>
    </row>
    <row r="54" spans="1:22" ht="13.5" thickBot="1">
      <c r="A54" s="70">
        <v>1005</v>
      </c>
      <c r="B54" s="611" t="s">
        <v>684</v>
      </c>
      <c r="C54" s="612"/>
      <c r="D54" s="612"/>
      <c r="E54" s="612"/>
      <c r="F54" s="612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0">
        <f>+SUM(G54:R54)</f>
        <v>28097590.27</v>
      </c>
      <c r="T54" s="375">
        <f>+S54/$T$7</f>
        <v>6.0254786527504057E-3</v>
      </c>
    </row>
    <row r="55" spans="1:22" ht="13.5" thickBot="1">
      <c r="A55" s="144">
        <v>1000</v>
      </c>
      <c r="B55" s="544" t="s">
        <v>545</v>
      </c>
      <c r="C55" s="545"/>
      <c r="D55" s="545"/>
      <c r="E55" s="545"/>
      <c r="F55" s="545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1">
        <f t="shared" si="3"/>
        <v>-168900174.51999998</v>
      </c>
      <c r="T55" s="376">
        <f t="shared" si="4"/>
        <v>-3.6220344386710207E-2</v>
      </c>
    </row>
    <row r="56" spans="1:22" ht="13.5" thickBot="1">
      <c r="A56" s="144"/>
      <c r="B56" s="363" t="s">
        <v>803</v>
      </c>
      <c r="C56" s="364"/>
      <c r="D56" s="364"/>
      <c r="E56" s="364"/>
      <c r="F56" s="364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1">
        <f t="shared" si="3"/>
        <v>-196997764.78999999</v>
      </c>
      <c r="T56" s="376">
        <f t="shared" si="4"/>
        <v>-4.2245823039460617E-2</v>
      </c>
    </row>
    <row r="57" spans="1:22" ht="13.5" thickBot="1">
      <c r="A57" s="144">
        <v>1001</v>
      </c>
      <c r="B57" s="546" t="s">
        <v>793</v>
      </c>
      <c r="C57" s="547"/>
      <c r="D57" s="547"/>
      <c r="E57" s="547"/>
      <c r="F57" s="547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1">
        <f t="shared" si="3"/>
        <v>-99400455.299999982</v>
      </c>
      <c r="T57" s="376">
        <f t="shared" si="4"/>
        <v>-2.1316252238303454E-2</v>
      </c>
    </row>
    <row r="58" spans="1:22">
      <c r="A58" s="144">
        <v>46</v>
      </c>
      <c r="B58" s="568" t="s">
        <v>352</v>
      </c>
      <c r="C58" s="569"/>
      <c r="D58" s="569"/>
      <c r="E58" s="569"/>
      <c r="F58" s="569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2">
        <f t="shared" si="3"/>
        <v>696281459.90999997</v>
      </c>
      <c r="T58" s="377">
        <f t="shared" si="4"/>
        <v>0.14931633042827455</v>
      </c>
      <c r="V58" s="309"/>
    </row>
    <row r="59" spans="1:22">
      <c r="A59" s="144">
        <v>4611</v>
      </c>
      <c r="B59" s="564" t="s">
        <v>355</v>
      </c>
      <c r="C59" s="565"/>
      <c r="D59" s="565"/>
      <c r="E59" s="565"/>
      <c r="F59" s="565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3">
        <f t="shared" si="3"/>
        <v>234823593.10000002</v>
      </c>
      <c r="T59" s="378">
        <f t="shared" si="4"/>
        <v>5.0357505173563681E-2</v>
      </c>
    </row>
    <row r="60" spans="1:22" ht="13.5" thickBot="1">
      <c r="A60" s="144">
        <v>4612</v>
      </c>
      <c r="B60" s="540" t="s">
        <v>357</v>
      </c>
      <c r="C60" s="541"/>
      <c r="D60" s="541"/>
      <c r="E60" s="541"/>
      <c r="F60" s="541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3">
        <f t="shared" si="3"/>
        <v>461457866.81</v>
      </c>
      <c r="T60" s="378">
        <f t="shared" si="4"/>
        <v>9.8958825254710892E-2</v>
      </c>
      <c r="V60" s="318"/>
    </row>
    <row r="61" spans="1:22" ht="13.5" thickBot="1">
      <c r="A61" s="144">
        <v>4418</v>
      </c>
      <c r="B61" s="632" t="s">
        <v>336</v>
      </c>
      <c r="C61" s="633"/>
      <c r="D61" s="633"/>
      <c r="E61" s="633"/>
      <c r="F61" s="633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2">
        <f>SUM(G61:R61)</f>
        <v>69245296.659999996</v>
      </c>
      <c r="T61" s="377">
        <f>+S61/$T$7</f>
        <v>1.4849531679365575E-2</v>
      </c>
      <c r="V61" s="318"/>
    </row>
    <row r="62" spans="1:22" ht="13.5" thickBot="1">
      <c r="A62" s="144">
        <v>1002</v>
      </c>
      <c r="B62" s="566" t="s">
        <v>543</v>
      </c>
      <c r="C62" s="567"/>
      <c r="D62" s="567"/>
      <c r="E62" s="567"/>
      <c r="F62" s="567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4">
        <f t="shared" si="3"/>
        <v>-962524521.35999966</v>
      </c>
      <c r="T62" s="379">
        <f t="shared" si="4"/>
        <v>-0.2064116851471007</v>
      </c>
    </row>
    <row r="63" spans="1:22" ht="13.5" thickBot="1">
      <c r="A63" s="144">
        <v>1003</v>
      </c>
      <c r="B63" s="530" t="s">
        <v>544</v>
      </c>
      <c r="C63" s="531"/>
      <c r="D63" s="531"/>
      <c r="E63" s="531"/>
      <c r="F63" s="531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5">
        <f t="shared" si="3"/>
        <v>962524521.35999966</v>
      </c>
      <c r="T63" s="380">
        <f t="shared" si="4"/>
        <v>0.2064116851471007</v>
      </c>
    </row>
    <row r="64" spans="1:22">
      <c r="A64" s="144">
        <v>7511</v>
      </c>
      <c r="B64" s="564" t="s">
        <v>114</v>
      </c>
      <c r="C64" s="565"/>
      <c r="D64" s="565"/>
      <c r="E64" s="565"/>
      <c r="F64" s="565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3">
        <f t="shared" si="3"/>
        <v>213600000</v>
      </c>
      <c r="T64" s="378">
        <f t="shared" si="4"/>
        <v>4.5806143084151631E-2</v>
      </c>
    </row>
    <row r="65" spans="1:20">
      <c r="A65" s="144">
        <v>7512</v>
      </c>
      <c r="B65" s="540" t="s">
        <v>116</v>
      </c>
      <c r="C65" s="541"/>
      <c r="D65" s="541"/>
      <c r="E65" s="541"/>
      <c r="F65" s="541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3">
        <f t="shared" si="3"/>
        <v>909773438.82000017</v>
      </c>
      <c r="T65" s="378">
        <f t="shared" si="4"/>
        <v>0.19509930858028837</v>
      </c>
    </row>
    <row r="66" spans="1:20">
      <c r="A66" s="144">
        <v>72</v>
      </c>
      <c r="B66" s="540" t="s">
        <v>93</v>
      </c>
      <c r="C66" s="541"/>
      <c r="D66" s="541"/>
      <c r="E66" s="541"/>
      <c r="F66" s="541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3">
        <f t="shared" si="3"/>
        <v>15749081.709999999</v>
      </c>
      <c r="T66" s="378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6">
        <f>+SUM(G67:R67)</f>
        <v>-176597999.17000002</v>
      </c>
      <c r="T67" s="381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96" t="s">
        <v>551</v>
      </c>
      <c r="C103" s="597"/>
      <c r="D103" s="597"/>
      <c r="E103" s="597"/>
      <c r="F103" s="597"/>
      <c r="G103" s="604">
        <v>2018</v>
      </c>
      <c r="H103" s="605"/>
      <c r="I103" s="605"/>
      <c r="J103" s="605"/>
      <c r="K103" s="605"/>
      <c r="L103" s="605"/>
      <c r="M103" s="605"/>
      <c r="N103" s="605"/>
      <c r="O103" s="605"/>
      <c r="P103" s="605"/>
      <c r="Q103" s="605"/>
      <c r="R103" s="606"/>
      <c r="S103" s="107" t="str">
        <f>+S7</f>
        <v>BDP</v>
      </c>
      <c r="T103" s="108">
        <f>+T7</f>
        <v>4663130000</v>
      </c>
    </row>
    <row r="104" spans="1:21" ht="15.75" customHeight="1">
      <c r="B104" s="598"/>
      <c r="C104" s="599"/>
      <c r="D104" s="599"/>
      <c r="E104" s="599"/>
      <c r="F104" s="600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604" t="s">
        <v>806</v>
      </c>
      <c r="T104" s="606">
        <f>+T8</f>
        <v>0</v>
      </c>
    </row>
    <row r="105" spans="1:21" ht="13.5" thickBot="1">
      <c r="B105" s="601"/>
      <c r="C105" s="602"/>
      <c r="D105" s="602"/>
      <c r="E105" s="602"/>
      <c r="F105" s="603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20" t="s">
        <v>680</v>
      </c>
      <c r="C106" s="621"/>
      <c r="D106" s="621"/>
      <c r="E106" s="621"/>
      <c r="F106" s="62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7">
        <f>+SUM(G106:R106)</f>
        <v>1757003221.1342125</v>
      </c>
      <c r="T106" s="410">
        <f>+S106/$T$7</f>
        <v>0.37678624038665287</v>
      </c>
    </row>
    <row r="107" spans="1:21">
      <c r="A107" s="116" t="str">
        <f t="shared" si="18"/>
        <v>711p</v>
      </c>
      <c r="B107" s="594" t="s">
        <v>21</v>
      </c>
      <c r="C107" s="595"/>
      <c r="D107" s="595"/>
      <c r="E107" s="595"/>
      <c r="F107" s="595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8">
        <f t="shared" ref="S107:S162" si="21">+SUM(G107:R107)</f>
        <v>1078397189.3971882</v>
      </c>
      <c r="T107" s="411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86" t="s">
        <v>23</v>
      </c>
      <c r="C108" s="587"/>
      <c r="D108" s="587"/>
      <c r="E108" s="587"/>
      <c r="F108" s="587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399">
        <f t="shared" si="21"/>
        <v>121359662.16838756</v>
      </c>
      <c r="T108" s="412">
        <f t="shared" si="22"/>
        <v>2.60253654022915E-2</v>
      </c>
    </row>
    <row r="109" spans="1:21">
      <c r="A109" s="116" t="str">
        <f t="shared" si="18"/>
        <v>7112p</v>
      </c>
      <c r="B109" s="586" t="s">
        <v>25</v>
      </c>
      <c r="C109" s="587"/>
      <c r="D109" s="587"/>
      <c r="E109" s="587"/>
      <c r="F109" s="587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399">
        <f t="shared" si="21"/>
        <v>61678365.370406665</v>
      </c>
      <c r="T109" s="412">
        <f t="shared" si="22"/>
        <v>1.3226816616823178E-2</v>
      </c>
    </row>
    <row r="110" spans="1:21">
      <c r="A110" s="116" t="str">
        <f t="shared" si="18"/>
        <v>7113p</v>
      </c>
      <c r="B110" s="586" t="s">
        <v>27</v>
      </c>
      <c r="C110" s="587"/>
      <c r="D110" s="587"/>
      <c r="E110" s="587"/>
      <c r="F110" s="587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399">
        <f t="shared" si="21"/>
        <v>1854898.1305385595</v>
      </c>
      <c r="T110" s="412">
        <f t="shared" si="22"/>
        <v>3.9777963096430068E-4</v>
      </c>
    </row>
    <row r="111" spans="1:21">
      <c r="A111" s="116" t="str">
        <f t="shared" si="18"/>
        <v>7114p</v>
      </c>
      <c r="B111" s="586" t="s">
        <v>29</v>
      </c>
      <c r="C111" s="587"/>
      <c r="D111" s="587"/>
      <c r="E111" s="587"/>
      <c r="F111" s="587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399">
        <f t="shared" si="21"/>
        <v>624391782.02119482</v>
      </c>
      <c r="T111" s="412">
        <f t="shared" si="22"/>
        <v>0.13389971586063326</v>
      </c>
    </row>
    <row r="112" spans="1:21">
      <c r="A112" s="116" t="str">
        <f t="shared" si="18"/>
        <v>7115p</v>
      </c>
      <c r="B112" s="586" t="s">
        <v>31</v>
      </c>
      <c r="C112" s="587"/>
      <c r="D112" s="587"/>
      <c r="E112" s="587"/>
      <c r="F112" s="587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399">
        <f t="shared" si="21"/>
        <v>232697830.94442701</v>
      </c>
      <c r="T112" s="412">
        <f t="shared" si="22"/>
        <v>4.9901639230393965E-2</v>
      </c>
    </row>
    <row r="113" spans="1:20">
      <c r="A113" s="116" t="str">
        <f t="shared" si="18"/>
        <v>7116p</v>
      </c>
      <c r="B113" s="586" t="s">
        <v>33</v>
      </c>
      <c r="C113" s="587"/>
      <c r="D113" s="587"/>
      <c r="E113" s="587"/>
      <c r="F113" s="587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399">
        <f t="shared" si="21"/>
        <v>26860004.877748117</v>
      </c>
      <c r="T113" s="412">
        <f t="shared" si="22"/>
        <v>5.7600806492094613E-3</v>
      </c>
    </row>
    <row r="114" spans="1:20">
      <c r="A114" s="116" t="str">
        <f t="shared" si="18"/>
        <v>7118p</v>
      </c>
      <c r="B114" s="586" t="s">
        <v>721</v>
      </c>
      <c r="C114" s="587"/>
      <c r="D114" s="587"/>
      <c r="E114" s="587"/>
      <c r="F114" s="587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399">
        <f t="shared" si="21"/>
        <v>9554645.8844855782</v>
      </c>
      <c r="T114" s="412">
        <f t="shared" si="22"/>
        <v>2.0489769499210998E-3</v>
      </c>
    </row>
    <row r="115" spans="1:20">
      <c r="A115" s="116" t="str">
        <f t="shared" si="18"/>
        <v>712p</v>
      </c>
      <c r="B115" s="622" t="s">
        <v>37</v>
      </c>
      <c r="C115" s="623"/>
      <c r="D115" s="623"/>
      <c r="E115" s="623"/>
      <c r="F115" s="623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0">
        <f t="shared" si="21"/>
        <v>522253828.92039472</v>
      </c>
      <c r="T115" s="413">
        <f t="shared" si="22"/>
        <v>0.1119964120495021</v>
      </c>
    </row>
    <row r="116" spans="1:20">
      <c r="A116" s="116" t="str">
        <f t="shared" si="18"/>
        <v>7121p</v>
      </c>
      <c r="B116" s="586" t="s">
        <v>39</v>
      </c>
      <c r="C116" s="587"/>
      <c r="D116" s="587"/>
      <c r="E116" s="587"/>
      <c r="F116" s="587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399">
        <f t="shared" si="21"/>
        <v>314496114.9625507</v>
      </c>
      <c r="T116" s="412">
        <f t="shared" si="22"/>
        <v>6.7443136897867031E-2</v>
      </c>
    </row>
    <row r="117" spans="1:20">
      <c r="A117" s="116" t="str">
        <f t="shared" si="18"/>
        <v>7122p</v>
      </c>
      <c r="B117" s="586" t="s">
        <v>41</v>
      </c>
      <c r="C117" s="587"/>
      <c r="D117" s="587"/>
      <c r="E117" s="587"/>
      <c r="F117" s="587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399">
        <f t="shared" si="21"/>
        <v>180896074.44659218</v>
      </c>
      <c r="T117" s="412">
        <f t="shared" si="22"/>
        <v>3.8792843958155181E-2</v>
      </c>
    </row>
    <row r="118" spans="1:20">
      <c r="A118" s="116" t="str">
        <f t="shared" si="18"/>
        <v>7123p</v>
      </c>
      <c r="B118" s="586" t="s">
        <v>43</v>
      </c>
      <c r="C118" s="587"/>
      <c r="D118" s="587"/>
      <c r="E118" s="587"/>
      <c r="F118" s="587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399">
        <f t="shared" si="21"/>
        <v>14149151.623339836</v>
      </c>
      <c r="T118" s="412">
        <f t="shared" si="22"/>
        <v>3.0342605982118954E-3</v>
      </c>
    </row>
    <row r="119" spans="1:20">
      <c r="A119" s="116" t="str">
        <f t="shared" si="18"/>
        <v>7124p</v>
      </c>
      <c r="B119" s="586" t="s">
        <v>45</v>
      </c>
      <c r="C119" s="587"/>
      <c r="D119" s="587"/>
      <c r="E119" s="587"/>
      <c r="F119" s="587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399">
        <f t="shared" si="21"/>
        <v>12712487.887912013</v>
      </c>
      <c r="T119" s="412">
        <f t="shared" si="22"/>
        <v>2.7261705952679881E-3</v>
      </c>
    </row>
    <row r="120" spans="1:20">
      <c r="A120" s="116" t="str">
        <f t="shared" si="18"/>
        <v>713p</v>
      </c>
      <c r="B120" s="592" t="s">
        <v>47</v>
      </c>
      <c r="C120" s="593"/>
      <c r="D120" s="593"/>
      <c r="E120" s="593"/>
      <c r="F120" s="593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0">
        <f t="shared" si="21"/>
        <v>17700468.388223864</v>
      </c>
      <c r="T120" s="413">
        <f t="shared" si="22"/>
        <v>3.7958342118327958E-3</v>
      </c>
    </row>
    <row r="121" spans="1:20">
      <c r="A121" s="116" t="str">
        <f t="shared" si="18"/>
        <v>714p</v>
      </c>
      <c r="B121" s="592" t="s">
        <v>61</v>
      </c>
      <c r="C121" s="593"/>
      <c r="D121" s="593"/>
      <c r="E121" s="593"/>
      <c r="F121" s="593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0">
        <f t="shared" si="21"/>
        <v>28128126.097135291</v>
      </c>
      <c r="T121" s="413">
        <f t="shared" si="22"/>
        <v>6.0320270069964361E-3</v>
      </c>
    </row>
    <row r="122" spans="1:20">
      <c r="A122" s="116" t="str">
        <f t="shared" si="18"/>
        <v>715p</v>
      </c>
      <c r="B122" s="592" t="s">
        <v>81</v>
      </c>
      <c r="C122" s="593"/>
      <c r="D122" s="593"/>
      <c r="E122" s="593"/>
      <c r="F122" s="593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0">
        <f t="shared" si="21"/>
        <v>71732904.669780642</v>
      </c>
      <c r="T122" s="413">
        <f t="shared" si="22"/>
        <v>1.5382994827461522E-2</v>
      </c>
    </row>
    <row r="123" spans="1:20">
      <c r="A123" s="116" t="str">
        <f t="shared" si="18"/>
        <v>73p</v>
      </c>
      <c r="B123" s="592" t="s">
        <v>99</v>
      </c>
      <c r="C123" s="593"/>
      <c r="D123" s="593"/>
      <c r="E123" s="593"/>
      <c r="F123" s="593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0">
        <f t="shared" si="21"/>
        <v>7262314.2406375092</v>
      </c>
      <c r="T123" s="413">
        <f t="shared" si="22"/>
        <v>1.5573904739171992E-3</v>
      </c>
    </row>
    <row r="124" spans="1:20" ht="13.5" thickBot="1">
      <c r="A124" s="116" t="str">
        <f t="shared" si="18"/>
        <v>74p</v>
      </c>
      <c r="B124" s="588" t="s">
        <v>105</v>
      </c>
      <c r="C124" s="589"/>
      <c r="D124" s="589"/>
      <c r="E124" s="589"/>
      <c r="F124" s="589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1">
        <f t="shared" si="21"/>
        <v>31528389.420852099</v>
      </c>
      <c r="T124" s="414">
        <f t="shared" si="22"/>
        <v>6.7612074767060106E-3</v>
      </c>
    </row>
    <row r="125" spans="1:20" ht="13.5" thickBot="1">
      <c r="A125" s="116" t="str">
        <f t="shared" si="18"/>
        <v>4p</v>
      </c>
      <c r="B125" s="570" t="s">
        <v>808</v>
      </c>
      <c r="C125" s="571"/>
      <c r="D125" s="571"/>
      <c r="E125" s="571"/>
      <c r="F125" s="571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2">
        <f>+SUM(G125:R125)</f>
        <v>1899843074.6966665</v>
      </c>
      <c r="T125" s="415">
        <f t="shared" si="22"/>
        <v>0.40741799492972885</v>
      </c>
    </row>
    <row r="126" spans="1:20" ht="13.5" thickBot="1">
      <c r="A126" s="116" t="str">
        <f t="shared" si="18"/>
        <v>40p</v>
      </c>
      <c r="B126" s="626" t="s">
        <v>773</v>
      </c>
      <c r="C126" s="627"/>
      <c r="D126" s="627"/>
      <c r="E126" s="627"/>
      <c r="F126" s="627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3">
        <f t="shared" si="21"/>
        <v>1610768074.6999998</v>
      </c>
      <c r="T126" s="416">
        <f t="shared" si="22"/>
        <v>0.34542637127851888</v>
      </c>
    </row>
    <row r="127" spans="1:20">
      <c r="A127" s="116" t="str">
        <f t="shared" si="18"/>
        <v>41p</v>
      </c>
      <c r="B127" s="590" t="s">
        <v>120</v>
      </c>
      <c r="C127" s="591"/>
      <c r="D127" s="591"/>
      <c r="E127" s="591"/>
      <c r="F127" s="591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8">
        <f t="shared" si="21"/>
        <v>812630572.90999997</v>
      </c>
      <c r="T127" s="411">
        <f t="shared" si="22"/>
        <v>0.17426719240295679</v>
      </c>
    </row>
    <row r="128" spans="1:20">
      <c r="A128" s="116" t="str">
        <f t="shared" si="18"/>
        <v>411p</v>
      </c>
      <c r="B128" s="586" t="s">
        <v>122</v>
      </c>
      <c r="C128" s="587"/>
      <c r="D128" s="587"/>
      <c r="E128" s="587"/>
      <c r="F128" s="587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399">
        <f t="shared" si="21"/>
        <v>461973796.46999985</v>
      </c>
      <c r="T128" s="412">
        <f t="shared" si="22"/>
        <v>9.9069465459894937E-2</v>
      </c>
    </row>
    <row r="129" spans="1:20">
      <c r="A129" s="116" t="str">
        <f t="shared" si="18"/>
        <v>412p</v>
      </c>
      <c r="B129" s="586" t="s">
        <v>133</v>
      </c>
      <c r="C129" s="587"/>
      <c r="D129" s="587"/>
      <c r="E129" s="587"/>
      <c r="F129" s="587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399">
        <f t="shared" si="21"/>
        <v>13262623.179999996</v>
      </c>
      <c r="T129" s="412">
        <f t="shared" si="22"/>
        <v>2.8441461378945036E-3</v>
      </c>
    </row>
    <row r="130" spans="1:20">
      <c r="A130" s="116" t="str">
        <f t="shared" si="18"/>
        <v>413p</v>
      </c>
      <c r="B130" s="586" t="s">
        <v>148</v>
      </c>
      <c r="C130" s="587"/>
      <c r="D130" s="587"/>
      <c r="E130" s="587"/>
      <c r="F130" s="587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399">
        <f t="shared" si="21"/>
        <v>39682213.5</v>
      </c>
      <c r="T130" s="412">
        <f t="shared" si="22"/>
        <v>8.5097806623448194E-3</v>
      </c>
    </row>
    <row r="131" spans="1:20">
      <c r="A131" s="116" t="str">
        <f t="shared" si="18"/>
        <v>414p</v>
      </c>
      <c r="B131" s="586" t="s">
        <v>162</v>
      </c>
      <c r="C131" s="587"/>
      <c r="D131" s="587"/>
      <c r="E131" s="587"/>
      <c r="F131" s="587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399">
        <f t="shared" si="21"/>
        <v>58741932.939999998</v>
      </c>
      <c r="T131" s="412">
        <f t="shared" si="22"/>
        <v>1.2597103863713857E-2</v>
      </c>
    </row>
    <row r="132" spans="1:20">
      <c r="A132" s="116" t="str">
        <f t="shared" si="18"/>
        <v>415p</v>
      </c>
      <c r="B132" s="586" t="s">
        <v>182</v>
      </c>
      <c r="C132" s="587"/>
      <c r="D132" s="587"/>
      <c r="E132" s="587"/>
      <c r="F132" s="587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399">
        <f t="shared" si="21"/>
        <v>22285486.810000002</v>
      </c>
      <c r="T132" s="412">
        <f t="shared" si="22"/>
        <v>4.7790833217173879E-3</v>
      </c>
    </row>
    <row r="133" spans="1:20">
      <c r="A133" s="116" t="str">
        <f t="shared" si="18"/>
        <v>416p</v>
      </c>
      <c r="B133" s="586" t="s">
        <v>190</v>
      </c>
      <c r="C133" s="587"/>
      <c r="D133" s="587"/>
      <c r="E133" s="587"/>
      <c r="F133" s="587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399">
        <f t="shared" si="21"/>
        <v>87442700</v>
      </c>
      <c r="T133" s="412">
        <f t="shared" si="22"/>
        <v>1.8751932714721656E-2</v>
      </c>
    </row>
    <row r="134" spans="1:20">
      <c r="A134" s="116" t="str">
        <f t="shared" si="18"/>
        <v>417p</v>
      </c>
      <c r="B134" s="586" t="s">
        <v>196</v>
      </c>
      <c r="C134" s="587"/>
      <c r="D134" s="587"/>
      <c r="E134" s="587"/>
      <c r="F134" s="587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399">
        <f t="shared" si="21"/>
        <v>10344524.66</v>
      </c>
      <c r="T134" s="412">
        <f t="shared" si="22"/>
        <v>2.2183650595201079E-3</v>
      </c>
    </row>
    <row r="135" spans="1:20">
      <c r="A135" s="116" t="str">
        <f t="shared" si="18"/>
        <v>418p</v>
      </c>
      <c r="B135" s="586" t="s">
        <v>204</v>
      </c>
      <c r="C135" s="587"/>
      <c r="D135" s="587"/>
      <c r="E135" s="587"/>
      <c r="F135" s="587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399">
        <f t="shared" si="21"/>
        <v>26731800.000000011</v>
      </c>
      <c r="T135" s="412">
        <f t="shared" si="22"/>
        <v>5.7325873394050804E-3</v>
      </c>
    </row>
    <row r="136" spans="1:20">
      <c r="A136" s="116" t="str">
        <f t="shared" si="18"/>
        <v>419p</v>
      </c>
      <c r="B136" s="586" t="s">
        <v>212</v>
      </c>
      <c r="C136" s="587"/>
      <c r="D136" s="587"/>
      <c r="E136" s="587"/>
      <c r="F136" s="587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399">
        <f t="shared" si="21"/>
        <v>39317929.93</v>
      </c>
      <c r="T136" s="412">
        <f t="shared" si="22"/>
        <v>8.4316606935684827E-3</v>
      </c>
    </row>
    <row r="137" spans="1:20">
      <c r="A137" s="116" t="str">
        <f t="shared" si="18"/>
        <v>440p</v>
      </c>
      <c r="B137" s="586" t="s">
        <v>802</v>
      </c>
      <c r="C137" s="587"/>
      <c r="D137" s="587"/>
      <c r="E137" s="587"/>
      <c r="F137" s="587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399">
        <f t="shared" si="21"/>
        <v>52847565.419999987</v>
      </c>
      <c r="T137" s="412">
        <f t="shared" si="22"/>
        <v>1.1333067150175952E-2</v>
      </c>
    </row>
    <row r="138" spans="1:20">
      <c r="A138" s="116" t="str">
        <f t="shared" si="18"/>
        <v>42p</v>
      </c>
      <c r="B138" s="582" t="s">
        <v>230</v>
      </c>
      <c r="C138" s="583"/>
      <c r="D138" s="583"/>
      <c r="E138" s="583"/>
      <c r="F138" s="583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0">
        <f t="shared" si="21"/>
        <v>558932773.86000013</v>
      </c>
      <c r="T138" s="413">
        <f t="shared" si="22"/>
        <v>0.11986214706859988</v>
      </c>
    </row>
    <row r="139" spans="1:20">
      <c r="A139" s="116" t="str">
        <f t="shared" si="18"/>
        <v>421p</v>
      </c>
      <c r="B139" s="586" t="s">
        <v>232</v>
      </c>
      <c r="C139" s="587"/>
      <c r="D139" s="587"/>
      <c r="E139" s="587"/>
      <c r="F139" s="587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399">
        <f t="shared" si="21"/>
        <v>82786083.909999996</v>
      </c>
      <c r="T139" s="412">
        <f t="shared" si="22"/>
        <v>1.7753329611226793E-2</v>
      </c>
    </row>
    <row r="140" spans="1:20">
      <c r="A140" s="116" t="str">
        <f t="shared" si="18"/>
        <v>422p</v>
      </c>
      <c r="B140" s="586" t="s">
        <v>248</v>
      </c>
      <c r="C140" s="587"/>
      <c r="D140" s="587"/>
      <c r="E140" s="587"/>
      <c r="F140" s="587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399">
        <f t="shared" si="21"/>
        <v>17298799.519999992</v>
      </c>
      <c r="T140" s="412">
        <f t="shared" si="22"/>
        <v>3.7096970318219718E-3</v>
      </c>
    </row>
    <row r="141" spans="1:20">
      <c r="A141" s="116" t="str">
        <f t="shared" si="18"/>
        <v>423p</v>
      </c>
      <c r="B141" s="586" t="s">
        <v>259</v>
      </c>
      <c r="C141" s="587"/>
      <c r="D141" s="587"/>
      <c r="E141" s="587"/>
      <c r="F141" s="587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399">
        <f t="shared" si="21"/>
        <v>425672790.43000013</v>
      </c>
      <c r="T141" s="412">
        <f t="shared" si="22"/>
        <v>9.1284778770911415E-2</v>
      </c>
    </row>
    <row r="142" spans="1:20">
      <c r="A142" s="116" t="str">
        <f t="shared" si="18"/>
        <v>424p</v>
      </c>
      <c r="B142" s="586" t="s">
        <v>274</v>
      </c>
      <c r="C142" s="587"/>
      <c r="D142" s="587"/>
      <c r="E142" s="587"/>
      <c r="F142" s="587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399">
        <f t="shared" si="21"/>
        <v>19000099.999999996</v>
      </c>
      <c r="T142" s="412">
        <f t="shared" si="22"/>
        <v>4.0745379176647433E-3</v>
      </c>
    </row>
    <row r="143" spans="1:20">
      <c r="A143" s="116" t="str">
        <f t="shared" si="18"/>
        <v>425p</v>
      </c>
      <c r="B143" s="586" t="s">
        <v>278</v>
      </c>
      <c r="C143" s="587"/>
      <c r="D143" s="587"/>
      <c r="E143" s="587"/>
      <c r="F143" s="587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399">
        <f t="shared" si="21"/>
        <v>14175000.000000002</v>
      </c>
      <c r="T143" s="412">
        <f t="shared" si="22"/>
        <v>3.0398037369749509E-3</v>
      </c>
    </row>
    <row r="144" spans="1:20">
      <c r="A144" s="116" t="str">
        <f t="shared" si="18"/>
        <v>43p</v>
      </c>
      <c r="B144" s="584" t="s">
        <v>286</v>
      </c>
      <c r="C144" s="585"/>
      <c r="D144" s="585"/>
      <c r="E144" s="585"/>
      <c r="F144" s="585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0">
        <f>+SUM(G144:R144)</f>
        <v>206684238.69</v>
      </c>
      <c r="T144" s="413">
        <f t="shared" si="22"/>
        <v>4.4323070274686745E-2</v>
      </c>
    </row>
    <row r="145" spans="1:20">
      <c r="A145" s="116" t="str">
        <f t="shared" si="18"/>
        <v>44p</v>
      </c>
      <c r="B145" s="584" t="s">
        <v>809</v>
      </c>
      <c r="C145" s="585"/>
      <c r="D145" s="585"/>
      <c r="E145" s="585"/>
      <c r="F145" s="585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0">
        <f t="shared" si="21"/>
        <v>289074999.99666673</v>
      </c>
      <c r="T145" s="413">
        <f t="shared" si="22"/>
        <v>6.1991623651209964E-2</v>
      </c>
    </row>
    <row r="146" spans="1:20">
      <c r="A146" s="116" t="str">
        <f t="shared" si="18"/>
        <v>451p</v>
      </c>
      <c r="B146" s="576" t="s">
        <v>113</v>
      </c>
      <c r="C146" s="577"/>
      <c r="D146" s="577"/>
      <c r="E146" s="577"/>
      <c r="F146" s="577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399">
        <f t="shared" si="21"/>
        <v>2875000.9999999995</v>
      </c>
      <c r="T146" s="412">
        <f t="shared" si="22"/>
        <v>6.1653889125973314E-4</v>
      </c>
    </row>
    <row r="147" spans="1:20">
      <c r="A147" s="116" t="str">
        <f t="shared" si="18"/>
        <v>47p</v>
      </c>
      <c r="B147" s="576" t="s">
        <v>366</v>
      </c>
      <c r="C147" s="577"/>
      <c r="D147" s="577"/>
      <c r="E147" s="577"/>
      <c r="F147" s="577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399">
        <f t="shared" si="21"/>
        <v>29645488.240000002</v>
      </c>
      <c r="T147" s="412">
        <f t="shared" si="22"/>
        <v>6.3574226410157992E-3</v>
      </c>
    </row>
    <row r="148" spans="1:20">
      <c r="A148" s="116" t="str">
        <f t="shared" si="18"/>
        <v>462p</v>
      </c>
      <c r="B148" s="576" t="s">
        <v>359</v>
      </c>
      <c r="C148" s="577"/>
      <c r="D148" s="577"/>
      <c r="E148" s="577"/>
      <c r="F148" s="577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399">
        <f t="shared" si="21"/>
        <v>0</v>
      </c>
      <c r="T148" s="412">
        <f t="shared" si="22"/>
        <v>0</v>
      </c>
    </row>
    <row r="149" spans="1:20" ht="13.5" thickBot="1">
      <c r="A149" s="116"/>
      <c r="B149" s="365" t="s">
        <v>685</v>
      </c>
      <c r="C149" s="366"/>
      <c r="D149" s="366"/>
      <c r="E149" s="366"/>
      <c r="F149" s="366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0">
        <f>SUM(G149:R149)</f>
        <v>0</v>
      </c>
      <c r="T149" s="375">
        <f t="shared" si="22"/>
        <v>0</v>
      </c>
    </row>
    <row r="150" spans="1:20" ht="13.5" thickBot="1">
      <c r="A150" s="117" t="str">
        <f>+CONCATENATE(A55,"p")</f>
        <v>1000p</v>
      </c>
      <c r="B150" s="578" t="s">
        <v>545</v>
      </c>
      <c r="C150" s="579"/>
      <c r="D150" s="579"/>
      <c r="E150" s="579"/>
      <c r="F150" s="579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5">
        <f t="shared" si="21"/>
        <v>-142839853.56245428</v>
      </c>
      <c r="T150" s="418">
        <f t="shared" si="22"/>
        <v>-3.0631754543076064E-2</v>
      </c>
    </row>
    <row r="151" spans="1:20" ht="13.5" thickBot="1">
      <c r="A151" s="117" t="str">
        <f>+CONCATENATE(A57,"p")</f>
        <v>1001p</v>
      </c>
      <c r="B151" s="580" t="s">
        <v>810</v>
      </c>
      <c r="C151" s="581"/>
      <c r="D151" s="581"/>
      <c r="E151" s="581"/>
      <c r="F151" s="581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5">
        <f t="shared" si="21"/>
        <v>-55397153.562454268</v>
      </c>
      <c r="T151" s="418">
        <f t="shared" si="22"/>
        <v>-1.1879821828354403E-2</v>
      </c>
    </row>
    <row r="152" spans="1:20">
      <c r="A152" s="117" t="str">
        <f>+CONCATENATE(A58,"p")</f>
        <v>46p</v>
      </c>
      <c r="B152" s="582" t="s">
        <v>352</v>
      </c>
      <c r="C152" s="583"/>
      <c r="D152" s="583"/>
      <c r="E152" s="583"/>
      <c r="F152" s="583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6">
        <f t="shared" si="21"/>
        <v>542432774.80999994</v>
      </c>
      <c r="T152" s="419">
        <f t="shared" si="22"/>
        <v>0.11632375138801619</v>
      </c>
    </row>
    <row r="153" spans="1:20">
      <c r="A153" s="117" t="str">
        <f>+CONCATENATE(A59,"p")</f>
        <v>4611p</v>
      </c>
      <c r="B153" s="574" t="s">
        <v>355</v>
      </c>
      <c r="C153" s="575"/>
      <c r="D153" s="575"/>
      <c r="E153" s="575"/>
      <c r="F153" s="575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4">
        <f t="shared" si="21"/>
        <v>50688279.809999995</v>
      </c>
      <c r="T153" s="417">
        <f t="shared" si="22"/>
        <v>1.0870012161359429E-2</v>
      </c>
    </row>
    <row r="154" spans="1:20">
      <c r="A154" s="117" t="str">
        <f>+CONCATENATE(A60,"p")</f>
        <v>4612p</v>
      </c>
      <c r="B154" s="576" t="s">
        <v>357</v>
      </c>
      <c r="C154" s="577"/>
      <c r="D154" s="577"/>
      <c r="E154" s="577"/>
      <c r="F154" s="577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4">
        <f t="shared" si="21"/>
        <v>461500000</v>
      </c>
      <c r="T154" s="417">
        <f t="shared" si="22"/>
        <v>9.8967860642958705E-2</v>
      </c>
    </row>
    <row r="155" spans="1:20">
      <c r="A155" s="117" t="str">
        <f>+CONCATENATE(A53,"p")</f>
        <v>4630p</v>
      </c>
      <c r="B155" s="576" t="s">
        <v>365</v>
      </c>
      <c r="C155" s="577"/>
      <c r="D155" s="577"/>
      <c r="E155" s="577"/>
      <c r="F155" s="577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4">
        <f t="shared" si="21"/>
        <v>30244495.000000015</v>
      </c>
      <c r="T155" s="417">
        <f t="shared" si="22"/>
        <v>6.4858785836980773E-3</v>
      </c>
    </row>
    <row r="156" spans="1:20" ht="13.5" thickBot="1">
      <c r="A156" s="117"/>
      <c r="B156" s="365" t="s">
        <v>769</v>
      </c>
      <c r="C156" s="366"/>
      <c r="D156" s="366"/>
      <c r="E156" s="366"/>
      <c r="F156" s="366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4">
        <f t="shared" si="21"/>
        <v>70000000</v>
      </c>
      <c r="T156" s="41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72" t="s">
        <v>543</v>
      </c>
      <c r="C157" s="573"/>
      <c r="D157" s="573"/>
      <c r="E157" s="573"/>
      <c r="F157" s="573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7">
        <f t="shared" si="21"/>
        <v>-755272628.37245417</v>
      </c>
      <c r="T157" s="420">
        <f t="shared" si="22"/>
        <v>-0.16196688240998089</v>
      </c>
    </row>
    <row r="158" spans="1:20" ht="13.5" thickBot="1">
      <c r="A158" s="117" t="str">
        <f t="shared" si="31"/>
        <v>1003p</v>
      </c>
      <c r="B158" s="570" t="s">
        <v>544</v>
      </c>
      <c r="C158" s="571"/>
      <c r="D158" s="571"/>
      <c r="E158" s="571"/>
      <c r="F158" s="571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8">
        <f t="shared" si="21"/>
        <v>755272628.37245417</v>
      </c>
      <c r="T158" s="421">
        <f t="shared" si="22"/>
        <v>0.16196688240998089</v>
      </c>
    </row>
    <row r="159" spans="1:20">
      <c r="A159" s="117" t="str">
        <f t="shared" si="31"/>
        <v>7511p</v>
      </c>
      <c r="B159" s="574" t="s">
        <v>114</v>
      </c>
      <c r="C159" s="575"/>
      <c r="D159" s="575"/>
      <c r="E159" s="575"/>
      <c r="F159" s="575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4">
        <f t="shared" si="21"/>
        <v>0</v>
      </c>
      <c r="T159" s="417">
        <f t="shared" si="22"/>
        <v>0</v>
      </c>
    </row>
    <row r="160" spans="1:20">
      <c r="A160" s="117" t="str">
        <f t="shared" si="31"/>
        <v>7512p</v>
      </c>
      <c r="B160" s="576" t="s">
        <v>116</v>
      </c>
      <c r="C160" s="577"/>
      <c r="D160" s="577"/>
      <c r="E160" s="577"/>
      <c r="F160" s="577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4">
        <f t="shared" si="21"/>
        <v>739264348.56578732</v>
      </c>
      <c r="T160" s="417">
        <f t="shared" si="22"/>
        <v>0.15853393505344851</v>
      </c>
    </row>
    <row r="161" spans="1:20">
      <c r="A161" s="117" t="str">
        <f t="shared" si="31"/>
        <v>72p</v>
      </c>
      <c r="B161" s="576" t="s">
        <v>93</v>
      </c>
      <c r="C161" s="577"/>
      <c r="D161" s="577"/>
      <c r="E161" s="577"/>
      <c r="F161" s="577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4">
        <f t="shared" si="21"/>
        <v>16000000</v>
      </c>
      <c r="T161" s="417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09">
        <f t="shared" si="21"/>
        <v>8279.8066668957472</v>
      </c>
      <c r="T162" s="422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Milena Milovic</cp:lastModifiedBy>
  <cp:lastPrinted>2022-03-03T07:18:34Z</cp:lastPrinted>
  <dcterms:created xsi:type="dcterms:W3CDTF">2014-09-15T13:41:17Z</dcterms:created>
  <dcterms:modified xsi:type="dcterms:W3CDTF">2023-04-28T11:39:07Z</dcterms:modified>
</cp:coreProperties>
</file>