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jela.bulatovic\Desktop\"/>
    </mc:Choice>
  </mc:AlternateContent>
  <workbookProtection workbookAlgorithmName="SHA-512" workbookHashValue="+rR2+UtyiTQUHRjWVqA1IHHEKBtfeowKR81XTpC5s6lj1ZJYghw/g3ogD2a5k6CL0iYDYm0mK+jMWmBNHu7l5w==" workbookSaltValue="5Eb86x7NEGnXp19QpFc/8Q==" workbookSpinCount="100000" lockStructure="1"/>
  <bookViews>
    <workbookView xWindow="0" yWindow="0" windowWidth="24000" windowHeight="9000" tabRatio="587" firstSheet="1" activeTab="2"/>
  </bookViews>
  <sheets>
    <sheet name="Analitika - 2014" sheetId="3" state="hidden" r:id="rId1"/>
    <sheet name="Breakdown" sheetId="1" r:id="rId2"/>
    <sheet name="Analytics 2022" sheetId="11" r:id="rId3"/>
    <sheet name="2022" sheetId="25" r:id="rId4"/>
    <sheet name="2021" sheetId="22" state="hidden" r:id="rId5"/>
    <sheet name="2020" sheetId="19" state="hidden" r:id="rId6"/>
    <sheet name="2019" sheetId="20" state="hidden" r:id="rId7"/>
    <sheet name="2018" sheetId="21" state="hidden" r:id="rId8"/>
    <sheet name="DataEx" sheetId="6" state="hidden" r:id="rId9"/>
    <sheet name="Master" sheetId="2" state="hidden" r:id="rId10"/>
  </sheets>
  <definedNames>
    <definedName name="_2015plan" localSheetId="7">'2018'!$A$103:$A$162</definedName>
    <definedName name="_2015plan" localSheetId="6">'2019'!$A$100:$A$159</definedName>
    <definedName name="_2015plan" localSheetId="5">'2020'!$A$100:$A$157</definedName>
    <definedName name="_2015plan" localSheetId="4">'2021'!$A$81:$A$138</definedName>
    <definedName name="_2015plan" localSheetId="3">'2022'!$A$81:$A$138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10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61" i="11"/>
  <c r="N62" i="11"/>
  <c r="N63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5" i="11"/>
  <c r="K56" i="11"/>
  <c r="K57" i="11"/>
  <c r="K58" i="11"/>
  <c r="K61" i="11"/>
  <c r="K62" i="11"/>
  <c r="K63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10" i="11"/>
  <c r="G50" i="11"/>
  <c r="G52" i="11"/>
  <c r="G58" i="11"/>
  <c r="G61" i="11"/>
  <c r="S121" i="25" l="1"/>
  <c r="A138" i="25" l="1"/>
  <c r="S137" i="25"/>
  <c r="T137" i="25" s="1"/>
  <c r="A137" i="25"/>
  <c r="S136" i="25"/>
  <c r="T136" i="25" s="1"/>
  <c r="A136" i="25"/>
  <c r="S135" i="25"/>
  <c r="T135" i="25" s="1"/>
  <c r="A135" i="25"/>
  <c r="A134" i="25"/>
  <c r="A133" i="25"/>
  <c r="S132" i="25"/>
  <c r="T132" i="25" s="1"/>
  <c r="A132" i="25"/>
  <c r="S131" i="25"/>
  <c r="T131" i="25" s="1"/>
  <c r="A131" i="25"/>
  <c r="S130" i="25"/>
  <c r="T130" i="25" s="1"/>
  <c r="A130" i="25"/>
  <c r="R129" i="25"/>
  <c r="Q129" i="25"/>
  <c r="P129" i="25"/>
  <c r="O129" i="25"/>
  <c r="N129" i="25"/>
  <c r="M129" i="25"/>
  <c r="L129" i="25"/>
  <c r="K129" i="25"/>
  <c r="J129" i="25"/>
  <c r="I129" i="25"/>
  <c r="H129" i="25"/>
  <c r="G129" i="25"/>
  <c r="A129" i="25"/>
  <c r="A128" i="25"/>
  <c r="A127" i="25"/>
  <c r="S126" i="25"/>
  <c r="T126" i="25" s="1"/>
  <c r="A126" i="25"/>
  <c r="S125" i="25"/>
  <c r="T125" i="25" s="1"/>
  <c r="A125" i="25"/>
  <c r="S124" i="25"/>
  <c r="T124" i="25" s="1"/>
  <c r="A124" i="25"/>
  <c r="S123" i="25"/>
  <c r="T123" i="25" s="1"/>
  <c r="A123" i="25"/>
  <c r="S122" i="25"/>
  <c r="T122" i="25" s="1"/>
  <c r="A122" i="25"/>
  <c r="T121" i="25"/>
  <c r="A121" i="25"/>
  <c r="S120" i="25"/>
  <c r="T120" i="25" s="1"/>
  <c r="A120" i="25"/>
  <c r="S119" i="25"/>
  <c r="T119" i="25" s="1"/>
  <c r="A119" i="25"/>
  <c r="S118" i="25"/>
  <c r="T118" i="25" s="1"/>
  <c r="A118" i="25"/>
  <c r="S117" i="25"/>
  <c r="T117" i="25" s="1"/>
  <c r="A117" i="25"/>
  <c r="S116" i="25"/>
  <c r="T116" i="25" s="1"/>
  <c r="A116" i="25"/>
  <c r="S115" i="25"/>
  <c r="T115" i="25" s="1"/>
  <c r="A115" i="25"/>
  <c r="R114" i="25"/>
  <c r="Q114" i="25"/>
  <c r="P114" i="25"/>
  <c r="O114" i="25"/>
  <c r="N114" i="25"/>
  <c r="M114" i="25"/>
  <c r="L114" i="25"/>
  <c r="K114" i="25"/>
  <c r="J114" i="25"/>
  <c r="I114" i="25"/>
  <c r="H114" i="25"/>
  <c r="G114" i="25"/>
  <c r="A114" i="25"/>
  <c r="S113" i="25"/>
  <c r="T113" i="25" s="1"/>
  <c r="A113" i="25"/>
  <c r="S112" i="25"/>
  <c r="T112" i="25" s="1"/>
  <c r="A112" i="25"/>
  <c r="S111" i="25"/>
  <c r="T111" i="25" s="1"/>
  <c r="A111" i="25"/>
  <c r="S110" i="25"/>
  <c r="T110" i="25" s="1"/>
  <c r="A110" i="25"/>
  <c r="S109" i="25"/>
  <c r="T109" i="25" s="1"/>
  <c r="A109" i="25"/>
  <c r="S108" i="25"/>
  <c r="T108" i="25" s="1"/>
  <c r="A108" i="25"/>
  <c r="S107" i="25"/>
  <c r="T107" i="25" s="1"/>
  <c r="A107" i="25"/>
  <c r="S106" i="25"/>
  <c r="T106" i="25" s="1"/>
  <c r="A106" i="25"/>
  <c r="S105" i="25"/>
  <c r="T105" i="25" s="1"/>
  <c r="A105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A104" i="25"/>
  <c r="A103" i="25"/>
  <c r="S102" i="25"/>
  <c r="T102" i="25" s="1"/>
  <c r="A102" i="25"/>
  <c r="S101" i="25"/>
  <c r="T101" i="25" s="1"/>
  <c r="A101" i="25"/>
  <c r="S100" i="25"/>
  <c r="T100" i="25" s="1"/>
  <c r="A100" i="25"/>
  <c r="S99" i="25"/>
  <c r="T99" i="25" s="1"/>
  <c r="A99" i="25"/>
  <c r="S98" i="25"/>
  <c r="T98" i="25" s="1"/>
  <c r="A98" i="25"/>
  <c r="S97" i="25"/>
  <c r="T97" i="25" s="1"/>
  <c r="A97" i="25"/>
  <c r="S96" i="25"/>
  <c r="T96" i="25" s="1"/>
  <c r="A96" i="25"/>
  <c r="S95" i="25"/>
  <c r="T95" i="25" s="1"/>
  <c r="A95" i="25"/>
  <c r="S94" i="25"/>
  <c r="T94" i="25" s="1"/>
  <c r="A94" i="25"/>
  <c r="R93" i="25"/>
  <c r="R84" i="25" s="1"/>
  <c r="Q93" i="25"/>
  <c r="P93" i="25"/>
  <c r="O93" i="25"/>
  <c r="N93" i="25"/>
  <c r="N84" i="25" s="1"/>
  <c r="M93" i="25"/>
  <c r="L93" i="25"/>
  <c r="K93" i="25"/>
  <c r="J93" i="25"/>
  <c r="J84" i="25" s="1"/>
  <c r="I93" i="25"/>
  <c r="H93" i="25"/>
  <c r="G93" i="25"/>
  <c r="A93" i="25"/>
  <c r="S92" i="25"/>
  <c r="T92" i="25" s="1"/>
  <c r="A92" i="25"/>
  <c r="S91" i="25"/>
  <c r="T91" i="25" s="1"/>
  <c r="A91" i="25"/>
  <c r="S90" i="25"/>
  <c r="T90" i="25" s="1"/>
  <c r="A90" i="25"/>
  <c r="S89" i="25"/>
  <c r="T89" i="25" s="1"/>
  <c r="A89" i="25"/>
  <c r="S88" i="25"/>
  <c r="T88" i="25" s="1"/>
  <c r="A88" i="25"/>
  <c r="S87" i="25"/>
  <c r="T87" i="25" s="1"/>
  <c r="A87" i="25"/>
  <c r="S86" i="25"/>
  <c r="T86" i="25" s="1"/>
  <c r="A86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A85" i="25"/>
  <c r="P84" i="25"/>
  <c r="L84" i="25"/>
  <c r="H84" i="25"/>
  <c r="A84" i="25"/>
  <c r="T82" i="25"/>
  <c r="R80" i="25"/>
  <c r="Q80" i="25"/>
  <c r="P80" i="25"/>
  <c r="O80" i="25"/>
  <c r="N80" i="25"/>
  <c r="M80" i="25"/>
  <c r="L80" i="25"/>
  <c r="K80" i="25"/>
  <c r="J80" i="25"/>
  <c r="I80" i="25"/>
  <c r="H80" i="25"/>
  <c r="G80" i="25"/>
  <c r="S63" i="25"/>
  <c r="S62" i="25"/>
  <c r="S61" i="25"/>
  <c r="T61" i="25" s="1"/>
  <c r="S58" i="25"/>
  <c r="T58" i="25" s="1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N55" i="11" s="1"/>
  <c r="G55" i="25"/>
  <c r="S52" i="25"/>
  <c r="T52" i="25" s="1"/>
  <c r="S51" i="25"/>
  <c r="S50" i="25"/>
  <c r="T50" i="25" s="1"/>
  <c r="S49" i="25"/>
  <c r="S48" i="25"/>
  <c r="S47" i="25"/>
  <c r="S46" i="25"/>
  <c r="S45" i="25"/>
  <c r="S44" i="25"/>
  <c r="S43" i="25"/>
  <c r="S42" i="25"/>
  <c r="S41" i="25"/>
  <c r="R40" i="25"/>
  <c r="Q40" i="25"/>
  <c r="P40" i="25"/>
  <c r="O40" i="25"/>
  <c r="N40" i="25"/>
  <c r="M40" i="25"/>
  <c r="L40" i="25"/>
  <c r="K40" i="25"/>
  <c r="J40" i="25"/>
  <c r="I40" i="25"/>
  <c r="I29" i="25" s="1"/>
  <c r="H40" i="25"/>
  <c r="N40" i="11" s="1"/>
  <c r="G40" i="25"/>
  <c r="S39" i="25"/>
  <c r="S38" i="25"/>
  <c r="S37" i="25"/>
  <c r="S36" i="25"/>
  <c r="S35" i="25"/>
  <c r="S34" i="25"/>
  <c r="S33" i="25"/>
  <c r="S32" i="25"/>
  <c r="G32" i="11" s="1"/>
  <c r="S31" i="25"/>
  <c r="R30" i="25"/>
  <c r="Q30" i="25"/>
  <c r="P30" i="25"/>
  <c r="O30" i="25"/>
  <c r="O29" i="25" s="1"/>
  <c r="N30" i="25"/>
  <c r="M30" i="25"/>
  <c r="M29" i="25" s="1"/>
  <c r="L30" i="25"/>
  <c r="K30" i="25"/>
  <c r="K29" i="25" s="1"/>
  <c r="J30" i="25"/>
  <c r="I30" i="25"/>
  <c r="H30" i="25"/>
  <c r="N30" i="11" s="1"/>
  <c r="G30" i="25"/>
  <c r="Q29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L19" i="25"/>
  <c r="K19" i="25"/>
  <c r="J19" i="25"/>
  <c r="I19" i="25"/>
  <c r="H19" i="25"/>
  <c r="N19" i="11" s="1"/>
  <c r="G19" i="25"/>
  <c r="S18" i="25"/>
  <c r="S17" i="25"/>
  <c r="S16" i="25"/>
  <c r="S15" i="25"/>
  <c r="S14" i="25"/>
  <c r="S13" i="25"/>
  <c r="S12" i="25"/>
  <c r="R11" i="25"/>
  <c r="R10" i="25" s="1"/>
  <c r="Q11" i="25"/>
  <c r="P11" i="25"/>
  <c r="O11" i="25"/>
  <c r="N11" i="25"/>
  <c r="M11" i="25"/>
  <c r="L11" i="25"/>
  <c r="K11" i="25"/>
  <c r="J11" i="25"/>
  <c r="J10" i="25" s="1"/>
  <c r="I11" i="25"/>
  <c r="H11" i="25"/>
  <c r="N11" i="11" s="1"/>
  <c r="G11" i="25"/>
  <c r="G10" i="25" s="1"/>
  <c r="N10" i="25"/>
  <c r="R5" i="25"/>
  <c r="Q5" i="25"/>
  <c r="P5" i="25"/>
  <c r="O5" i="25"/>
  <c r="N5" i="25"/>
  <c r="M5" i="25"/>
  <c r="L5" i="25"/>
  <c r="K5" i="25"/>
  <c r="J5" i="25"/>
  <c r="I5" i="25"/>
  <c r="H5" i="25"/>
  <c r="G5" i="25"/>
  <c r="T62" i="25" l="1"/>
  <c r="G62" i="11"/>
  <c r="T63" i="25"/>
  <c r="G63" i="11"/>
  <c r="T57" i="25"/>
  <c r="G57" i="11"/>
  <c r="T56" i="25"/>
  <c r="G56" i="11"/>
  <c r="T51" i="25"/>
  <c r="G51" i="11"/>
  <c r="T49" i="25"/>
  <c r="G49" i="11"/>
  <c r="T48" i="25"/>
  <c r="G48" i="11"/>
  <c r="T47" i="25"/>
  <c r="G47" i="11"/>
  <c r="T46" i="25"/>
  <c r="G46" i="11"/>
  <c r="T45" i="25"/>
  <c r="G45" i="11"/>
  <c r="T44" i="25"/>
  <c r="G44" i="11"/>
  <c r="T43" i="25"/>
  <c r="G43" i="11"/>
  <c r="T42" i="25"/>
  <c r="G42" i="11"/>
  <c r="T41" i="25"/>
  <c r="G41" i="11"/>
  <c r="T31" i="25"/>
  <c r="G31" i="11"/>
  <c r="T39" i="25"/>
  <c r="G39" i="11"/>
  <c r="T38" i="25"/>
  <c r="G38" i="11"/>
  <c r="T37" i="25"/>
  <c r="G37" i="11"/>
  <c r="T36" i="25"/>
  <c r="G36" i="11"/>
  <c r="T35" i="25"/>
  <c r="G35" i="11"/>
  <c r="T34" i="25"/>
  <c r="G34" i="11"/>
  <c r="T33" i="25"/>
  <c r="G33" i="11"/>
  <c r="T32" i="25"/>
  <c r="T27" i="25"/>
  <c r="G27" i="11"/>
  <c r="T28" i="25"/>
  <c r="G28" i="11"/>
  <c r="T26" i="25"/>
  <c r="G26" i="11"/>
  <c r="T25" i="25"/>
  <c r="G25" i="11"/>
  <c r="T24" i="25"/>
  <c r="G24" i="11"/>
  <c r="T20" i="25"/>
  <c r="G20" i="11"/>
  <c r="T21" i="25"/>
  <c r="G21" i="11"/>
  <c r="T22" i="25"/>
  <c r="G22" i="11"/>
  <c r="T23" i="25"/>
  <c r="G23" i="11"/>
  <c r="T14" i="25"/>
  <c r="G14" i="11"/>
  <c r="T15" i="25"/>
  <c r="G15" i="11"/>
  <c r="T17" i="25"/>
  <c r="G17" i="11"/>
  <c r="T12" i="25"/>
  <c r="G12" i="11"/>
  <c r="T13" i="25"/>
  <c r="G13" i="11"/>
  <c r="T16" i="25"/>
  <c r="G16" i="11"/>
  <c r="T18" i="25"/>
  <c r="G18" i="11"/>
  <c r="I103" i="25"/>
  <c r="M103" i="25"/>
  <c r="Q103" i="25"/>
  <c r="H103" i="25"/>
  <c r="J103" i="25"/>
  <c r="L103" i="25"/>
  <c r="N103" i="25"/>
  <c r="P103" i="25"/>
  <c r="R103" i="25"/>
  <c r="S85" i="25"/>
  <c r="T85" i="25" s="1"/>
  <c r="S114" i="25"/>
  <c r="T114" i="25" s="1"/>
  <c r="K103" i="25"/>
  <c r="O103" i="25"/>
  <c r="S30" i="25"/>
  <c r="I10" i="25"/>
  <c r="K10" i="25"/>
  <c r="K53" i="25" s="1"/>
  <c r="K59" i="25" s="1"/>
  <c r="K64" i="25" s="1"/>
  <c r="K60" i="25" s="1"/>
  <c r="M10" i="25"/>
  <c r="O10" i="25"/>
  <c r="O53" i="25" s="1"/>
  <c r="O59" i="25" s="1"/>
  <c r="O64" i="25" s="1"/>
  <c r="O60" i="25" s="1"/>
  <c r="Q10" i="25"/>
  <c r="L10" i="25"/>
  <c r="P10" i="25"/>
  <c r="H10" i="25"/>
  <c r="N10" i="11" s="1"/>
  <c r="G84" i="25"/>
  <c r="I84" i="25"/>
  <c r="I127" i="25" s="1"/>
  <c r="I133" i="25" s="1"/>
  <c r="I138" i="25" s="1"/>
  <c r="I134" i="25" s="1"/>
  <c r="K84" i="25"/>
  <c r="M84" i="25"/>
  <c r="O84" i="25"/>
  <c r="Q84" i="25"/>
  <c r="Q127" i="25" s="1"/>
  <c r="Q133" i="25" s="1"/>
  <c r="Q138" i="25" s="1"/>
  <c r="Q134" i="25" s="1"/>
  <c r="G103" i="25"/>
  <c r="H29" i="25"/>
  <c r="N29" i="11" s="1"/>
  <c r="J29" i="25"/>
  <c r="J53" i="25" s="1"/>
  <c r="L29" i="25"/>
  <c r="N29" i="25"/>
  <c r="N53" i="25" s="1"/>
  <c r="P29" i="25"/>
  <c r="P53" i="25" s="1"/>
  <c r="R29" i="25"/>
  <c r="R53" i="25" s="1"/>
  <c r="S40" i="25"/>
  <c r="I53" i="25"/>
  <c r="I54" i="25" s="1"/>
  <c r="M53" i="25"/>
  <c r="M54" i="25" s="1"/>
  <c r="Q53" i="25"/>
  <c r="Q54" i="25" s="1"/>
  <c r="G29" i="25"/>
  <c r="S19" i="25"/>
  <c r="S11" i="25"/>
  <c r="S55" i="25"/>
  <c r="S93" i="25"/>
  <c r="T93" i="25" s="1"/>
  <c r="S104" i="25"/>
  <c r="T104" i="25" s="1"/>
  <c r="S129" i="25"/>
  <c r="T129" i="25" s="1"/>
  <c r="T55" i="25" l="1"/>
  <c r="G55" i="11"/>
  <c r="T40" i="25"/>
  <c r="G40" i="11"/>
  <c r="T30" i="25"/>
  <c r="G30" i="11"/>
  <c r="T19" i="25"/>
  <c r="G19" i="11"/>
  <c r="T11" i="25"/>
  <c r="G11" i="11"/>
  <c r="M127" i="25"/>
  <c r="M128" i="25" s="1"/>
  <c r="O127" i="25"/>
  <c r="O128" i="25" s="1"/>
  <c r="N127" i="25"/>
  <c r="N128" i="25" s="1"/>
  <c r="K127" i="25"/>
  <c r="K133" i="25" s="1"/>
  <c r="K138" i="25" s="1"/>
  <c r="K134" i="25" s="1"/>
  <c r="L127" i="25"/>
  <c r="L133" i="25" s="1"/>
  <c r="L138" i="25" s="1"/>
  <c r="L134" i="25" s="1"/>
  <c r="R127" i="25"/>
  <c r="R128" i="25" s="1"/>
  <c r="J127" i="25"/>
  <c r="J128" i="25" s="1"/>
  <c r="P127" i="25"/>
  <c r="P133" i="25" s="1"/>
  <c r="P138" i="25" s="1"/>
  <c r="P134" i="25" s="1"/>
  <c r="H127" i="25"/>
  <c r="H133" i="25" s="1"/>
  <c r="H138" i="25" s="1"/>
  <c r="H134" i="25" s="1"/>
  <c r="G53" i="25"/>
  <c r="G127" i="25"/>
  <c r="Q59" i="25"/>
  <c r="Q64" i="25" s="1"/>
  <c r="Q60" i="25" s="1"/>
  <c r="I59" i="25"/>
  <c r="I64" i="25" s="1"/>
  <c r="I60" i="25" s="1"/>
  <c r="M59" i="25"/>
  <c r="M64" i="25" s="1"/>
  <c r="M60" i="25" s="1"/>
  <c r="L53" i="25"/>
  <c r="L54" i="25" s="1"/>
  <c r="O54" i="25"/>
  <c r="S10" i="25"/>
  <c r="H53" i="25"/>
  <c r="M133" i="25"/>
  <c r="M138" i="25" s="1"/>
  <c r="M134" i="25" s="1"/>
  <c r="I128" i="25"/>
  <c r="S84" i="25"/>
  <c r="T84" i="25" s="1"/>
  <c r="Q128" i="25"/>
  <c r="S103" i="25"/>
  <c r="T103" i="25" s="1"/>
  <c r="S29" i="25"/>
  <c r="P59" i="25"/>
  <c r="P64" i="25" s="1"/>
  <c r="P60" i="25" s="1"/>
  <c r="P54" i="25"/>
  <c r="K54" i="25"/>
  <c r="N54" i="25"/>
  <c r="N59" i="25"/>
  <c r="N64" i="25" s="1"/>
  <c r="N60" i="25" s="1"/>
  <c r="G59" i="25"/>
  <c r="R54" i="25"/>
  <c r="R59" i="25"/>
  <c r="R64" i="25" s="1"/>
  <c r="R60" i="25" s="1"/>
  <c r="J54" i="25"/>
  <c r="J59" i="25"/>
  <c r="J64" i="25" s="1"/>
  <c r="J60" i="25" s="1"/>
  <c r="S53" i="20"/>
  <c r="T29" i="25" l="1"/>
  <c r="G29" i="11"/>
  <c r="G16" i="1" s="1"/>
  <c r="H16" i="1" s="1"/>
  <c r="H54" i="25"/>
  <c r="N54" i="11" s="1"/>
  <c r="N53" i="11"/>
  <c r="T10" i="25"/>
  <c r="G10" i="11"/>
  <c r="G12" i="1" s="1"/>
  <c r="H12" i="1" s="1"/>
  <c r="O133" i="25"/>
  <c r="O138" i="25" s="1"/>
  <c r="O134" i="25" s="1"/>
  <c r="G54" i="25"/>
  <c r="G128" i="25"/>
  <c r="L128" i="25"/>
  <c r="K128" i="25"/>
  <c r="N133" i="25"/>
  <c r="N138" i="25" s="1"/>
  <c r="N134" i="25" s="1"/>
  <c r="R133" i="25"/>
  <c r="R138" i="25" s="1"/>
  <c r="R134" i="25" s="1"/>
  <c r="J133" i="25"/>
  <c r="J138" i="25" s="1"/>
  <c r="J134" i="25" s="1"/>
  <c r="H128" i="25"/>
  <c r="P128" i="25"/>
  <c r="S127" i="25"/>
  <c r="T127" i="25" s="1"/>
  <c r="G133" i="25"/>
  <c r="L59" i="25"/>
  <c r="L64" i="25" s="1"/>
  <c r="L60" i="25" s="1"/>
  <c r="H59" i="25"/>
  <c r="S53" i="25"/>
  <c r="G64" i="25"/>
  <c r="G5" i="22"/>
  <c r="H5" i="22"/>
  <c r="I5" i="22"/>
  <c r="J5" i="22"/>
  <c r="K5" i="22"/>
  <c r="L5" i="22"/>
  <c r="M5" i="22"/>
  <c r="N5" i="22"/>
  <c r="O5" i="22"/>
  <c r="H64" i="25" l="1"/>
  <c r="S64" i="25" s="1"/>
  <c r="N59" i="11"/>
  <c r="T53" i="25"/>
  <c r="G53" i="11"/>
  <c r="G20" i="1" s="1"/>
  <c r="H20" i="1" s="1"/>
  <c r="S54" i="25"/>
  <c r="S133" i="25"/>
  <c r="T133" i="25" s="1"/>
  <c r="S128" i="25"/>
  <c r="T128" i="25" s="1"/>
  <c r="G138" i="25"/>
  <c r="S59" i="25"/>
  <c r="G60" i="25"/>
  <c r="P19" i="22"/>
  <c r="T54" i="25" l="1"/>
  <c r="G54" i="11"/>
  <c r="T64" i="25"/>
  <c r="G64" i="11"/>
  <c r="T59" i="25"/>
  <c r="G59" i="11"/>
  <c r="H60" i="25"/>
  <c r="N60" i="11" s="1"/>
  <c r="N64" i="11"/>
  <c r="S138" i="25"/>
  <c r="T138" i="25" s="1"/>
  <c r="G134" i="25"/>
  <c r="S121" i="22"/>
  <c r="S60" i="25" l="1"/>
  <c r="T60" i="25" s="1"/>
  <c r="S134" i="25"/>
  <c r="T134" i="25" s="1"/>
  <c r="M129" i="22"/>
  <c r="G60" i="11" l="1"/>
  <c r="G5" i="19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S86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T33" i="22" s="1"/>
  <c r="S32" i="22"/>
  <c r="T32" i="22" s="1"/>
  <c r="R30" i="22"/>
  <c r="P30" i="22"/>
  <c r="N30" i="22"/>
  <c r="L30" i="22"/>
  <c r="J30" i="22"/>
  <c r="H30" i="22"/>
  <c r="S31" i="22"/>
  <c r="T31" i="22" s="1"/>
  <c r="Q30" i="22"/>
  <c r="O30" i="22"/>
  <c r="M30" i="22"/>
  <c r="K30" i="22"/>
  <c r="I30" i="22"/>
  <c r="G30" i="22"/>
  <c r="S26" i="22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N11" i="22"/>
  <c r="L11" i="22"/>
  <c r="J11" i="22"/>
  <c r="H11" i="22"/>
  <c r="S12" i="22"/>
  <c r="T12" i="22" s="1"/>
  <c r="Q11" i="22"/>
  <c r="O11" i="22"/>
  <c r="M11" i="22"/>
  <c r="K11" i="22"/>
  <c r="K10" i="22" s="1"/>
  <c r="I11" i="22"/>
  <c r="G11" i="22"/>
  <c r="R5" i="22"/>
  <c r="Q5" i="22"/>
  <c r="P5" i="22"/>
  <c r="T34" i="22" l="1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G10" i="22"/>
  <c r="K10" i="11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Q53" i="22" l="1"/>
  <c r="P53" i="22"/>
  <c r="P59" i="22" s="1"/>
  <c r="Q29" i="11"/>
  <c r="P127" i="22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L53" i="22"/>
  <c r="L59" i="22" s="1"/>
  <c r="K127" i="22"/>
  <c r="K53" i="22"/>
  <c r="K54" i="22" s="1"/>
  <c r="J127" i="22"/>
  <c r="J128" i="22" s="1"/>
  <c r="I53" i="22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S10" i="22"/>
  <c r="T10" i="22" s="1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I59" i="22"/>
  <c r="Q59" i="22"/>
  <c r="P128" i="22"/>
  <c r="O133" i="22"/>
  <c r="O138" i="22" s="1"/>
  <c r="O134" i="22" s="1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O54" i="22"/>
  <c r="J53" i="22"/>
  <c r="A145" i="19"/>
  <c r="A144" i="19"/>
  <c r="A151" i="19"/>
  <c r="A157" i="19"/>
  <c r="A152" i="19"/>
  <c r="A153" i="19"/>
  <c r="G54" i="22" l="1"/>
  <c r="K54" i="11" s="1"/>
  <c r="K53" i="11"/>
  <c r="T29" i="22"/>
  <c r="R54" i="22"/>
  <c r="Q64" i="22"/>
  <c r="Q54" i="22"/>
  <c r="P133" i="22"/>
  <c r="P54" i="22"/>
  <c r="P64" i="22"/>
  <c r="P60" i="22" s="1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T53" i="22" s="1"/>
  <c r="J19" i="11"/>
  <c r="I19" i="11"/>
  <c r="G59" i="22"/>
  <c r="K59" i="11" s="1"/>
  <c r="J11" i="11"/>
  <c r="I11" i="11"/>
  <c r="G133" i="22"/>
  <c r="J59" i="22"/>
  <c r="J54" i="22"/>
  <c r="R64" i="22" l="1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Q53" i="11"/>
  <c r="P53" i="11"/>
  <c r="G64" i="22"/>
  <c r="K64" i="11" s="1"/>
  <c r="J29" i="11"/>
  <c r="I29" i="11"/>
  <c r="S59" i="22"/>
  <c r="T59" i="22" s="1"/>
  <c r="G138" i="22"/>
  <c r="S133" i="22"/>
  <c r="Q54" i="11"/>
  <c r="S128" i="22"/>
  <c r="R60" i="22" l="1"/>
  <c r="P134" i="22"/>
  <c r="O60" i="22"/>
  <c r="N60" i="22"/>
  <c r="Q59" i="11"/>
  <c r="M134" i="22"/>
  <c r="M60" i="22"/>
  <c r="J60" i="22"/>
  <c r="T128" i="22"/>
  <c r="T133" i="22"/>
  <c r="I134" i="22"/>
  <c r="H60" i="22"/>
  <c r="I53" i="11"/>
  <c r="S64" i="22"/>
  <c r="T64" i="22" s="1"/>
  <c r="J53" i="11"/>
  <c r="G60" i="22"/>
  <c r="K60" i="11" s="1"/>
  <c r="S138" i="22"/>
  <c r="G134" i="22"/>
  <c r="GC35" i="6"/>
  <c r="GC28" i="6"/>
  <c r="GC23" i="6"/>
  <c r="GC18" i="6"/>
  <c r="GC10" i="6"/>
  <c r="I54" i="11" l="1"/>
  <c r="Q64" i="11"/>
  <c r="S60" i="22"/>
  <c r="T60" i="22" s="1"/>
  <c r="J54" i="11"/>
  <c r="T138" i="22"/>
  <c r="J59" i="11"/>
  <c r="I59" i="11"/>
  <c r="S134" i="22"/>
  <c r="Q60" i="11"/>
  <c r="GB35" i="6"/>
  <c r="GB28" i="6"/>
  <c r="GB23" i="6"/>
  <c r="GB18" i="6"/>
  <c r="GB10" i="6"/>
  <c r="J60" i="11" l="1"/>
  <c r="T134" i="22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H30" i="20" l="1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2" i="21" l="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62" i="19" s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B3" i="19" s="1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L10" i="11" l="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B81" i="25" s="1"/>
  <c r="G251" i="2"/>
  <c r="G248" i="2"/>
  <c r="S7" i="25" s="1"/>
  <c r="S81" i="25" s="1"/>
  <c r="G242" i="2"/>
  <c r="G241" i="2"/>
  <c r="G240" i="2"/>
  <c r="P8" i="25" s="1"/>
  <c r="P82" i="25" s="1"/>
  <c r="G239" i="2"/>
  <c r="G238" i="2"/>
  <c r="G237" i="2"/>
  <c r="G236" i="2"/>
  <c r="L8" i="25" s="1"/>
  <c r="L82" i="25" s="1"/>
  <c r="G235" i="2"/>
  <c r="G234" i="2"/>
  <c r="G233" i="2"/>
  <c r="G232" i="2"/>
  <c r="G231" i="2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G7" i="2"/>
  <c r="G6" i="2"/>
  <c r="E2" i="25" s="1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CL320" i="6" s="1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DD320" i="6"/>
  <c r="CZ385" i="6"/>
  <c r="DP385" i="6"/>
  <c r="CT350" i="6"/>
  <c r="DR350" i="6"/>
  <c r="CS350" i="6"/>
  <c r="DA350" i="6"/>
  <c r="E3" i="22" l="1"/>
  <c r="E3" i="25"/>
  <c r="B12" i="25"/>
  <c r="B86" i="25"/>
  <c r="B14" i="25"/>
  <c r="B88" i="25"/>
  <c r="B16" i="25"/>
  <c r="B90" i="25"/>
  <c r="B18" i="25"/>
  <c r="B92" i="25"/>
  <c r="B94" i="25"/>
  <c r="B20" i="25"/>
  <c r="B96" i="25"/>
  <c r="B22" i="25"/>
  <c r="B98" i="25"/>
  <c r="B24" i="25"/>
  <c r="B101" i="25"/>
  <c r="B27" i="25"/>
  <c r="B61" i="25"/>
  <c r="B135" i="25"/>
  <c r="B103" i="25"/>
  <c r="B29" i="25"/>
  <c r="B104" i="25"/>
  <c r="B30" i="25"/>
  <c r="B108" i="25"/>
  <c r="B34" i="25"/>
  <c r="B35" i="25"/>
  <c r="B109" i="25"/>
  <c r="B110" i="25"/>
  <c r="B36" i="25"/>
  <c r="B115" i="25"/>
  <c r="B41" i="25"/>
  <c r="B116" i="25"/>
  <c r="B42" i="25"/>
  <c r="B117" i="25"/>
  <c r="B43" i="25"/>
  <c r="B118" i="25"/>
  <c r="B44" i="25"/>
  <c r="B119" i="25"/>
  <c r="B45" i="25"/>
  <c r="B120" i="25"/>
  <c r="B46" i="25"/>
  <c r="B121" i="25"/>
  <c r="B47" i="25"/>
  <c r="B132" i="25"/>
  <c r="B58" i="25"/>
  <c r="B57" i="25"/>
  <c r="B131" i="25"/>
  <c r="B125" i="25"/>
  <c r="B51" i="25"/>
  <c r="B128" i="25"/>
  <c r="B54" i="25"/>
  <c r="B59" i="25"/>
  <c r="B133" i="25"/>
  <c r="B126" i="25"/>
  <c r="B52" i="25"/>
  <c r="H8" i="22"/>
  <c r="H82" i="22" s="1"/>
  <c r="H8" i="25"/>
  <c r="H82" i="25" s="1"/>
  <c r="J8" i="22"/>
  <c r="J82" i="22" s="1"/>
  <c r="J8" i="25"/>
  <c r="J82" i="25" s="1"/>
  <c r="N8" i="22"/>
  <c r="N82" i="22" s="1"/>
  <c r="N8" i="25"/>
  <c r="N82" i="25" s="1"/>
  <c r="R8" i="22"/>
  <c r="R82" i="22" s="1"/>
  <c r="R8" i="25"/>
  <c r="R82" i="25" s="1"/>
  <c r="B7" i="22"/>
  <c r="B7" i="25"/>
  <c r="E4" i="11"/>
  <c r="E4" i="25"/>
  <c r="B84" i="25"/>
  <c r="B10" i="25"/>
  <c r="B11" i="25"/>
  <c r="B85" i="25"/>
  <c r="B87" i="25"/>
  <c r="B13" i="25"/>
  <c r="B89" i="25"/>
  <c r="B15" i="25"/>
  <c r="B91" i="25"/>
  <c r="B17" i="25"/>
  <c r="B93" i="25"/>
  <c r="B19" i="25"/>
  <c r="B95" i="25"/>
  <c r="B21" i="25"/>
  <c r="B97" i="25"/>
  <c r="B23" i="25"/>
  <c r="B99" i="25"/>
  <c r="B25" i="25"/>
  <c r="B100" i="25"/>
  <c r="B26" i="25"/>
  <c r="B63" i="25"/>
  <c r="B137" i="25"/>
  <c r="B102" i="25"/>
  <c r="B28" i="25"/>
  <c r="B136" i="25"/>
  <c r="B62" i="25"/>
  <c r="B31" i="25"/>
  <c r="B105" i="25"/>
  <c r="B106" i="25"/>
  <c r="B32" i="25"/>
  <c r="B33" i="25"/>
  <c r="B107" i="25"/>
  <c r="B37" i="25"/>
  <c r="B111" i="25"/>
  <c r="B112" i="25"/>
  <c r="B38" i="25"/>
  <c r="B39" i="25"/>
  <c r="B113" i="25"/>
  <c r="B114" i="25"/>
  <c r="B40" i="25"/>
  <c r="B122" i="25"/>
  <c r="B48" i="25"/>
  <c r="B129" i="25"/>
  <c r="B55" i="25"/>
  <c r="B130" i="25"/>
  <c r="B56" i="25"/>
  <c r="B124" i="25"/>
  <c r="B50" i="25"/>
  <c r="B123" i="25"/>
  <c r="B49" i="25"/>
  <c r="B127" i="25"/>
  <c r="B53" i="25"/>
  <c r="B134" i="25"/>
  <c r="B60" i="25"/>
  <c r="B138" i="25"/>
  <c r="B64" i="25"/>
  <c r="G8" i="22"/>
  <c r="G82" i="22" s="1"/>
  <c r="G8" i="25"/>
  <c r="G82" i="25" s="1"/>
  <c r="I8" i="22"/>
  <c r="I82" i="22" s="1"/>
  <c r="I8" i="25"/>
  <c r="I82" i="25" s="1"/>
  <c r="K8" i="22"/>
  <c r="K82" i="22" s="1"/>
  <c r="K8" i="25"/>
  <c r="K82" i="25" s="1"/>
  <c r="M8" i="22"/>
  <c r="M82" i="22" s="1"/>
  <c r="M8" i="25"/>
  <c r="M82" i="25" s="1"/>
  <c r="O8" i="22"/>
  <c r="O82" i="22" s="1"/>
  <c r="O8" i="25"/>
  <c r="O82" i="25" s="1"/>
  <c r="Q8" i="22"/>
  <c r="Q82" i="22" s="1"/>
  <c r="Q8" i="25"/>
  <c r="Q82" i="25" s="1"/>
  <c r="CR385" i="6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T9" i="22" l="1"/>
  <c r="T83" i="22" s="1"/>
  <c r="T9" i="25"/>
  <c r="T83" i="25" s="1"/>
  <c r="S82" i="25"/>
  <c r="S8" i="25"/>
  <c r="E253" i="2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48" i="11" s="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G253" i="2" l="1"/>
  <c r="B7" i="11" s="1"/>
  <c r="S60" i="1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<sst xmlns="http://schemas.openxmlformats.org/spreadsheetml/2006/main" count="1770" uniqueCount="840">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</sst>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175" fontId="0" fillId="3" borderId="0" xfId="0" applyNumberFormat="1" applyFill="1" applyAlignment="1">
      <alignment vertical="center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fmlaLink="Master!$B$2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firstButton="1" fmlaLink="Master!$B$2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fmlaLink="Master!$B$2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firstButton="1" fmlaLink="Master!$B$2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firstButton="1" fmlaLink="Master!$B$2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895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revenues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period January  - Febriary 2022 amounted to 232,0 mill. € or 4,4% of GDP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are higher by 15,7 mill. € or 7,3% than the planned.</a:t>
          </a:r>
          <a:r>
            <a:rPr lang="sr-Latn-R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Compared to the same period of the previous year, revenues were higher by 37,7 mill. € or 19,4%.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expenditures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period January - February 2022 amounted to 286,4 mill. € or 5,4% of GDP and were lower by 0,9 mill. € or 0,3% compared to the same period of the previous year. Compared to the plan, expenditures were lower by 51,1 mill. € or 15,1%. In the period January - February 2022, the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deficit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amounted to 54,4 mill. € or 1,0% of the estimated GDP,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which is 66,8 mill. € or 55,1% less than planned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38,6 mill. € or 41,5%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less than recorded in the same period in 2021.</a:t>
          </a:r>
          <a:endParaRPr lang="sr-Latn-RS">
            <a:effectLst/>
          </a:endParaRP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1</xdr:rowOff>
    </xdr:from>
    <xdr:to>
      <xdr:col>22</xdr:col>
      <xdr:colOff>323849</xdr:colOff>
      <xdr:row>22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5" y="1343026"/>
          <a:ext cx="3657599" cy="287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Methodological remarks: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on the items "Gross salaries and contributions at the expense of the employer" and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"Rights in the field of pension and disability insurance" were obtained on the basis of accrual adjustment, while the other items are shown by cash.</a:t>
          </a:r>
          <a:endParaRPr lang="sr-Latn-RS">
            <a:effectLst/>
          </a:endParaRP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Breakdown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219710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523875</xdr:colOff>
      <xdr:row>2</xdr:row>
      <xdr:rowOff>123824</xdr:rowOff>
    </xdr:from>
    <xdr:to>
      <xdr:col>11</xdr:col>
      <xdr:colOff>26035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11</xdr:col>
      <xdr:colOff>342900</xdr:colOff>
      <xdr:row>3</xdr:row>
      <xdr:rowOff>28575</xdr:rowOff>
    </xdr:from>
    <xdr:to>
      <xdr:col>13</xdr:col>
      <xdr:colOff>95568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000"/>
        </a:p>
      </xdr:txBody>
    </xdr:sp>
    <xdr:clientData/>
  </xdr:twoCellAnchor>
  <xdr:twoCellAnchor editAs="absolute">
    <xdr:from>
      <xdr:col>13</xdr:col>
      <xdr:colOff>381000</xdr:colOff>
      <xdr:row>3</xdr:row>
      <xdr:rowOff>9525</xdr:rowOff>
    </xdr:from>
    <xdr:to>
      <xdr:col>15</xdr:col>
      <xdr:colOff>133668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Montenegro</v>
      </c>
      <c r="I2" s="4"/>
    </row>
    <row r="3" spans="1:20" s="1" customFormat="1">
      <c r="E3" s="4" t="str">
        <f>+Master!G7</f>
        <v>Ministry of Finance and social welfare</v>
      </c>
    </row>
    <row r="4" spans="1:20" s="1" customFormat="1">
      <c r="E4" s="4" t="str">
        <f>+Master!G8</f>
        <v>Directorate for State Budget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2022-02</v>
      </c>
      <c r="O6" s="143" t="str">
        <f>+CONCATENATE(N6,"p")</f>
        <v>2022-02p</v>
      </c>
      <c r="P6" s="130"/>
      <c r="Q6" s="130"/>
      <c r="R6" s="143" t="str">
        <f>+IF(Master!B3-10&gt;=0,CONCATENATE(Master!B4-1,"-",Master!B3),CONCATENATE(Master!B4-1,"-0",Master!B3))</f>
        <v>2021-02</v>
      </c>
      <c r="S6" s="130"/>
      <c r="T6" s="130"/>
    </row>
    <row r="7" spans="1:20">
      <c r="A7" s="144"/>
      <c r="B7" s="506" t="s">
        <v>692</v>
      </c>
      <c r="C7" s="507"/>
      <c r="D7" s="507"/>
      <c r="E7" s="507"/>
      <c r="F7" s="507"/>
      <c r="G7" s="515" t="s">
        <v>691</v>
      </c>
      <c r="H7" s="516"/>
      <c r="I7" s="516"/>
      <c r="J7" s="516"/>
      <c r="K7" s="516"/>
      <c r="L7" s="516"/>
      <c r="M7" s="517"/>
      <c r="N7" s="518" t="str">
        <f>+Master!G242</f>
        <v>December</v>
      </c>
      <c r="O7" s="516"/>
      <c r="P7" s="516"/>
      <c r="Q7" s="516"/>
      <c r="R7" s="516"/>
      <c r="S7" s="516"/>
      <c r="T7" s="519"/>
    </row>
    <row r="8" spans="1:20">
      <c r="A8" s="144"/>
      <c r="B8" s="508"/>
      <c r="C8" s="509"/>
      <c r="D8" s="509"/>
      <c r="E8" s="509"/>
      <c r="F8" s="510"/>
      <c r="G8" s="145" t="str">
        <f>+Master!G25</f>
        <v>Execution</v>
      </c>
      <c r="H8" s="145" t="str">
        <f>+Master!G24</f>
        <v>Plan</v>
      </c>
      <c r="I8" s="502" t="str">
        <f>+Master!G260</f>
        <v>Deviation</v>
      </c>
      <c r="J8" s="502"/>
      <c r="K8" s="145" t="str">
        <f>+CONCATENATE(Master!G245," ",Master!B4-1)</f>
        <v>Jan - Feb 2021</v>
      </c>
      <c r="L8" s="502" t="str">
        <f>+I8</f>
        <v>Deviation</v>
      </c>
      <c r="M8" s="514"/>
      <c r="N8" s="146" t="str">
        <f>+G8</f>
        <v>Execution</v>
      </c>
      <c r="O8" s="145" t="str">
        <f>+H8</f>
        <v>Plan</v>
      </c>
      <c r="P8" s="502" t="str">
        <f>+I8</f>
        <v>Deviation</v>
      </c>
      <c r="Q8" s="502"/>
      <c r="R8" s="145" t="str">
        <f>+CONCATENATE(Master!G244," ",Master!B4-1)</f>
        <v>February 2021</v>
      </c>
      <c r="S8" s="502" t="str">
        <f>+P8</f>
        <v>Deviation</v>
      </c>
      <c r="T8" s="503"/>
    </row>
    <row r="9" spans="1:20" ht="15.7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48" t="str">
        <f>+VLOOKUP($A10,Master!$D$29:$G$225,4,FALSE)</f>
        <v>Total Revenues</v>
      </c>
      <c r="C10" s="549"/>
      <c r="D10" s="549"/>
      <c r="E10" s="549"/>
      <c r="F10" s="549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50" t="str">
        <f>+VLOOKUP($A11,Master!$D$29:$G$225,4,FALSE)</f>
        <v>Taxes</v>
      </c>
      <c r="C11" s="551"/>
      <c r="D11" s="551"/>
      <c r="E11" s="551"/>
      <c r="F11" s="551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36" t="str">
        <f>+VLOOKUP($A12,Master!$D$29:$G$225,4,FALSE)</f>
        <v>Personal Income Tax</v>
      </c>
      <c r="C12" s="537"/>
      <c r="D12" s="537"/>
      <c r="E12" s="537"/>
      <c r="F12" s="537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36" t="str">
        <f>+VLOOKUP($A13,Master!$D$29:$G$225,4,FALSE)</f>
        <v>Corporate Income Tax</v>
      </c>
      <c r="C13" s="537"/>
      <c r="D13" s="537"/>
      <c r="E13" s="537"/>
      <c r="F13" s="537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36" t="str">
        <f>+VLOOKUP($A14,Master!$D$29:$G$225,4,FALSE)</f>
        <v xml:space="preserve">Taxes on Sales of Property </v>
      </c>
      <c r="C14" s="537"/>
      <c r="D14" s="537"/>
      <c r="E14" s="537"/>
      <c r="F14" s="537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36" t="str">
        <f>+VLOOKUP($A15,Master!$D$29:$G$225,4,FALSE)</f>
        <v>Value Added Tax</v>
      </c>
      <c r="C15" s="537"/>
      <c r="D15" s="537"/>
      <c r="E15" s="537"/>
      <c r="F15" s="537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36" t="str">
        <f>+VLOOKUP($A16,Master!$D$29:$G$225,4,FALSE)</f>
        <v>Excises</v>
      </c>
      <c r="C16" s="537"/>
      <c r="D16" s="537"/>
      <c r="E16" s="537"/>
      <c r="F16" s="537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36" t="str">
        <f>+VLOOKUP($A17,Master!$D$29:$G$225,4,FALSE)</f>
        <v>Tax on International Trade and Transactions</v>
      </c>
      <c r="C17" s="537"/>
      <c r="D17" s="537"/>
      <c r="E17" s="537"/>
      <c r="F17" s="537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36" t="e">
        <f>+VLOOKUP($A18,Master!$D$29:$G$225,4,FALSE)</f>
        <v>#N/A</v>
      </c>
      <c r="C18" s="537"/>
      <c r="D18" s="537"/>
      <c r="E18" s="537"/>
      <c r="F18" s="537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36" t="str">
        <f>+VLOOKUP($A19,Master!$D$29:$G$225,4,FALSE)</f>
        <v>Other Republic Taxes</v>
      </c>
      <c r="C19" s="537"/>
      <c r="D19" s="537"/>
      <c r="E19" s="537"/>
      <c r="F19" s="537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46" t="str">
        <f>+VLOOKUP($A20,Master!$D$29:$G$225,4,FALSE)</f>
        <v>Contributions</v>
      </c>
      <c r="C20" s="547"/>
      <c r="D20" s="547"/>
      <c r="E20" s="547"/>
      <c r="F20" s="547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36" t="str">
        <f>+VLOOKUP($A21,Master!$D$29:$G$225,4,FALSE)</f>
        <v>Contributions for Pension and Disability Insurance</v>
      </c>
      <c r="C21" s="537"/>
      <c r="D21" s="537"/>
      <c r="E21" s="537"/>
      <c r="F21" s="537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36" t="str">
        <f>+VLOOKUP($A22,Master!$D$29:$G$225,4,FALSE)</f>
        <v>Contributions for Health Insurance</v>
      </c>
      <c r="C22" s="537"/>
      <c r="D22" s="537"/>
      <c r="E22" s="537"/>
      <c r="F22" s="537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36" t="str">
        <f>+VLOOKUP($A23,Master!$D$29:$G$225,4,FALSE)</f>
        <v>Contributions for  Unemployment Insurance</v>
      </c>
      <c r="C23" s="537"/>
      <c r="D23" s="537"/>
      <c r="E23" s="537"/>
      <c r="F23" s="537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36" t="str">
        <f>+VLOOKUP($A24,Master!$D$29:$G$225,4,FALSE)</f>
        <v>Other contributions</v>
      </c>
      <c r="C24" s="537"/>
      <c r="D24" s="537"/>
      <c r="E24" s="537"/>
      <c r="F24" s="537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38" t="str">
        <f>+VLOOKUP($A25,Master!$D$29:$G$225,4,FALSE)</f>
        <v>Duties</v>
      </c>
      <c r="C25" s="539"/>
      <c r="D25" s="539"/>
      <c r="E25" s="539"/>
      <c r="F25" s="539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38" t="str">
        <f>+VLOOKUP($A26,Master!$D$29:$G$225,4,FALSE)</f>
        <v>Fees</v>
      </c>
      <c r="C26" s="539"/>
      <c r="D26" s="539"/>
      <c r="E26" s="539"/>
      <c r="F26" s="539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38" t="str">
        <f>+VLOOKUP($A27,Master!$D$29:$G$225,4,FALSE)</f>
        <v>Other revenues</v>
      </c>
      <c r="C27" s="539"/>
      <c r="D27" s="539"/>
      <c r="E27" s="539"/>
      <c r="F27" s="539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38" t="str">
        <f>+VLOOKUP($A28,Master!$D$29:$G$225,4,FALSE)</f>
        <v>Receipts from Repayment of Loans and Funds Carried over from Previous Year</v>
      </c>
      <c r="C28" s="539"/>
      <c r="D28" s="539"/>
      <c r="E28" s="539"/>
      <c r="F28" s="539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40" t="str">
        <f>+VLOOKUP($A29,Master!$D$29:$G$225,4,FALSE)</f>
        <v>Grants and Transfers</v>
      </c>
      <c r="C29" s="541"/>
      <c r="D29" s="541"/>
      <c r="E29" s="541"/>
      <c r="F29" s="541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26" t="str">
        <f>+VLOOKUP($A30,Master!$D$29:$G$225,4,FALSE)</f>
        <v>Total Expenditures</v>
      </c>
      <c r="C30" s="527"/>
      <c r="D30" s="527"/>
      <c r="E30" s="527"/>
      <c r="F30" s="527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42" t="str">
        <f>+VLOOKUP($A31,Master!$D$29:$G$225,4,FALSE)</f>
        <v>Current Expenditures</v>
      </c>
      <c r="C31" s="543"/>
      <c r="D31" s="543"/>
      <c r="E31" s="543"/>
      <c r="F31" s="543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44" t="str">
        <f>+VLOOKUP($A32,Master!$D$29:$G$225,4,FALSE)</f>
        <v>Current Budgetary Consumption</v>
      </c>
      <c r="C32" s="545"/>
      <c r="D32" s="545"/>
      <c r="E32" s="545"/>
      <c r="F32" s="545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36" t="str">
        <f>+VLOOKUP($A33,Master!$D$29:$G$225,4,FALSE)</f>
        <v>Gross Salaries and Contributions</v>
      </c>
      <c r="C33" s="537"/>
      <c r="D33" s="537"/>
      <c r="E33" s="537"/>
      <c r="F33" s="537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36" t="str">
        <f>+VLOOKUP($A34,Master!$D$29:$G$225,4,FALSE)</f>
        <v>Other Personal Income</v>
      </c>
      <c r="C34" s="537"/>
      <c r="D34" s="537"/>
      <c r="E34" s="537"/>
      <c r="F34" s="537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36" t="str">
        <f>+VLOOKUP($A35,Master!$D$29:$G$225,4,FALSE)</f>
        <v>Expenditures for Supplies</v>
      </c>
      <c r="C35" s="537"/>
      <c r="D35" s="537"/>
      <c r="E35" s="537"/>
      <c r="F35" s="537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36" t="str">
        <f>+VLOOKUP($A36,Master!$D$29:$G$225,4,FALSE)</f>
        <v>Expenditures for Services</v>
      </c>
      <c r="C36" s="537"/>
      <c r="D36" s="537"/>
      <c r="E36" s="537"/>
      <c r="F36" s="537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36" t="str">
        <f>+VLOOKUP($A37,Master!$D$29:$G$225,4,FALSE)</f>
        <v>Current Maintenance</v>
      </c>
      <c r="C37" s="537"/>
      <c r="D37" s="537"/>
      <c r="E37" s="537"/>
      <c r="F37" s="537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36" t="str">
        <f>+VLOOKUP($A38,Master!$D$29:$G$225,4,FALSE)</f>
        <v>Interests</v>
      </c>
      <c r="C38" s="537"/>
      <c r="D38" s="537"/>
      <c r="E38" s="537"/>
      <c r="F38" s="537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36" t="str">
        <f>+VLOOKUP($A39,Master!$D$29:$G$225,4,FALSE)</f>
        <v>Rent</v>
      </c>
      <c r="C39" s="537"/>
      <c r="D39" s="537"/>
      <c r="E39" s="537"/>
      <c r="F39" s="537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36" t="str">
        <f>+VLOOKUP($A40,Master!$D$29:$G$225,4,FALSE)</f>
        <v>Subsidies</v>
      </c>
      <c r="C40" s="537"/>
      <c r="D40" s="537"/>
      <c r="E40" s="537"/>
      <c r="F40" s="537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36" t="str">
        <f>+VLOOKUP($A41,Master!$D$29:$G$225,4,FALSE)</f>
        <v>Other expenditures</v>
      </c>
      <c r="C41" s="537"/>
      <c r="D41" s="537"/>
      <c r="E41" s="537"/>
      <c r="F41" s="537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36" t="e">
        <f>+VLOOKUP($A42,Master!$D$29:$G$225,4,FALSE)</f>
        <v>#N/A</v>
      </c>
      <c r="C42" s="537"/>
      <c r="D42" s="537"/>
      <c r="E42" s="537"/>
      <c r="F42" s="537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32" t="str">
        <f>+VLOOKUP($A43,Master!$D$29:$G$225,4,FALSE)</f>
        <v>Social Security Transfers</v>
      </c>
      <c r="C43" s="533"/>
      <c r="D43" s="533"/>
      <c r="E43" s="533"/>
      <c r="F43" s="533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36" t="str">
        <f>+VLOOKUP($A44,Master!$D$29:$G$225,4,FALSE)</f>
        <v>Social Security</v>
      </c>
      <c r="C44" s="537"/>
      <c r="D44" s="537"/>
      <c r="E44" s="537"/>
      <c r="F44" s="537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36" t="str">
        <f>+VLOOKUP($A45,Master!$D$29:$G$225,4,FALSE)</f>
        <v>Funds for redundant labor</v>
      </c>
      <c r="C45" s="537"/>
      <c r="D45" s="537"/>
      <c r="E45" s="537"/>
      <c r="F45" s="537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36" t="str">
        <f>+VLOOKUP($A46,Master!$D$29:$G$225,4,FALSE)</f>
        <v>Pension and Disability Insurance</v>
      </c>
      <c r="C46" s="537"/>
      <c r="D46" s="537"/>
      <c r="E46" s="537"/>
      <c r="F46" s="537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36" t="str">
        <f>+VLOOKUP($A47,Master!$D$29:$G$225,4,FALSE)</f>
        <v>Other Health Care Transfers</v>
      </c>
      <c r="C47" s="537"/>
      <c r="D47" s="537"/>
      <c r="E47" s="537"/>
      <c r="F47" s="537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36" t="str">
        <f>+VLOOKUP($A48,Master!$D$29:$G$225,4,FALSE)</f>
        <v>Other Health Care Insurance</v>
      </c>
      <c r="C48" s="537"/>
      <c r="D48" s="537"/>
      <c r="E48" s="537"/>
      <c r="F48" s="537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34" t="str">
        <f>+VLOOKUP($A49,Master!$D$29:$G$225,4,FALSE)</f>
        <v xml:space="preserve">Transfers to Institutions, Individuals, NGO and Public Sector </v>
      </c>
      <c r="C49" s="535"/>
      <c r="D49" s="535"/>
      <c r="E49" s="535"/>
      <c r="F49" s="535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34" t="str">
        <f>+VLOOKUP($A50,Master!$D$29:$G$225,4,FALSE)</f>
        <v>Capital Expenditure</v>
      </c>
      <c r="C50" s="535"/>
      <c r="D50" s="535"/>
      <c r="E50" s="535"/>
      <c r="F50" s="535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04" t="str">
        <f>+VLOOKUP($A51,Master!$D$29:$G$225,4,FALSE)</f>
        <v>Credits and Borrowings</v>
      </c>
      <c r="C51" s="505"/>
      <c r="D51" s="505"/>
      <c r="E51" s="505"/>
      <c r="F51" s="505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04" t="str">
        <f>+VLOOKUP($A52,Master!$D$29:$G$225,4,FALSE)</f>
        <v>Reserves</v>
      </c>
      <c r="C52" s="505"/>
      <c r="D52" s="505"/>
      <c r="E52" s="505"/>
      <c r="F52" s="505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22" t="str">
        <f>+VLOOKUP($A53,Master!$D$29:$G$225,4,FALSE)</f>
        <v>Repayment of Guarantees</v>
      </c>
      <c r="C53" s="523"/>
      <c r="D53" s="523"/>
      <c r="E53" s="523"/>
      <c r="F53" s="523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22" t="str">
        <f>+VLOOKUP($A54,Master!$D$29:$G$225,4,FALSE)</f>
        <v>Repayments of liabilities form the previous period</v>
      </c>
      <c r="C54" s="523"/>
      <c r="D54" s="523"/>
      <c r="E54" s="523"/>
      <c r="F54" s="523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22" t="str">
        <f>+VLOOKUP($A55,Master!$D$29:$G$227,4,FALSE)</f>
        <v>Net increase of liabilities</v>
      </c>
      <c r="C55" s="523"/>
      <c r="D55" s="523"/>
      <c r="E55" s="523"/>
      <c r="F55" s="523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28" t="str">
        <f>+VLOOKUP($A56,Master!$D$29:$G$225,4,FALSE)</f>
        <v>Surplus / deficit</v>
      </c>
      <c r="C56" s="529"/>
      <c r="D56" s="529"/>
      <c r="E56" s="529"/>
      <c r="F56" s="529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30" t="str">
        <f>+VLOOKUP($A57,Master!$D$29:$G$225,4,FALSE)</f>
        <v>Primary surplus/deficit</v>
      </c>
      <c r="C57" s="531"/>
      <c r="D57" s="531"/>
      <c r="E57" s="531"/>
      <c r="F57" s="531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32" t="str">
        <f>+VLOOKUP($A58,Master!$D$29:$G$225,4,FALSE)</f>
        <v>Repayment of Debt</v>
      </c>
      <c r="C58" s="533"/>
      <c r="D58" s="533"/>
      <c r="E58" s="533"/>
      <c r="F58" s="533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20" t="str">
        <f>+VLOOKUP($A59,Master!$D$29:$G$225,4,FALSE)</f>
        <v>Repayment of Domestic Debt</v>
      </c>
      <c r="C59" s="521"/>
      <c r="D59" s="521"/>
      <c r="E59" s="521"/>
      <c r="F59" s="521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04" t="str">
        <f>+VLOOKUP($A60,Master!$D$29:$G$225,4,FALSE)</f>
        <v>Repayment of Foreign Debt</v>
      </c>
      <c r="C60" s="505"/>
      <c r="D60" s="505"/>
      <c r="E60" s="505"/>
      <c r="F60" s="505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Repayments of liabilities form the previous period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24" t="str">
        <f>+VLOOKUP($A62,Master!$D$29:$G$225,4,FALSE)</f>
        <v>Financing needs</v>
      </c>
      <c r="C62" s="525"/>
      <c r="D62" s="525"/>
      <c r="E62" s="525"/>
      <c r="F62" s="525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26" t="str">
        <f>+VLOOKUP($A63,Master!$D$29:$G$225,4,FALSE)</f>
        <v>Financing</v>
      </c>
      <c r="C63" s="527"/>
      <c r="D63" s="527"/>
      <c r="E63" s="527"/>
      <c r="F63" s="527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20" t="str">
        <f>+VLOOKUP($A64,Master!$D$29:$G$225,4,FALSE)</f>
        <v>Domestic Loans and Borrowings</v>
      </c>
      <c r="C64" s="521"/>
      <c r="D64" s="521"/>
      <c r="E64" s="521"/>
      <c r="F64" s="521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04" t="str">
        <f>+VLOOKUP($A65,Master!$D$29:$G$225,4,FALSE)</f>
        <v>Foreign Loans and Borrowings</v>
      </c>
      <c r="C65" s="505"/>
      <c r="D65" s="505"/>
      <c r="E65" s="505"/>
      <c r="F65" s="505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04" t="str">
        <f>+VLOOKUP($A66,Master!$D$29:$G$225,4,FALSE)</f>
        <v>Revenues from Selling Assets</v>
      </c>
      <c r="C66" s="505"/>
      <c r="D66" s="505"/>
      <c r="E66" s="505"/>
      <c r="F66" s="505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Increase / decrease of deposits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245" activePane="bottomLeft" state="frozen"/>
      <selection pane="bottomLeft" activeCell="E253" sqref="E253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2</v>
      </c>
      <c r="C2" s="56" t="s">
        <v>0</v>
      </c>
    </row>
    <row r="3" spans="2:7" ht="15.75" thickBot="1">
      <c r="B3" s="260">
        <v>2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Engleski</v>
      </c>
    </row>
    <row r="4" spans="2:7" ht="15.75" thickBot="1">
      <c r="B4" s="260">
        <v>2022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Montenegro</v>
      </c>
    </row>
    <row r="7" spans="2:7">
      <c r="E7" s="11" t="s">
        <v>806</v>
      </c>
      <c r="F7" s="12" t="s">
        <v>807</v>
      </c>
      <c r="G7" s="52" t="str">
        <f t="shared" si="0"/>
        <v>Ministry of Finance and social welfare</v>
      </c>
    </row>
    <row r="8" spans="2:7">
      <c r="D8" s="43"/>
      <c r="E8" s="33" t="s">
        <v>771</v>
      </c>
      <c r="F8" s="34" t="s">
        <v>805</v>
      </c>
      <c r="G8" s="53" t="str">
        <f t="shared" si="0"/>
        <v>Directorate for State Budget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Analytics Tab</v>
      </c>
    </row>
    <row r="11" spans="2:7">
      <c r="D11" s="350"/>
      <c r="E11" s="11" t="s">
        <v>826</v>
      </c>
      <c r="F11" s="12" t="s">
        <v>827</v>
      </c>
      <c r="G11" s="52" t="str">
        <f>+IF(ISBLANK(IF($B$2=1,E11,F11)),"",IF($B$2=1,E11,F11))</f>
        <v>Montly Data 2021</v>
      </c>
    </row>
    <row r="12" spans="2:7">
      <c r="D12" s="350"/>
      <c r="E12" s="11" t="s">
        <v>789</v>
      </c>
      <c r="F12" s="12" t="s">
        <v>790</v>
      </c>
      <c r="G12" s="52" t="str">
        <f t="shared" si="0"/>
        <v>Montly Data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Montly Data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Montly Data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Montly Data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Montly Data 2016</v>
      </c>
    </row>
    <row r="17" spans="2:7">
      <c r="E17" s="11" t="s">
        <v>689</v>
      </c>
      <c r="F17" s="12" t="s">
        <v>690</v>
      </c>
      <c r="G17" s="52" t="str">
        <f t="shared" si="0"/>
        <v>Montly Data 2015</v>
      </c>
    </row>
    <row r="18" spans="2:7">
      <c r="E18" s="11" t="s">
        <v>10</v>
      </c>
      <c r="F18" s="12" t="s">
        <v>11</v>
      </c>
      <c r="G18" s="52" t="str">
        <f t="shared" si="0"/>
        <v>Montly Data 2014</v>
      </c>
    </row>
    <row r="19" spans="2:7">
      <c r="E19" s="11" t="s">
        <v>12</v>
      </c>
      <c r="F19" s="12" t="s">
        <v>13</v>
      </c>
      <c r="G19" s="52" t="str">
        <f t="shared" si="0"/>
        <v>Montly Data 2013</v>
      </c>
    </row>
    <row r="20" spans="2:7">
      <c r="E20" s="11" t="s">
        <v>738</v>
      </c>
      <c r="F20" s="12" t="s">
        <v>739</v>
      </c>
      <c r="G20" s="52" t="str">
        <f t="shared" si="0"/>
        <v>Montly Data 2012</v>
      </c>
    </row>
    <row r="21" spans="2:7">
      <c r="E21" s="11" t="s">
        <v>740</v>
      </c>
      <c r="F21" s="12" t="s">
        <v>741</v>
      </c>
      <c r="G21" s="52" t="str">
        <f t="shared" si="0"/>
        <v>Montly Data 2011</v>
      </c>
    </row>
    <row r="22" spans="2:7">
      <c r="E22" s="11" t="s">
        <v>14</v>
      </c>
      <c r="F22" s="12" t="s">
        <v>404</v>
      </c>
      <c r="G22" s="52" t="str">
        <f t="shared" si="0"/>
        <v>Historical Data, since 2006</v>
      </c>
    </row>
    <row r="23" spans="2:7">
      <c r="E23" s="11" t="s">
        <v>15</v>
      </c>
      <c r="F23" s="12" t="s">
        <v>16</v>
      </c>
      <c r="G23" s="52" t="str">
        <f t="shared" si="0"/>
        <v>Public Debt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Execution</v>
      </c>
    </row>
    <row r="26" spans="2:7">
      <c r="D26" s="43"/>
      <c r="E26" s="33" t="s">
        <v>414</v>
      </c>
      <c r="F26" s="34" t="s">
        <v>415</v>
      </c>
      <c r="G26" s="53" t="str">
        <f t="shared" si="0"/>
        <v>Welcome tab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Total Revenues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Current Revenues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Taxes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Personal Income Tax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Corporate Income Tax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 xml:space="preserve">Taxes on Sales of Property 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Value Added Tax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Excises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Tax on International Trade and Transactions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Other Republic Taxes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Contributions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Contributions for Pension and Disability Insurance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Contributions for Health Insurance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Contributions for  Unemployment Insurance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Other contributions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Duties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Administrative Duties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Court Duties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Residential Duties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Registration Duties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Local Duties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Other duties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Fees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Fees for Use of Goods of Common Interest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Fees for Use of Natural Resources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Ecological Fees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Fees for Organizing Games of Chance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Fees for Usage of Construction Land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Fees for Regulation and Upkeep of Construction Land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>Fees for Construction and Upkeep of Local Roads and Other Local Facilities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Road fees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Other fees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Other revenues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Revenues from Capital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Fines and Seized Property Gains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Revenues from Government Body Activities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Self contributions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Other Revenues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Revenues from Selling Assets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Revenues from Selling Non-Financial Assets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Revenues from Selling Financial Assets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Receipts from Repayment of Loans and Funds Carried over from Previous Year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Receipts from Repayment of Loans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Funds Carried over from Previous Year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Grants and Transfers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Grants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Transfers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>Loans and borrowings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Loans and borrowings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Domestic Loans and Borrowings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Foreign Loans and Borrowings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Total Expenditures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Current Budgetary Consumption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Current Expenditures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Gross Salaries and Contributions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 Salaries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Personal Income Tax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Contributions Charged to Employee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Contributions Charged to Employer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Surtax on PIT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Other Personal Income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Compensation for Meals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Compensation for Living Costs and Separate Living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Compensation for Transport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Annual awards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Compensation for Early Retirement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Parliament Members Compensation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Other Compensations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 xml:space="preserve">Other 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Expenditures for Supplies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Administrative Supplies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Health Protection Supplies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Special Supplies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Expenditures for Energy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Expenditures for Fuel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Other Expenditures for Supplies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Expenditures for Services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Business trips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Representation Costs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Communication Services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 Services and FX Conversion Loss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Transport Services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Legal Services (lawyers, notars and others)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Consultancy Services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Professional Training Services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Other Services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Current Maintenance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Current Maintenance of Public Infrastructure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Current Maintenance of Buildings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Current Maintenance of Equipment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Interests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Interests on Domestic Debt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Interests on Foreign Debt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Rent of Real Estate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Rent of Equipment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Rent of Property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Subsidies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Production and Services Subsidies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Export Subsidies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Import Subsidies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Other expenditures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 xml:space="preserve">Expenditures for Service Contracts 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Expenditures for Judicial Proceeding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Expenditures for Software Maintenance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Insurance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Contribution for Domestic and International Institutions Membership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Utility Charges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Penalties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Fees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Others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Social Security Transfers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Social Security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Children benefits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Veteran and disability benefits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Assistance for the Family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Maternity leave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Care and Assistance Benefits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Pre-school Meal Plans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Support to Nurse Homes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Other rights from social protection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Funds for redundant labor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Guaranteed Earnings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Redundant Labor Benefits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Additional Insurance Payment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Compensation to Unemployed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Other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Pension and Disability Insurance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Age pension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Disability pension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Family pension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Compensations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Addendums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Other rughts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Contribution to Health Protection of Pensioners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Other Health Care Transfers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Health Treatment Abroad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Other Health Care Insurance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Orthopedic Devices and Supplies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 xml:space="preserve">Compensation for Health Leave 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Compensation for Travel Costs of Insured Person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Transfers to Institutions, Individuals, NGO and Public Sector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Transfers to Institutions, Individuals, NGO and Public Sector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>Transfers for Health Protection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 for Education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Transfers for Culture and Sports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Transfers to NGOs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Transfers to Political Parties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Transfers for Non-refundable Social Help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Trasfers for Intern's Salary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Other Transfers to Individuals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Other Transfers to Institutions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>Other Transfers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Transfers to Fund for Pension and Disability Insurance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Transfers to Health Fund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Transfers to Employment Fund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Transfers to Municipalities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Transfers to State Budget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Transfers to State Owned Enterprises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Capital Expenditure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Capital Expenditure for Public Infrastructure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Capital Expenditure for Local Infrastructure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Capital Expenditure for Building Construction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Capital Expenditure for Land Construction/Improvement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Capital Expenditure for Equipment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Capital Expenditure for Investment Upkeep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Capital Expenditure for Stock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Capital Expenditure for Securities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Other Capital Expenditure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Credits and Borrowings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Credits and Borrowings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Credits and Borrowings to Non-Financial Institutions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Credits and Borrowings to Financial Institutions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Credits and Borrowings to Individuals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Credits and Borrowings to Municipalities and State Funds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Other Credits and Borrowings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Repayment of Debt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Repayment of Debt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Repayment of Domestic Debt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Repayment of Foreign Debt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Repayment of Guarantees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Repayment of Domestic Guarantees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Repayment of Foreign Guarantees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Repayments of liabilities form the previous period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Reserves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Current Budget Reserve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Permanent Budget Reserve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Other Reserves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Surplus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Primary surplus/deficit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 xml:space="preserve"> </v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Financing needs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Financing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Increase / decrease of deposits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 increase of liabilities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January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February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March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May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June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July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August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September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October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November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December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February</v>
      </c>
    </row>
    <row r="245" spans="4:7">
      <c r="D245" s="49"/>
      <c r="E245" s="9"/>
      <c r="F245" s="10"/>
      <c r="G245" s="52" t="str">
        <f>+CONCATENATE("Jan - ",LEFT(G244,3))</f>
        <v>Jan - Feb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GDP</v>
      </c>
    </row>
    <row r="249" spans="4:7">
      <c r="D249" s="46"/>
      <c r="E249" s="9"/>
      <c r="F249" s="10"/>
      <c r="G249" s="52" t="str">
        <f>+CONCATENATE("% ",G248)</f>
        <v>% GDP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Budget Execution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Planned Budget Execution</v>
      </c>
    </row>
    <row r="253" spans="4:7">
      <c r="D253" s="46"/>
      <c r="E253" s="9" t="str">
        <f>+CONCATENATE("Analitika za period ",G245)</f>
        <v>Analitika za period Jan - Feb</v>
      </c>
      <c r="F253" s="10" t="str">
        <f>+CONCATENATE("Analytics for period ",G245)</f>
        <v>Analytics for period Jan - Feb</v>
      </c>
      <c r="G253" s="52" t="str">
        <f>+IF(ISBLANK(IF($B$2=1,E253,F253)),"",IF($B$2=1,E253,F253))</f>
        <v>Analytics for period Jan - Feb</v>
      </c>
    </row>
    <row r="254" spans="4:7">
      <c r="D254" s="46"/>
      <c r="E254" s="9" t="str">
        <f>+CONCATENATE("Analitika za period ",G244)</f>
        <v>Analitika za period February</v>
      </c>
      <c r="F254" s="10" t="str">
        <f>+CONCATENATE("Analytics for period ",G244)</f>
        <v>Analytics for period February</v>
      </c>
      <c r="G254" s="52" t="str">
        <f>+IF(ISBLANK(IF($B$2=1,E254,F254)),"",IF($B$2=1,E254,F254))</f>
        <v>Analytics for period February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Execution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Deviation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Budget realization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Revenues for February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Expenditures for February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Deficit for February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Revenues for period January - February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Expenditures for period January - February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Surplus/Deficit for period January - February</v>
      </c>
    </row>
    <row r="277" spans="5:7">
      <c r="E277" s="9" t="s">
        <v>409</v>
      </c>
      <c r="F277" s="10" t="s">
        <v>410</v>
      </c>
      <c r="G277" s="52" t="str">
        <f t="shared" si="3"/>
        <v>Public debt (% GDP)</v>
      </c>
    </row>
    <row r="279" spans="5:7">
      <c r="E279" s="9" t="s">
        <v>407</v>
      </c>
      <c r="F279" s="10" t="s">
        <v>408</v>
      </c>
      <c r="G279" s="52" t="str">
        <f t="shared" si="3"/>
        <v>Breakdown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Contact: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C1:L32"/>
  <sheetViews>
    <sheetView showRowColHeaders="0" zoomScaleNormal="100" workbookViewId="0">
      <pane ySplit="5" topLeftCell="A6" activePane="bottomLeft" state="frozen"/>
      <selection activeCell="DK219" sqref="DK219"/>
      <selection pane="bottomLeft" activeCell="H12" sqref="H12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Montenegro</v>
      </c>
      <c r="I2" s="129"/>
    </row>
    <row r="3" spans="3:11" s="126" customFormat="1">
      <c r="E3" s="129" t="str">
        <f>+Master!G7</f>
        <v>Ministry of Finance and social welfare</v>
      </c>
    </row>
    <row r="4" spans="3:11" s="126" customFormat="1">
      <c r="E4" s="129" t="str">
        <f>+Master!G8</f>
        <v>Directorate for State Budget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Revenues for February</v>
      </c>
      <c r="E11" s="135"/>
      <c r="F11" s="135"/>
      <c r="G11" s="137" t="str">
        <f>+Master!G273</f>
        <v>Revenues for period January - February</v>
      </c>
      <c r="H11" s="135"/>
      <c r="I11" s="135"/>
      <c r="J11" s="135"/>
      <c r="K11" s="136"/>
    </row>
    <row r="12" spans="3:11">
      <c r="C12" s="134"/>
      <c r="D12" s="138">
        <f>+'Analytics 2022'!N10</f>
        <v>124160048.79000001</v>
      </c>
      <c r="E12" s="455">
        <f>+D12/'2022'!T7</f>
        <v>2.3398169906151064E-2</v>
      </c>
      <c r="F12" s="135"/>
      <c r="G12" s="138">
        <f>+'Analytics 2022'!G10</f>
        <v>231963965.22</v>
      </c>
      <c r="H12" s="455">
        <f>+G12/'2022'!T7</f>
        <v>4.3713999174581637E-2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GDP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Expenditures for February</v>
      </c>
      <c r="E15" s="135"/>
      <c r="F15" s="135"/>
      <c r="G15" s="137" t="str">
        <f>+Master!G274</f>
        <v>Expenditures for period January - February</v>
      </c>
      <c r="H15" s="135"/>
      <c r="I15" s="135"/>
      <c r="J15" s="135"/>
      <c r="K15" s="136"/>
    </row>
    <row r="16" spans="3:11">
      <c r="C16" s="134"/>
      <c r="D16" s="138">
        <f>+'Analytics 2022'!N29</f>
        <v>150830698.81999999</v>
      </c>
      <c r="E16" s="455">
        <f>+D16/'2022'!T7</f>
        <v>2.8424298737373736E-2</v>
      </c>
      <c r="F16" s="135"/>
      <c r="G16" s="138">
        <f>+'Analytics 2022'!G29</f>
        <v>286355744.23000002</v>
      </c>
      <c r="H16" s="455">
        <f>+G16/'2022'!T7</f>
        <v>5.3964221360998044E-2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GDP</v>
      </c>
      <c r="F17" s="135"/>
      <c r="G17" s="139" t="s">
        <v>417</v>
      </c>
      <c r="H17" s="139" t="s">
        <v>810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Deficit for February</v>
      </c>
      <c r="E19" s="135"/>
      <c r="F19" s="135"/>
      <c r="G19" s="137" t="str">
        <f>+Master!G275</f>
        <v>Surplus/Deficit for period January - February</v>
      </c>
      <c r="H19" s="135"/>
      <c r="I19" s="135"/>
      <c r="J19" s="135"/>
      <c r="K19" s="136"/>
    </row>
    <row r="20" spans="3:12">
      <c r="C20" s="134"/>
      <c r="D20" s="138">
        <f>+'Analytics 2022'!N53</f>
        <v>-26670650.029999986</v>
      </c>
      <c r="E20" s="455">
        <f>+D20/'2022'!T7</f>
        <v>-5.0261288312226718E-3</v>
      </c>
      <c r="F20" s="135"/>
      <c r="G20" s="138">
        <f>+'Analytics 2022'!G53</f>
        <v>-54391779.00999999</v>
      </c>
      <c r="H20" s="455">
        <f>+G20/'2022'!T7</f>
        <v>-1.0250222186416401E-2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GDP</v>
      </c>
      <c r="F21" s="135"/>
      <c r="G21" s="139" t="s">
        <v>417</v>
      </c>
      <c r="H21" s="139" t="s">
        <v>810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6"/>
    </row>
  </sheetData>
  <sheetProtection algorithmName="SHA-512" hashValue="XJ/nHsSQVf658X63sp4C+XmGfLA9lgifuRM47jkucVL3dnPr33S6QtOB2p5loYcy/eao29ti9LonDKLQf0Kn3g==" saltValue="OLMn0K+ChruyXVfmJ4SOp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70"/>
  <sheetViews>
    <sheetView tabSelected="1" zoomScaleNormal="100" workbookViewId="0">
      <pane ySplit="5" topLeftCell="A6" activePane="bottomLeft" state="frozen"/>
      <selection activeCell="DK219" sqref="DK219"/>
      <selection pane="bottomLeft" activeCell="G10" sqref="G10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59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7109375" style="5" bestFit="1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5"/>
    </row>
    <row r="2" spans="1:20" s="1" customFormat="1">
      <c r="C2" s="2"/>
      <c r="E2" s="3" t="str">
        <f>+Master!G6</f>
        <v>Montenegro</v>
      </c>
      <c r="G2" s="355"/>
      <c r="I2" s="4"/>
      <c r="P2" s="363"/>
    </row>
    <row r="3" spans="1:20" s="1" customFormat="1">
      <c r="B3" s="163"/>
      <c r="E3" s="4" t="str">
        <f>+Master!G7</f>
        <v>Ministry of Finance and social welfare</v>
      </c>
      <c r="G3" s="355"/>
    </row>
    <row r="4" spans="1:20" s="1" customFormat="1">
      <c r="B4" s="163"/>
      <c r="E4" s="4" t="str">
        <f>+Master!G8</f>
        <v>Directorate for State Budget</v>
      </c>
      <c r="G4" s="355"/>
      <c r="H4" s="363"/>
      <c r="I4" s="363"/>
      <c r="J4" s="363"/>
      <c r="P4" s="484"/>
      <c r="Q4" s="484"/>
    </row>
    <row r="5" spans="1:20" s="1" customFormat="1">
      <c r="B5" s="484"/>
      <c r="G5" s="355"/>
      <c r="H5" s="355"/>
      <c r="N5" s="484"/>
      <c r="P5" s="484"/>
    </row>
    <row r="6" spans="1:20" ht="15.75" thickBot="1">
      <c r="A6" s="130"/>
      <c r="B6" s="130"/>
      <c r="C6" s="130"/>
      <c r="D6" s="130"/>
      <c r="E6" s="130"/>
      <c r="F6" s="130"/>
      <c r="G6" s="356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2022-02</v>
      </c>
      <c r="O6" s="143" t="str">
        <f>+CONCATENATE(N6,"p")</f>
        <v>2022-02p</v>
      </c>
      <c r="P6" s="130"/>
      <c r="Q6" s="130"/>
      <c r="R6" s="143" t="str">
        <f>+IF(Master!B3-10&gt;=0,CONCATENATE(Master!B4-1,"-",Master!B3),CONCATENATE(Master!B4-1,"-0",Master!B3))</f>
        <v>2021-02</v>
      </c>
      <c r="S6" s="130"/>
      <c r="T6" s="130"/>
    </row>
    <row r="7" spans="1:20" ht="14.25" customHeight="1">
      <c r="A7" s="144"/>
      <c r="B7" s="506" t="str">
        <f>+Master!G253</f>
        <v>Analytics for period Jan - Feb</v>
      </c>
      <c r="C7" s="507"/>
      <c r="D7" s="507"/>
      <c r="E7" s="507"/>
      <c r="F7" s="507"/>
      <c r="G7" s="515" t="str">
        <f>+Master!G245</f>
        <v>Jan - Feb</v>
      </c>
      <c r="H7" s="516"/>
      <c r="I7" s="516"/>
      <c r="J7" s="516"/>
      <c r="K7" s="516"/>
      <c r="L7" s="516"/>
      <c r="M7" s="517"/>
      <c r="N7" s="518" t="str">
        <f>+Master!G244</f>
        <v>February</v>
      </c>
      <c r="O7" s="516"/>
      <c r="P7" s="516"/>
      <c r="Q7" s="516"/>
      <c r="R7" s="516"/>
      <c r="S7" s="516"/>
      <c r="T7" s="519"/>
    </row>
    <row r="8" spans="1:20">
      <c r="A8" s="144"/>
      <c r="B8" s="508"/>
      <c r="C8" s="509"/>
      <c r="D8" s="509"/>
      <c r="E8" s="509"/>
      <c r="F8" s="510"/>
      <c r="G8" s="357" t="str">
        <f>+Master!G25</f>
        <v>Execution</v>
      </c>
      <c r="H8" s="145" t="str">
        <f>+Master!G24</f>
        <v>Plan</v>
      </c>
      <c r="I8" s="502" t="str">
        <f>+Master!G260</f>
        <v>Deviation</v>
      </c>
      <c r="J8" s="502"/>
      <c r="K8" s="145" t="str">
        <f>+CONCATENATE(Master!G245," ",Master!B4-1)</f>
        <v>Jan - Feb 2021</v>
      </c>
      <c r="L8" s="502" t="str">
        <f>+I8</f>
        <v>Deviation</v>
      </c>
      <c r="M8" s="514"/>
      <c r="N8" s="146" t="str">
        <f>+G8</f>
        <v>Execution</v>
      </c>
      <c r="O8" s="145" t="str">
        <f>+H8</f>
        <v>Plan</v>
      </c>
      <c r="P8" s="502" t="str">
        <f>+I8</f>
        <v>Deviation</v>
      </c>
      <c r="Q8" s="502"/>
      <c r="R8" s="145" t="str">
        <f>+CONCATENATE(Master!G244," ",Master!B4-1)</f>
        <v>February 2021</v>
      </c>
      <c r="S8" s="502" t="str">
        <f>+P8</f>
        <v>Deviation</v>
      </c>
      <c r="T8" s="503"/>
    </row>
    <row r="9" spans="1:20" ht="15.75" thickBot="1">
      <c r="A9" s="144"/>
      <c r="B9" s="511"/>
      <c r="C9" s="512"/>
      <c r="D9" s="512"/>
      <c r="E9" s="512"/>
      <c r="F9" s="513"/>
      <c r="G9" s="358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26" t="str">
        <f>+VLOOKUP($A10,Master!$D$29:$G$225,4,FALSE)</f>
        <v>Total Revenues</v>
      </c>
      <c r="C10" s="527"/>
      <c r="D10" s="527"/>
      <c r="E10" s="527"/>
      <c r="F10" s="527"/>
      <c r="G10" s="151">
        <f>'2022'!S10</f>
        <v>231963965.22</v>
      </c>
      <c r="H10" s="151">
        <f>SUM('2022'!G84:H84)</f>
        <v>216273030.07672074</v>
      </c>
      <c r="I10" s="152">
        <f>+G10-H10</f>
        <v>15690935.143279254</v>
      </c>
      <c r="J10" s="154">
        <f>IF(+IF(ISERROR(G10/H10),"…",G10/H10-1)&gt;200%,"...",IF(ISERROR(G10/H10),"…",G10/H10-1))</f>
        <v>7.255151110479674E-2</v>
      </c>
      <c r="K10" s="151">
        <f>SUM('2021'!G10:H10)</f>
        <v>194247206.59</v>
      </c>
      <c r="L10" s="152">
        <f>+G10-K10</f>
        <v>37716758.629999995</v>
      </c>
      <c r="M10" s="154">
        <f>IF(+IF(ISERROR(G10/K10),"…",G10/K10-1)&gt;200%,"...",IF(ISERROR(G10/K10),"…",G10/K10-1))</f>
        <v>0.19416885983647236</v>
      </c>
      <c r="N10" s="151">
        <f>'2022'!H10</f>
        <v>124160048.79000001</v>
      </c>
      <c r="O10" s="151">
        <f>'2022'!H84</f>
        <v>112389437.34253797</v>
      </c>
      <c r="P10" s="152">
        <f>+N10-O10</f>
        <v>11770611.447462037</v>
      </c>
      <c r="Q10" s="154">
        <f>IF(+IF(ISERROR(N10/O10),"…",N10/O10-1)&gt;200%,"...",IF(ISERROR(N10/O10),"…",N10/O10-1))</f>
        <v>0.10473058434831239</v>
      </c>
      <c r="R10" s="151">
        <f>'2021'!H10</f>
        <v>105602053.27</v>
      </c>
      <c r="S10" s="152">
        <f>+N10-R10</f>
        <v>18557995.520000011</v>
      </c>
      <c r="T10" s="154">
        <f>IF(+IF(ISERROR(N10/R10),"…",N10/R10-1)&gt;200%,"...",IF(ISERROR(N10/R10),"…",N10/R10-1))</f>
        <v>0.1757351769719051</v>
      </c>
    </row>
    <row r="11" spans="1:20">
      <c r="A11" s="150">
        <v>711</v>
      </c>
      <c r="B11" s="550" t="str">
        <f>+VLOOKUP($A11,Master!$D$29:$G$225,4,FALSE)</f>
        <v>Taxes</v>
      </c>
      <c r="C11" s="551"/>
      <c r="D11" s="551"/>
      <c r="E11" s="551"/>
      <c r="F11" s="551"/>
      <c r="G11" s="277">
        <f>'2022'!S11</f>
        <v>163775480.63</v>
      </c>
      <c r="H11" s="277">
        <f>SUM('2022'!G85:H85)</f>
        <v>145725508.30797005</v>
      </c>
      <c r="I11" s="158">
        <f t="shared" ref="I11:I57" si="0">+G11-H11</f>
        <v>18049972.322029948</v>
      </c>
      <c r="J11" s="160">
        <f t="shared" ref="J11:J64" si="1">IF(+IF(ISERROR(G11/H11-1),"…",G11/H11-1)&gt;200%,"...",IF(ISERROR(G11/H11-1),"…",G11/H11-1))</f>
        <v>0.1238628194309257</v>
      </c>
      <c r="K11" s="277">
        <f>SUM('2021'!G11:H11)</f>
        <v>128846486.86000001</v>
      </c>
      <c r="L11" s="158">
        <f>+G11-K11</f>
        <v>34928993.769999981</v>
      </c>
      <c r="M11" s="160">
        <f t="shared" ref="M11:M64" si="2">IF(+IF(ISERROR(G11/K11),"…",G11/K11-1)&gt;200%,"...",IF(ISERROR(G11/K11),"…",G11/K11-1))</f>
        <v>0.27108999726125682</v>
      </c>
      <c r="N11" s="277">
        <f>'2022'!H11</f>
        <v>83215985.099999994</v>
      </c>
      <c r="O11" s="277">
        <f>'2022'!H85</f>
        <v>68739316.006660998</v>
      </c>
      <c r="P11" s="158">
        <f>+N11-O11</f>
        <v>14476669.093338996</v>
      </c>
      <c r="Q11" s="160">
        <f t="shared" ref="Q11:Q64" si="3">IF(+IF(ISERROR(N11/O11),"…",N11/O11-1)&gt;200%,"...",IF(ISERROR(N11/O11),"…",N11/O11-1))</f>
        <v>0.21060246063455401</v>
      </c>
      <c r="R11" s="277">
        <f>'2021'!H11</f>
        <v>61433590.359999999</v>
      </c>
      <c r="S11" s="158">
        <f t="shared" ref="S11:S57" si="4">+N11-R11</f>
        <v>21782394.739999995</v>
      </c>
      <c r="T11" s="160">
        <f t="shared" ref="T11:T64" si="5">IF(+IF(ISERROR(N11/R11),"…",N11/R11-1)&gt;200%,"...",IF(ISERROR(N11/R11),"…",N11/R11-1))</f>
        <v>0.35456815420286292</v>
      </c>
    </row>
    <row r="12" spans="1:20">
      <c r="A12" s="150">
        <v>7111</v>
      </c>
      <c r="B12" s="536" t="str">
        <f>+VLOOKUP($A12,Master!$D$29:$G$225,4,FALSE)</f>
        <v>Personal Income Tax</v>
      </c>
      <c r="C12" s="537"/>
      <c r="D12" s="537"/>
      <c r="E12" s="537"/>
      <c r="F12" s="537"/>
      <c r="G12" s="163">
        <f>'2022'!S12</f>
        <v>13812566.379999999</v>
      </c>
      <c r="H12" s="163">
        <f>SUM('2022'!G86:H86)</f>
        <v>14948455.394691501</v>
      </c>
      <c r="I12" s="164">
        <f t="shared" si="0"/>
        <v>-1135889.0146915019</v>
      </c>
      <c r="J12" s="166">
        <f t="shared" si="1"/>
        <v>-7.5987049143209751E-2</v>
      </c>
      <c r="K12" s="163">
        <f>SUM('2021'!G12:H12)</f>
        <v>12336956.059999999</v>
      </c>
      <c r="L12" s="164">
        <f>+G12-K12</f>
        <v>1475610.3200000003</v>
      </c>
      <c r="M12" s="166">
        <f t="shared" si="2"/>
        <v>0.11960894671452693</v>
      </c>
      <c r="N12" s="163">
        <f>'2022'!H12</f>
        <v>7672775.8099999996</v>
      </c>
      <c r="O12" s="163">
        <f>'2022'!H86</f>
        <v>8911478.3177045882</v>
      </c>
      <c r="P12" s="164">
        <f t="shared" ref="P12:P57" si="6">+N12-O12</f>
        <v>-1238702.5077045886</v>
      </c>
      <c r="Q12" s="166">
        <f t="shared" si="3"/>
        <v>-0.13900078792130788</v>
      </c>
      <c r="R12" s="163">
        <f>'2021'!H12</f>
        <v>8360437.5599999996</v>
      </c>
      <c r="S12" s="164">
        <f t="shared" si="4"/>
        <v>-687661.75</v>
      </c>
      <c r="T12" s="166">
        <f t="shared" si="5"/>
        <v>-8.2251885151331749E-2</v>
      </c>
    </row>
    <row r="13" spans="1:20">
      <c r="A13" s="150">
        <v>7112</v>
      </c>
      <c r="B13" s="536" t="str">
        <f>+VLOOKUP($A13,Master!$D$29:$G$225,4,FALSE)</f>
        <v>Corporate Income Tax</v>
      </c>
      <c r="C13" s="537"/>
      <c r="D13" s="537"/>
      <c r="E13" s="537"/>
      <c r="F13" s="537"/>
      <c r="G13" s="163">
        <f>'2022'!S13</f>
        <v>2569018.79</v>
      </c>
      <c r="H13" s="163">
        <f>SUM('2022'!G87:H87)</f>
        <v>2724391.6589606176</v>
      </c>
      <c r="I13" s="164">
        <f t="shared" si="0"/>
        <v>-155372.86896061758</v>
      </c>
      <c r="J13" s="166">
        <f t="shared" si="1"/>
        <v>-5.7030298286808723E-2</v>
      </c>
      <c r="K13" s="163">
        <f>SUM('2021'!G13:H13)</f>
        <v>2396151.0099999998</v>
      </c>
      <c r="L13" s="164">
        <f t="shared" ref="L13:L57" si="7">+G13-K13</f>
        <v>172867.78000000026</v>
      </c>
      <c r="M13" s="166">
        <f t="shared" si="2"/>
        <v>7.2143942213391821E-2</v>
      </c>
      <c r="N13" s="163">
        <f>'2022'!H13</f>
        <v>2173083.29</v>
      </c>
      <c r="O13" s="163">
        <f>'2022'!H87</f>
        <v>2338219.2077789549</v>
      </c>
      <c r="P13" s="164">
        <f t="shared" si="6"/>
        <v>-165135.91777895484</v>
      </c>
      <c r="Q13" s="166">
        <f t="shared" si="3"/>
        <v>-7.0624651969998786E-2</v>
      </c>
      <c r="R13" s="163">
        <f>'2021'!H13</f>
        <v>1616177.79</v>
      </c>
      <c r="S13" s="164">
        <f t="shared" si="4"/>
        <v>556905.5</v>
      </c>
      <c r="T13" s="166">
        <f t="shared" si="5"/>
        <v>0.34458182970080298</v>
      </c>
    </row>
    <row r="14" spans="1:20">
      <c r="A14" s="150">
        <v>7113</v>
      </c>
      <c r="B14" s="536" t="str">
        <f>+VLOOKUP($A14,Master!$D$29:$G$225,4,FALSE)</f>
        <v xml:space="preserve">Taxes on Sales of Property </v>
      </c>
      <c r="C14" s="537"/>
      <c r="D14" s="537"/>
      <c r="E14" s="537"/>
      <c r="F14" s="537"/>
      <c r="G14" s="163">
        <f>'2022'!S14</f>
        <v>314533.99</v>
      </c>
      <c r="H14" s="163">
        <f>SUM('2022'!G88:H88)</f>
        <v>277562.07143038308</v>
      </c>
      <c r="I14" s="164">
        <f t="shared" si="0"/>
        <v>36971.918569616915</v>
      </c>
      <c r="J14" s="166">
        <f t="shared" si="1"/>
        <v>0.13320234417867871</v>
      </c>
      <c r="K14" s="163">
        <f>SUM('2021'!G14:H14)</f>
        <v>202658.2</v>
      </c>
      <c r="L14" s="164">
        <f t="shared" si="7"/>
        <v>111875.78999999998</v>
      </c>
      <c r="M14" s="166">
        <f t="shared" si="2"/>
        <v>0.55204176292891161</v>
      </c>
      <c r="N14" s="163">
        <f>'2022'!H14</f>
        <v>168193.65</v>
      </c>
      <c r="O14" s="163">
        <f>'2022'!H88</f>
        <v>139962.95471971622</v>
      </c>
      <c r="P14" s="164">
        <f t="shared" si="6"/>
        <v>28230.695280283777</v>
      </c>
      <c r="Q14" s="166">
        <f t="shared" si="3"/>
        <v>0.20170119541143827</v>
      </c>
      <c r="R14" s="163">
        <f>'2021'!H14</f>
        <v>87272.18</v>
      </c>
      <c r="S14" s="164">
        <f t="shared" si="4"/>
        <v>80921.47</v>
      </c>
      <c r="T14" s="166">
        <f t="shared" si="5"/>
        <v>0.9272309915943433</v>
      </c>
    </row>
    <row r="15" spans="1:20">
      <c r="A15" s="150">
        <v>7114</v>
      </c>
      <c r="B15" s="536" t="str">
        <f>+VLOOKUP($A15,Master!$D$29:$G$225,4,FALSE)</f>
        <v>Value Added Tax</v>
      </c>
      <c r="C15" s="537"/>
      <c r="D15" s="537"/>
      <c r="E15" s="537"/>
      <c r="F15" s="537"/>
      <c r="G15" s="163">
        <f>'2022'!S15</f>
        <v>104391454.31999999</v>
      </c>
      <c r="H15" s="163">
        <f>SUM('2022'!G89:H89)</f>
        <v>89000280.498519689</v>
      </c>
      <c r="I15" s="164">
        <f t="shared" si="0"/>
        <v>15391173.821480304</v>
      </c>
      <c r="J15" s="166">
        <f t="shared" si="1"/>
        <v>0.17293399228934225</v>
      </c>
      <c r="K15" s="163">
        <f>SUM('2021'!G15:H15)</f>
        <v>80027746.879999995</v>
      </c>
      <c r="L15" s="164">
        <f t="shared" si="7"/>
        <v>24363707.439999998</v>
      </c>
      <c r="M15" s="166">
        <f t="shared" si="2"/>
        <v>0.30444075198734377</v>
      </c>
      <c r="N15" s="163">
        <f>'2022'!H15</f>
        <v>54121445.460000001</v>
      </c>
      <c r="O15" s="163">
        <f>'2022'!H89</f>
        <v>40002470.340359561</v>
      </c>
      <c r="P15" s="164">
        <f t="shared" si="6"/>
        <v>14118975.11964044</v>
      </c>
      <c r="Q15" s="166">
        <f t="shared" si="3"/>
        <v>0.35295258016591613</v>
      </c>
      <c r="R15" s="163">
        <f>'2021'!H15</f>
        <v>35917952.619999997</v>
      </c>
      <c r="S15" s="164">
        <f t="shared" si="4"/>
        <v>18203492.840000004</v>
      </c>
      <c r="T15" s="166">
        <f t="shared" si="5"/>
        <v>0.50680764108653142</v>
      </c>
    </row>
    <row r="16" spans="1:20">
      <c r="A16" s="150">
        <v>7115</v>
      </c>
      <c r="B16" s="536" t="str">
        <f>+VLOOKUP($A16,Master!$D$29:$G$225,4,FALSE)</f>
        <v>Excises</v>
      </c>
      <c r="C16" s="537"/>
      <c r="D16" s="537"/>
      <c r="E16" s="537"/>
      <c r="F16" s="537"/>
      <c r="G16" s="163">
        <f>'2022'!S16</f>
        <v>37159405.539999999</v>
      </c>
      <c r="H16" s="163">
        <f>SUM('2022'!G90:H90)</f>
        <v>33911082.729333594</v>
      </c>
      <c r="I16" s="164">
        <f t="shared" si="0"/>
        <v>3248322.8106664047</v>
      </c>
      <c r="J16" s="166">
        <f t="shared" si="1"/>
        <v>9.5789416002826533E-2</v>
      </c>
      <c r="K16" s="163">
        <f>SUM('2021'!G16:H16)</f>
        <v>29522355.509999998</v>
      </c>
      <c r="L16" s="164">
        <f t="shared" si="7"/>
        <v>7637050.0300000012</v>
      </c>
      <c r="M16" s="166">
        <f t="shared" si="2"/>
        <v>0.25868701524894022</v>
      </c>
      <c r="N16" s="163">
        <f>'2022'!H16</f>
        <v>16062530.34</v>
      </c>
      <c r="O16" s="163">
        <f>'2022'!H90</f>
        <v>14888833.871354572</v>
      </c>
      <c r="P16" s="164">
        <f t="shared" si="6"/>
        <v>1173696.4686454274</v>
      </c>
      <c r="Q16" s="166">
        <f t="shared" si="3"/>
        <v>7.8830651130009866E-2</v>
      </c>
      <c r="R16" s="163">
        <f>'2021'!H16</f>
        <v>13163287.779999999</v>
      </c>
      <c r="S16" s="164">
        <f t="shared" si="4"/>
        <v>2899242.5600000005</v>
      </c>
      <c r="T16" s="166">
        <f t="shared" si="5"/>
        <v>0.22025215952545252</v>
      </c>
    </row>
    <row r="17" spans="1:20">
      <c r="A17" s="150">
        <v>7116</v>
      </c>
      <c r="B17" s="536" t="str">
        <f>+VLOOKUP($A17,Master!$D$29:$G$225,4,FALSE)</f>
        <v>Tax on International Trade and Transactions</v>
      </c>
      <c r="C17" s="537"/>
      <c r="D17" s="537"/>
      <c r="E17" s="537"/>
      <c r="F17" s="537"/>
      <c r="G17" s="163">
        <f>'2022'!S17</f>
        <v>3838514.43</v>
      </c>
      <c r="H17" s="163">
        <f>SUM('2022'!G91:H91)</f>
        <v>3285090.6081058402</v>
      </c>
      <c r="I17" s="164">
        <f t="shared" si="0"/>
        <v>553423.82189416001</v>
      </c>
      <c r="J17" s="166">
        <f t="shared" si="1"/>
        <v>0.16846531432911083</v>
      </c>
      <c r="K17" s="163">
        <f>SUM('2021'!G17:H17)</f>
        <v>2809692.8600000003</v>
      </c>
      <c r="L17" s="164">
        <f t="shared" si="7"/>
        <v>1028821.5699999998</v>
      </c>
      <c r="M17" s="166">
        <f t="shared" si="2"/>
        <v>0.36616869574847399</v>
      </c>
      <c r="N17" s="163">
        <f>'2022'!H17</f>
        <v>2149003.6</v>
      </c>
      <c r="O17" s="163">
        <f>'2022'!H91</f>
        <v>1703130.706570718</v>
      </c>
      <c r="P17" s="164">
        <f t="shared" si="6"/>
        <v>445872.89342928212</v>
      </c>
      <c r="Q17" s="166">
        <f t="shared" si="3"/>
        <v>0.26179605106589543</v>
      </c>
      <c r="R17" s="163">
        <f>'2021'!H17</f>
        <v>1543418.52</v>
      </c>
      <c r="S17" s="164">
        <f t="shared" si="4"/>
        <v>605585.08000000007</v>
      </c>
      <c r="T17" s="166">
        <f t="shared" si="5"/>
        <v>0.39236608356883007</v>
      </c>
    </row>
    <row r="18" spans="1:20">
      <c r="A18" s="150">
        <v>7118</v>
      </c>
      <c r="B18" s="536" t="str">
        <f>+VLOOKUP($A18,Master!$D$29:$G$225,4,FALSE)</f>
        <v>Other Republic Taxes</v>
      </c>
      <c r="C18" s="537"/>
      <c r="D18" s="537"/>
      <c r="E18" s="537"/>
      <c r="F18" s="537"/>
      <c r="G18" s="163">
        <f>'2022'!S18</f>
        <v>1689987.18</v>
      </c>
      <c r="H18" s="163">
        <f>SUM('2022'!G92:H92)</f>
        <v>1578645.346928433</v>
      </c>
      <c r="I18" s="164">
        <f t="shared" si="0"/>
        <v>111341.83307156689</v>
      </c>
      <c r="J18" s="166">
        <f t="shared" si="1"/>
        <v>7.052998527389609E-2</v>
      </c>
      <c r="K18" s="163">
        <f>SUM('2021'!G18:H18)</f>
        <v>1550926.34</v>
      </c>
      <c r="L18" s="164">
        <f t="shared" si="7"/>
        <v>139060.83999999985</v>
      </c>
      <c r="M18" s="166">
        <f t="shared" si="2"/>
        <v>8.9663084837413809E-2</v>
      </c>
      <c r="N18" s="163">
        <f>'2022'!H18</f>
        <v>868952.95</v>
      </c>
      <c r="O18" s="163">
        <f>'2022'!H92</f>
        <v>755220.60817287723</v>
      </c>
      <c r="P18" s="164">
        <f t="shared" si="6"/>
        <v>113732.34182712273</v>
      </c>
      <c r="Q18" s="166">
        <f t="shared" si="3"/>
        <v>0.15059486009297074</v>
      </c>
      <c r="R18" s="163">
        <f>'2021'!H18</f>
        <v>745043.91</v>
      </c>
      <c r="S18" s="164">
        <f t="shared" si="4"/>
        <v>123909.03999999992</v>
      </c>
      <c r="T18" s="166">
        <f t="shared" si="5"/>
        <v>0.16631105675368851</v>
      </c>
    </row>
    <row r="19" spans="1:20">
      <c r="A19" s="150">
        <v>712</v>
      </c>
      <c r="B19" s="538" t="str">
        <f>+VLOOKUP($A19,Master!$D$29:$G$225,4,FALSE)</f>
        <v>Contributions</v>
      </c>
      <c r="C19" s="539"/>
      <c r="D19" s="539"/>
      <c r="E19" s="539"/>
      <c r="F19" s="539"/>
      <c r="G19" s="169">
        <f>'2022'!S19</f>
        <v>46716096.149999999</v>
      </c>
      <c r="H19" s="169">
        <f>SUM('2022'!G93:H93)</f>
        <v>50316433.119868755</v>
      </c>
      <c r="I19" s="170">
        <f t="shared" si="0"/>
        <v>-3600336.9698687568</v>
      </c>
      <c r="J19" s="172">
        <f t="shared" si="1"/>
        <v>-7.1553898927844917E-2</v>
      </c>
      <c r="K19" s="169">
        <f>SUM('2021'!G19:H19)</f>
        <v>53049105.019999996</v>
      </c>
      <c r="L19" s="170">
        <f t="shared" si="7"/>
        <v>-6333008.8699999973</v>
      </c>
      <c r="M19" s="172">
        <f t="shared" si="2"/>
        <v>-0.11938012653771246</v>
      </c>
      <c r="N19" s="169">
        <f>'2022'!H19</f>
        <v>34984293.990000002</v>
      </c>
      <c r="O19" s="169">
        <f>'2022'!H93</f>
        <v>35577399.162559882</v>
      </c>
      <c r="P19" s="170">
        <f t="shared" si="6"/>
        <v>-593105.17255987972</v>
      </c>
      <c r="Q19" s="172">
        <f t="shared" si="3"/>
        <v>-1.66708412228187E-2</v>
      </c>
      <c r="R19" s="169">
        <f>'2021'!H19</f>
        <v>37116900.719999999</v>
      </c>
      <c r="S19" s="170">
        <f t="shared" si="4"/>
        <v>-2132606.7299999967</v>
      </c>
      <c r="T19" s="172">
        <f t="shared" si="5"/>
        <v>-5.7456487169761594E-2</v>
      </c>
    </row>
    <row r="20" spans="1:20">
      <c r="A20" s="150">
        <v>7121</v>
      </c>
      <c r="B20" s="536" t="str">
        <f>+VLOOKUP($A20,Master!$D$29:$G$225,4,FALSE)</f>
        <v>Contributions for Pension and Disability Insurance</v>
      </c>
      <c r="C20" s="537"/>
      <c r="D20" s="537"/>
      <c r="E20" s="537"/>
      <c r="F20" s="537"/>
      <c r="G20" s="163">
        <f>'2022'!S20</f>
        <v>31917057.960000001</v>
      </c>
      <c r="H20" s="163">
        <f>SUM('2022'!G94:H94)</f>
        <v>41189792.519015968</v>
      </c>
      <c r="I20" s="164">
        <f t="shared" si="0"/>
        <v>-9272734.559015967</v>
      </c>
      <c r="J20" s="166">
        <f t="shared" si="1"/>
        <v>-0.22512214779268558</v>
      </c>
      <c r="K20" s="163">
        <f>SUM('2021'!G20:H20)</f>
        <v>32945073.870000001</v>
      </c>
      <c r="L20" s="164">
        <f t="shared" si="7"/>
        <v>-1028015.9100000001</v>
      </c>
      <c r="M20" s="166">
        <f t="shared" si="2"/>
        <v>-3.1203933979826903E-2</v>
      </c>
      <c r="N20" s="163">
        <f>'2022'!H20</f>
        <v>24366605.109999999</v>
      </c>
      <c r="O20" s="163">
        <f>'2022'!H94</f>
        <v>31694621.356915068</v>
      </c>
      <c r="P20" s="164">
        <f t="shared" si="6"/>
        <v>-7328016.2469150685</v>
      </c>
      <c r="Q20" s="166">
        <f t="shared" si="3"/>
        <v>-0.23120693458974728</v>
      </c>
      <c r="R20" s="163">
        <f>'2021'!H20</f>
        <v>22994578.370000001</v>
      </c>
      <c r="S20" s="164">
        <f t="shared" si="4"/>
        <v>1372026.7399999984</v>
      </c>
      <c r="T20" s="166">
        <f t="shared" si="5"/>
        <v>5.9667401503217921E-2</v>
      </c>
    </row>
    <row r="21" spans="1:20">
      <c r="A21" s="150">
        <v>7122</v>
      </c>
      <c r="B21" s="536" t="str">
        <f>+VLOOKUP($A21,Master!$D$29:$G$225,4,FALSE)</f>
        <v>Contributions for Health Insurance</v>
      </c>
      <c r="C21" s="537"/>
      <c r="D21" s="537"/>
      <c r="E21" s="537"/>
      <c r="F21" s="537"/>
      <c r="G21" s="163">
        <f>'2022'!S21</f>
        <v>12433903.09</v>
      </c>
      <c r="H21" s="163">
        <f>SUM('2022'!G95:H95)</f>
        <v>5604429.2328635976</v>
      </c>
      <c r="I21" s="164">
        <f t="shared" si="0"/>
        <v>6829473.8571364023</v>
      </c>
      <c r="J21" s="166">
        <f t="shared" si="1"/>
        <v>1.2185850821506161</v>
      </c>
      <c r="K21" s="163">
        <f>SUM('2021'!G21:H21)</f>
        <v>17267141.350000001</v>
      </c>
      <c r="L21" s="164">
        <f t="shared" si="7"/>
        <v>-4833238.2600000016</v>
      </c>
      <c r="M21" s="166">
        <f t="shared" si="2"/>
        <v>-0.27990957866340749</v>
      </c>
      <c r="N21" s="163">
        <f>'2022'!H21</f>
        <v>8815681.4700000007</v>
      </c>
      <c r="O21" s="163">
        <f>'2022'!H95</f>
        <v>1387272.7272727001</v>
      </c>
      <c r="P21" s="164">
        <f t="shared" si="6"/>
        <v>7428408.7427273002</v>
      </c>
      <c r="Q21" s="166" t="str">
        <f t="shared" si="3"/>
        <v>...</v>
      </c>
      <c r="R21" s="163">
        <f>'2021'!H21</f>
        <v>12116620.91</v>
      </c>
      <c r="S21" s="164">
        <f t="shared" si="4"/>
        <v>-3300939.4399999995</v>
      </c>
      <c r="T21" s="166">
        <f t="shared" si="5"/>
        <v>-0.27243069371557982</v>
      </c>
    </row>
    <row r="22" spans="1:20">
      <c r="A22" s="150">
        <v>7123</v>
      </c>
      <c r="B22" s="536" t="str">
        <f>+VLOOKUP($A22,Master!$D$29:$G$225,4,FALSE)</f>
        <v>Contributions for  Unemployment Insurance</v>
      </c>
      <c r="C22" s="537"/>
      <c r="D22" s="537"/>
      <c r="E22" s="537"/>
      <c r="F22" s="537"/>
      <c r="G22" s="163">
        <f>'2022'!S22</f>
        <v>1441496.5899999999</v>
      </c>
      <c r="H22" s="163">
        <f>SUM('2022'!G96:H96)</f>
        <v>1947122.161457255</v>
      </c>
      <c r="I22" s="164">
        <f t="shared" si="0"/>
        <v>-505625.57145725517</v>
      </c>
      <c r="J22" s="166">
        <f t="shared" si="1"/>
        <v>-0.25967840203659209</v>
      </c>
      <c r="K22" s="163">
        <f>SUM('2021'!G22:H22)</f>
        <v>1572022</v>
      </c>
      <c r="L22" s="164">
        <f t="shared" si="7"/>
        <v>-130525.41000000015</v>
      </c>
      <c r="M22" s="166">
        <f t="shared" si="2"/>
        <v>-8.3030269296485715E-2</v>
      </c>
      <c r="N22" s="163">
        <f>'2022'!H22</f>
        <v>1107968.99</v>
      </c>
      <c r="O22" s="163">
        <f>'2022'!H96</f>
        <v>1343353.7326137528</v>
      </c>
      <c r="P22" s="164">
        <f t="shared" si="6"/>
        <v>-235384.74261375284</v>
      </c>
      <c r="Q22" s="166">
        <f t="shared" si="3"/>
        <v>-0.17522171331281944</v>
      </c>
      <c r="R22" s="163">
        <f>'2021'!H22</f>
        <v>1105749.08</v>
      </c>
      <c r="S22" s="164">
        <f t="shared" si="4"/>
        <v>2219.9099999999162</v>
      </c>
      <c r="T22" s="166">
        <f t="shared" si="5"/>
        <v>2.0076073678487738E-3</v>
      </c>
    </row>
    <row r="23" spans="1:20">
      <c r="A23" s="150">
        <v>7124</v>
      </c>
      <c r="B23" s="536" t="str">
        <f>+VLOOKUP($A23,Master!$D$29:$G$225,4,FALSE)</f>
        <v>Other contributions</v>
      </c>
      <c r="C23" s="537"/>
      <c r="D23" s="537"/>
      <c r="E23" s="537"/>
      <c r="F23" s="537"/>
      <c r="G23" s="163">
        <f>'2022'!S23</f>
        <v>923638.51</v>
      </c>
      <c r="H23" s="163">
        <f>SUM('2022'!G97:H97)</f>
        <v>1575089.2065319321</v>
      </c>
      <c r="I23" s="164">
        <f t="shared" si="0"/>
        <v>-651450.6965319321</v>
      </c>
      <c r="J23" s="166">
        <f t="shared" si="1"/>
        <v>-0.41359606416598549</v>
      </c>
      <c r="K23" s="163">
        <f>SUM('2021'!G23:H23)</f>
        <v>1264867.8</v>
      </c>
      <c r="L23" s="164">
        <f t="shared" si="7"/>
        <v>-341229.29000000004</v>
      </c>
      <c r="M23" s="166">
        <f t="shared" si="2"/>
        <v>-0.26977466736049416</v>
      </c>
      <c r="N23" s="163">
        <f>'2022'!H23</f>
        <v>694038.42</v>
      </c>
      <c r="O23" s="163">
        <f>'2022'!H97</f>
        <v>1152151.3457583643</v>
      </c>
      <c r="P23" s="164">
        <f t="shared" si="6"/>
        <v>-458112.92575836426</v>
      </c>
      <c r="Q23" s="166">
        <f t="shared" si="3"/>
        <v>-0.39761523296822354</v>
      </c>
      <c r="R23" s="163">
        <f>'2021'!H23</f>
        <v>899952.36</v>
      </c>
      <c r="S23" s="164">
        <f t="shared" si="4"/>
        <v>-205913.93999999994</v>
      </c>
      <c r="T23" s="166">
        <f t="shared" si="5"/>
        <v>-0.22880537809801393</v>
      </c>
    </row>
    <row r="24" spans="1:20">
      <c r="A24" s="150">
        <v>713</v>
      </c>
      <c r="B24" s="538" t="str">
        <f>+VLOOKUP($A24,Master!$D$29:$G$225,4,FALSE)</f>
        <v>Duties</v>
      </c>
      <c r="C24" s="539"/>
      <c r="D24" s="539"/>
      <c r="E24" s="539"/>
      <c r="F24" s="539"/>
      <c r="G24" s="175">
        <f>'2022'!S24</f>
        <v>1380904.15</v>
      </c>
      <c r="H24" s="175">
        <f>SUM('2022'!G98:H98)</f>
        <v>1592789.9268830759</v>
      </c>
      <c r="I24" s="176">
        <f t="shared" si="0"/>
        <v>-211885.77688307595</v>
      </c>
      <c r="J24" s="178">
        <f t="shared" si="1"/>
        <v>-0.1330280743912754</v>
      </c>
      <c r="K24" s="175">
        <f>SUM('2021'!G24:H24)</f>
        <v>1289430.8900000001</v>
      </c>
      <c r="L24" s="176">
        <f t="shared" si="7"/>
        <v>91473.259999999776</v>
      </c>
      <c r="M24" s="178">
        <f t="shared" si="2"/>
        <v>7.0940800867582476E-2</v>
      </c>
      <c r="N24" s="175">
        <f>'2022'!H24</f>
        <v>773951.60000000009</v>
      </c>
      <c r="O24" s="175">
        <f>'2022'!H98</f>
        <v>875830.28943826968</v>
      </c>
      <c r="P24" s="176">
        <f t="shared" si="6"/>
        <v>-101878.68943826959</v>
      </c>
      <c r="Q24" s="178">
        <f t="shared" si="3"/>
        <v>-0.11632240933755722</v>
      </c>
      <c r="R24" s="175">
        <f>'2021'!H24</f>
        <v>704783.95</v>
      </c>
      <c r="S24" s="176">
        <f t="shared" si="4"/>
        <v>69167.65000000014</v>
      </c>
      <c r="T24" s="178">
        <f t="shared" si="5"/>
        <v>9.8140217296378784E-2</v>
      </c>
    </row>
    <row r="25" spans="1:20">
      <c r="A25" s="150">
        <v>714</v>
      </c>
      <c r="B25" s="538" t="str">
        <f>+VLOOKUP($A25,Master!$D$29:$G$225,4,FALSE)</f>
        <v>Fees</v>
      </c>
      <c r="C25" s="539"/>
      <c r="D25" s="539"/>
      <c r="E25" s="539"/>
      <c r="F25" s="539"/>
      <c r="G25" s="175">
        <f>'2022'!S25</f>
        <v>14897549.120000001</v>
      </c>
      <c r="H25" s="175">
        <f>SUM('2022'!G99:H99)</f>
        <v>12623335.860972293</v>
      </c>
      <c r="I25" s="176">
        <f t="shared" si="0"/>
        <v>2274213.2590277083</v>
      </c>
      <c r="J25" s="178">
        <f t="shared" si="1"/>
        <v>0.18015945104169484</v>
      </c>
      <c r="K25" s="175">
        <f>SUM('2021'!G25:H25)</f>
        <v>5258149.49</v>
      </c>
      <c r="L25" s="176">
        <f t="shared" si="7"/>
        <v>9639399.6300000008</v>
      </c>
      <c r="M25" s="178">
        <f t="shared" si="2"/>
        <v>1.8332304260904535</v>
      </c>
      <c r="N25" s="175">
        <f>'2022'!H25</f>
        <v>2358745.7999999998</v>
      </c>
      <c r="O25" s="175">
        <f>'2022'!H99</f>
        <v>2922897.1970708221</v>
      </c>
      <c r="P25" s="176">
        <f t="shared" si="6"/>
        <v>-564151.39707082231</v>
      </c>
      <c r="Q25" s="178">
        <f t="shared" si="3"/>
        <v>-0.19301102947999194</v>
      </c>
      <c r="R25" s="175">
        <f>'2021'!H25</f>
        <v>2375091.2999999998</v>
      </c>
      <c r="S25" s="176">
        <f t="shared" si="4"/>
        <v>-16345.5</v>
      </c>
      <c r="T25" s="178">
        <f t="shared" si="5"/>
        <v>-6.8820512289359259E-3</v>
      </c>
    </row>
    <row r="26" spans="1:20">
      <c r="A26" s="150">
        <v>715</v>
      </c>
      <c r="B26" s="538" t="str">
        <f>+VLOOKUP($A26,Master!$D$29:$G$225,4,FALSE)</f>
        <v>Other revenues</v>
      </c>
      <c r="C26" s="539"/>
      <c r="D26" s="539"/>
      <c r="E26" s="539"/>
      <c r="F26" s="539"/>
      <c r="G26" s="175">
        <f>'2022'!S26</f>
        <v>2846220.76</v>
      </c>
      <c r="H26" s="175">
        <f>SUM('2022'!G100:H100)</f>
        <v>3233054.2714069956</v>
      </c>
      <c r="I26" s="176">
        <f t="shared" si="0"/>
        <v>-386833.51140699582</v>
      </c>
      <c r="J26" s="178">
        <f t="shared" si="1"/>
        <v>-0.11964955702356628</v>
      </c>
      <c r="K26" s="175">
        <f>SUM('2021'!G26:H26)</f>
        <v>3317253.39</v>
      </c>
      <c r="L26" s="176">
        <f t="shared" si="7"/>
        <v>-471032.63000000035</v>
      </c>
      <c r="M26" s="178">
        <f t="shared" si="2"/>
        <v>-0.14199476935345001</v>
      </c>
      <c r="N26" s="175">
        <f>'2022'!H26</f>
        <v>1548574.44</v>
      </c>
      <c r="O26" s="175">
        <f>'2022'!H100</f>
        <v>1901272.8094459367</v>
      </c>
      <c r="P26" s="176">
        <f t="shared" si="6"/>
        <v>-352698.36944593675</v>
      </c>
      <c r="Q26" s="178">
        <f t="shared" si="3"/>
        <v>-0.18550645004423072</v>
      </c>
      <c r="R26" s="175">
        <f>'2021'!H26</f>
        <v>1791757.35</v>
      </c>
      <c r="S26" s="176">
        <f t="shared" si="4"/>
        <v>-243182.91000000015</v>
      </c>
      <c r="T26" s="178">
        <f t="shared" si="5"/>
        <v>-0.13572312679504295</v>
      </c>
    </row>
    <row r="27" spans="1:20">
      <c r="A27" s="150">
        <v>73</v>
      </c>
      <c r="B27" s="538" t="str">
        <f>+VLOOKUP($A27,Master!$D$29:$G$225,4,FALSE)</f>
        <v>Receipts from Repayment of Loans and Funds Carried over from Previous Year</v>
      </c>
      <c r="C27" s="539"/>
      <c r="D27" s="539"/>
      <c r="E27" s="539"/>
      <c r="F27" s="539"/>
      <c r="G27" s="175">
        <f>'2022'!S27</f>
        <v>281710.49</v>
      </c>
      <c r="H27" s="175">
        <f>SUM('2022'!G101:H101)</f>
        <v>537683.45672945725</v>
      </c>
      <c r="I27" s="176">
        <f t="shared" si="0"/>
        <v>-255972.96672945726</v>
      </c>
      <c r="J27" s="178">
        <f t="shared" si="1"/>
        <v>-0.47606628681948371</v>
      </c>
      <c r="K27" s="175">
        <f>SUM('2021'!G27:H27)</f>
        <v>931463.15</v>
      </c>
      <c r="L27" s="176">
        <f t="shared" si="7"/>
        <v>-649752.66</v>
      </c>
      <c r="M27" s="178">
        <f t="shared" si="2"/>
        <v>-0.69756131522755349</v>
      </c>
      <c r="N27" s="175">
        <f>'2022'!H27</f>
        <v>157200.54</v>
      </c>
      <c r="O27" s="175">
        <f>'2022'!H101</f>
        <v>454586.60399148142</v>
      </c>
      <c r="P27" s="176">
        <f t="shared" si="6"/>
        <v>-297386.06399148144</v>
      </c>
      <c r="Q27" s="178">
        <f t="shared" si="3"/>
        <v>-0.65419011774718772</v>
      </c>
      <c r="R27" s="175">
        <f>'2021'!H27</f>
        <v>820681.81</v>
      </c>
      <c r="S27" s="176">
        <f t="shared" si="4"/>
        <v>-663481.27</v>
      </c>
      <c r="T27" s="178">
        <f t="shared" si="5"/>
        <v>-0.80845129246863656</v>
      </c>
    </row>
    <row r="28" spans="1:20" ht="15.75" thickBot="1">
      <c r="A28" s="150">
        <v>74</v>
      </c>
      <c r="B28" s="540" t="str">
        <f>+VLOOKUP($A28,Master!$D$29:$G$225,4,FALSE)</f>
        <v>Grants and Transfers</v>
      </c>
      <c r="C28" s="541"/>
      <c r="D28" s="541"/>
      <c r="E28" s="541"/>
      <c r="F28" s="541"/>
      <c r="G28" s="175">
        <f>'2022'!S28</f>
        <v>2066003.92</v>
      </c>
      <c r="H28" s="175">
        <f>SUM('2022'!G102:H102)</f>
        <v>2244225.1328901025</v>
      </c>
      <c r="I28" s="176">
        <f t="shared" si="0"/>
        <v>-178221.21289010253</v>
      </c>
      <c r="J28" s="178">
        <f t="shared" si="1"/>
        <v>-7.9413250604047025E-2</v>
      </c>
      <c r="K28" s="175">
        <f>SUM('2021'!G28:H28)</f>
        <v>1555317.79</v>
      </c>
      <c r="L28" s="176">
        <f t="shared" si="7"/>
        <v>510686.12999999989</v>
      </c>
      <c r="M28" s="178">
        <f t="shared" si="2"/>
        <v>0.32834841424915484</v>
      </c>
      <c r="N28" s="175">
        <f>'2022'!H28</f>
        <v>1121297.32</v>
      </c>
      <c r="O28" s="175">
        <f>'2022'!H102</f>
        <v>1918135.2733705833</v>
      </c>
      <c r="P28" s="176">
        <f t="shared" si="6"/>
        <v>-796837.95337058324</v>
      </c>
      <c r="Q28" s="178">
        <f t="shared" si="3"/>
        <v>-0.41542323131901149</v>
      </c>
      <c r="R28" s="175">
        <f>'2021'!H28</f>
        <v>1359247.78</v>
      </c>
      <c r="S28" s="176">
        <f t="shared" si="4"/>
        <v>-237950.45999999996</v>
      </c>
      <c r="T28" s="178">
        <f t="shared" si="5"/>
        <v>-0.17506039995150846</v>
      </c>
    </row>
    <row r="29" spans="1:20" ht="15.75" thickBot="1">
      <c r="A29" s="150">
        <v>4</v>
      </c>
      <c r="B29" s="526" t="str">
        <f>+VLOOKUP($A29,Master!$D$29:$G$225,4,FALSE)</f>
        <v>Total Expenditures</v>
      </c>
      <c r="C29" s="527"/>
      <c r="D29" s="527"/>
      <c r="E29" s="527"/>
      <c r="F29" s="527"/>
      <c r="G29" s="151">
        <f>'2022'!S29</f>
        <v>286355744.23000002</v>
      </c>
      <c r="H29" s="151">
        <f>SUM('2022'!G103:H103)</f>
        <v>337469095.53309524</v>
      </c>
      <c r="I29" s="152">
        <f t="shared" si="0"/>
        <v>-51113351.303095222</v>
      </c>
      <c r="J29" s="154">
        <f t="shared" si="1"/>
        <v>-0.15146083590958803</v>
      </c>
      <c r="K29" s="151">
        <f>SUM('2021'!G29:H29)</f>
        <v>287219991.83000004</v>
      </c>
      <c r="L29" s="152">
        <f t="shared" si="7"/>
        <v>-864247.60000002384</v>
      </c>
      <c r="M29" s="154">
        <f t="shared" si="2"/>
        <v>-3.0090092075191199E-3</v>
      </c>
      <c r="N29" s="151">
        <f>'2022'!H29</f>
        <v>150830698.81999999</v>
      </c>
      <c r="O29" s="151">
        <f>'2022'!H103</f>
        <v>159637648.93654764</v>
      </c>
      <c r="P29" s="152">
        <f t="shared" si="6"/>
        <v>-8806950.1165476441</v>
      </c>
      <c r="Q29" s="154">
        <f t="shared" si="3"/>
        <v>-5.5168377730545282E-2</v>
      </c>
      <c r="R29" s="151">
        <f>'2021'!H29</f>
        <v>159823163.58000001</v>
      </c>
      <c r="S29" s="152">
        <f t="shared" si="4"/>
        <v>-8992464.7600000203</v>
      </c>
      <c r="T29" s="154">
        <f t="shared" si="5"/>
        <v>-5.6265090482324309E-2</v>
      </c>
    </row>
    <row r="30" spans="1:20">
      <c r="A30" s="150">
        <v>41</v>
      </c>
      <c r="B30" s="544" t="str">
        <f>+VLOOKUP($A30,Master!$D$29:$G$225,4,FALSE)</f>
        <v>Current Expenditures</v>
      </c>
      <c r="C30" s="545"/>
      <c r="D30" s="545"/>
      <c r="E30" s="545"/>
      <c r="F30" s="545"/>
      <c r="G30" s="313">
        <f>'2022'!S30</f>
        <v>112569248.42</v>
      </c>
      <c r="H30" s="313">
        <f>SUM('2022'!G104:H104)</f>
        <v>126706660.13333333</v>
      </c>
      <c r="I30" s="188">
        <f t="shared" si="0"/>
        <v>-14137411.713333324</v>
      </c>
      <c r="J30" s="190">
        <f t="shared" si="1"/>
        <v>-0.11157591636032815</v>
      </c>
      <c r="K30" s="313">
        <f>SUM('2021'!G30:H30)</f>
        <v>114162807.12</v>
      </c>
      <c r="L30" s="188">
        <f t="shared" si="7"/>
        <v>-1593558.700000003</v>
      </c>
      <c r="M30" s="190">
        <f t="shared" si="2"/>
        <v>-1.3958650283756313E-2</v>
      </c>
      <c r="N30" s="313">
        <f>'2022'!H30</f>
        <v>61670626.060000002</v>
      </c>
      <c r="O30" s="313">
        <f>'2022'!H104</f>
        <v>64156007.386666663</v>
      </c>
      <c r="P30" s="188">
        <f t="shared" si="6"/>
        <v>-2485381.3266666606</v>
      </c>
      <c r="Q30" s="190">
        <f t="shared" si="3"/>
        <v>-3.8739650858996444E-2</v>
      </c>
      <c r="R30" s="313">
        <f>'2021'!H30</f>
        <v>62952522.470000006</v>
      </c>
      <c r="S30" s="188">
        <f t="shared" si="4"/>
        <v>-1281896.4100000039</v>
      </c>
      <c r="T30" s="190">
        <f t="shared" si="5"/>
        <v>-2.0362907786751427E-2</v>
      </c>
    </row>
    <row r="31" spans="1:20">
      <c r="A31" s="150">
        <v>411</v>
      </c>
      <c r="B31" s="536" t="str">
        <f>+VLOOKUP($A31,Master!$D$29:$G$225,4,FALSE)</f>
        <v>Gross Salaries and Contributions</v>
      </c>
      <c r="C31" s="537"/>
      <c r="D31" s="537"/>
      <c r="E31" s="537"/>
      <c r="F31" s="537"/>
      <c r="G31" s="163">
        <f>'2022'!S31</f>
        <v>88792317.689999998</v>
      </c>
      <c r="H31" s="163">
        <f>SUM('2022'!G105:H105)</f>
        <v>87615975.173333332</v>
      </c>
      <c r="I31" s="164">
        <f t="shared" si="0"/>
        <v>1176342.5166666657</v>
      </c>
      <c r="J31" s="166">
        <f t="shared" si="1"/>
        <v>1.3426119087751598E-2</v>
      </c>
      <c r="K31" s="163">
        <f>SUM('2021'!G31:H31)</f>
        <v>89911879.530000001</v>
      </c>
      <c r="L31" s="164">
        <f t="shared" si="7"/>
        <v>-1119561.8400000036</v>
      </c>
      <c r="M31" s="166">
        <f t="shared" si="2"/>
        <v>-1.2451767729162566E-2</v>
      </c>
      <c r="N31" s="163">
        <f>'2022'!H31</f>
        <v>44552192.68</v>
      </c>
      <c r="O31" s="163">
        <f>'2022'!H105</f>
        <v>45499255.106666669</v>
      </c>
      <c r="P31" s="164">
        <f>+N31-O31</f>
        <v>-947062.42666666955</v>
      </c>
      <c r="Q31" s="166">
        <f>IF(+IF(ISERROR(N31/O31),"…",N31/O31-1)&gt;200%,"...",IF(ISERROR(N31/O31),"…",N31/O31-1))</f>
        <v>-2.0814899594431058E-2</v>
      </c>
      <c r="R31" s="163">
        <f>'2021'!H31</f>
        <v>49306803.189999998</v>
      </c>
      <c r="S31" s="164">
        <f t="shared" si="4"/>
        <v>-4754610.5099999979</v>
      </c>
      <c r="T31" s="166">
        <f t="shared" si="5"/>
        <v>-9.6429097049315238E-2</v>
      </c>
    </row>
    <row r="32" spans="1:20">
      <c r="A32" s="150">
        <v>412</v>
      </c>
      <c r="B32" s="536" t="str">
        <f>+VLOOKUP($A32,Master!$D$29:$G$225,4,FALSE)</f>
        <v>Other Personal Income</v>
      </c>
      <c r="C32" s="537"/>
      <c r="D32" s="537"/>
      <c r="E32" s="537"/>
      <c r="F32" s="537"/>
      <c r="G32" s="163">
        <f>'2022'!S32</f>
        <v>1349397.1900000002</v>
      </c>
      <c r="H32" s="163">
        <f>SUM('2022'!G106:H106)</f>
        <v>2302305.63</v>
      </c>
      <c r="I32" s="164">
        <f t="shared" si="0"/>
        <v>-952908.43999999971</v>
      </c>
      <c r="J32" s="166">
        <f t="shared" si="1"/>
        <v>-0.41389311114180782</v>
      </c>
      <c r="K32" s="163">
        <f>SUM('2021'!G32:H32)</f>
        <v>998081.15999999992</v>
      </c>
      <c r="L32" s="164">
        <f t="shared" si="7"/>
        <v>351316.03000000026</v>
      </c>
      <c r="M32" s="166">
        <f t="shared" si="2"/>
        <v>0.35199144526483228</v>
      </c>
      <c r="N32" s="163">
        <f>'2022'!H32</f>
        <v>1212395.8600000001</v>
      </c>
      <c r="O32" s="163">
        <f>'2022'!H106</f>
        <v>1189148.69</v>
      </c>
      <c r="P32" s="164">
        <f t="shared" si="6"/>
        <v>23247.170000000158</v>
      </c>
      <c r="Q32" s="166">
        <f t="shared" si="3"/>
        <v>1.9549422368703162E-2</v>
      </c>
      <c r="R32" s="163">
        <f>'2021'!H32</f>
        <v>889477.21</v>
      </c>
      <c r="S32" s="164">
        <f t="shared" si="4"/>
        <v>322918.65000000014</v>
      </c>
      <c r="T32" s="166">
        <f t="shared" si="5"/>
        <v>0.36304319702581278</v>
      </c>
    </row>
    <row r="33" spans="1:20">
      <c r="A33" s="150">
        <v>413</v>
      </c>
      <c r="B33" s="536" t="str">
        <f>+VLOOKUP($A33,Master!$D$29:$G$225,4,FALSE)</f>
        <v>Expenditures for Supplies</v>
      </c>
      <c r="C33" s="537"/>
      <c r="D33" s="537"/>
      <c r="E33" s="537"/>
      <c r="F33" s="537"/>
      <c r="G33" s="163">
        <f>'2022'!S33</f>
        <v>3629942.8499999996</v>
      </c>
      <c r="H33" s="163">
        <f>SUM('2022'!G107:H107)</f>
        <v>4884261.459999999</v>
      </c>
      <c r="I33" s="164">
        <f t="shared" si="0"/>
        <v>-1254318.6099999994</v>
      </c>
      <c r="J33" s="166">
        <f t="shared" si="1"/>
        <v>-0.25680824424988902</v>
      </c>
      <c r="K33" s="163">
        <f>SUM('2021'!G33:H33)</f>
        <v>2258387.2000000002</v>
      </c>
      <c r="L33" s="164">
        <f t="shared" si="7"/>
        <v>1371555.6499999994</v>
      </c>
      <c r="M33" s="166">
        <f t="shared" si="2"/>
        <v>0.60731642917565209</v>
      </c>
      <c r="N33" s="163">
        <f>'2022'!H33</f>
        <v>3489117.82</v>
      </c>
      <c r="O33" s="163">
        <f>'2022'!H107</f>
        <v>2874795.7299999991</v>
      </c>
      <c r="P33" s="164">
        <f t="shared" si="6"/>
        <v>614322.09000000078</v>
      </c>
      <c r="Q33" s="166">
        <f t="shared" si="3"/>
        <v>0.21369243163582996</v>
      </c>
      <c r="R33" s="163">
        <f>'2021'!H33</f>
        <v>1661548.94</v>
      </c>
      <c r="S33" s="164">
        <f t="shared" si="4"/>
        <v>1827568.88</v>
      </c>
      <c r="T33" s="166">
        <f t="shared" si="5"/>
        <v>1.0999187781974089</v>
      </c>
    </row>
    <row r="34" spans="1:20">
      <c r="A34" s="150">
        <v>414</v>
      </c>
      <c r="B34" s="536" t="str">
        <f>+VLOOKUP($A34,Master!$D$29:$G$225,4,FALSE)</f>
        <v>Expenditures for Services</v>
      </c>
      <c r="C34" s="537"/>
      <c r="D34" s="537"/>
      <c r="E34" s="537"/>
      <c r="F34" s="537"/>
      <c r="G34" s="163">
        <f>'2022'!S34</f>
        <v>3995540.5</v>
      </c>
      <c r="H34" s="163">
        <f>SUM('2022'!G108:H108)</f>
        <v>6724516.25</v>
      </c>
      <c r="I34" s="164">
        <f t="shared" si="0"/>
        <v>-2728975.75</v>
      </c>
      <c r="J34" s="166">
        <f t="shared" si="1"/>
        <v>-0.40582484279073605</v>
      </c>
      <c r="K34" s="163">
        <f>SUM('2021'!G34:H34)</f>
        <v>3668742.41</v>
      </c>
      <c r="L34" s="164">
        <f t="shared" si="7"/>
        <v>326798.08999999985</v>
      </c>
      <c r="M34" s="166">
        <f t="shared" si="2"/>
        <v>8.9076324658072581E-2</v>
      </c>
      <c r="N34" s="163">
        <f>'2022'!H34</f>
        <v>2907359.21</v>
      </c>
      <c r="O34" s="163">
        <f>'2022'!H108</f>
        <v>3202572.2000000016</v>
      </c>
      <c r="P34" s="164">
        <f t="shared" si="6"/>
        <v>-295212.99000000162</v>
      </c>
      <c r="Q34" s="166">
        <f t="shared" si="3"/>
        <v>-9.2179963967713663E-2</v>
      </c>
      <c r="R34" s="163">
        <f>'2021'!H34</f>
        <v>2618065.42</v>
      </c>
      <c r="S34" s="164">
        <f t="shared" si="4"/>
        <v>289293.79000000004</v>
      </c>
      <c r="T34" s="166">
        <f t="shared" si="5"/>
        <v>0.11049906843045965</v>
      </c>
    </row>
    <row r="35" spans="1:20">
      <c r="A35" s="150">
        <v>415</v>
      </c>
      <c r="B35" s="536" t="str">
        <f>+VLOOKUP($A35,Master!$D$29:$G$225,4,FALSE)</f>
        <v>Current Maintenance</v>
      </c>
      <c r="C35" s="537"/>
      <c r="D35" s="537"/>
      <c r="E35" s="537"/>
      <c r="F35" s="537"/>
      <c r="G35" s="163">
        <f>'2022'!S35</f>
        <v>1838112.05</v>
      </c>
      <c r="H35" s="163">
        <f>SUM('2022'!G109:H109)</f>
        <v>2943569.8400000008</v>
      </c>
      <c r="I35" s="164">
        <f t="shared" si="0"/>
        <v>-1105457.7900000007</v>
      </c>
      <c r="J35" s="166">
        <f t="shared" si="1"/>
        <v>-0.37555004640216061</v>
      </c>
      <c r="K35" s="163">
        <f>SUM('2021'!G35:H35)</f>
        <v>1103955.1299999999</v>
      </c>
      <c r="L35" s="164">
        <f t="shared" si="7"/>
        <v>734156.92000000016</v>
      </c>
      <c r="M35" s="166">
        <f t="shared" si="2"/>
        <v>0.66502423880216965</v>
      </c>
      <c r="N35" s="163">
        <f>'2022'!H35</f>
        <v>1786959.03</v>
      </c>
      <c r="O35" s="163">
        <f>'2022'!H109</f>
        <v>1461485.3000000003</v>
      </c>
      <c r="P35" s="164">
        <f t="shared" si="6"/>
        <v>325473.72999999975</v>
      </c>
      <c r="Q35" s="166">
        <f t="shared" si="3"/>
        <v>0.22270065254847227</v>
      </c>
      <c r="R35" s="163">
        <f>'2021'!H35</f>
        <v>914551.09</v>
      </c>
      <c r="S35" s="164">
        <f t="shared" si="4"/>
        <v>872407.94000000006</v>
      </c>
      <c r="T35" s="166">
        <f t="shared" si="5"/>
        <v>0.95391930482527787</v>
      </c>
    </row>
    <row r="36" spans="1:20">
      <c r="A36" s="150">
        <v>416</v>
      </c>
      <c r="B36" s="536" t="str">
        <f>+VLOOKUP($A36,Master!$D$29:$G$225,4,FALSE)</f>
        <v>Interests</v>
      </c>
      <c r="C36" s="537"/>
      <c r="D36" s="537"/>
      <c r="E36" s="537"/>
      <c r="F36" s="537"/>
      <c r="G36" s="163">
        <f>'2022'!S36</f>
        <v>5125106.4399999995</v>
      </c>
      <c r="H36" s="163">
        <f>SUM('2022'!G110:H110)</f>
        <v>5268301.0300000012</v>
      </c>
      <c r="I36" s="164">
        <f t="shared" si="0"/>
        <v>-143194.59000000171</v>
      </c>
      <c r="J36" s="166">
        <f t="shared" si="1"/>
        <v>-2.7180411518739955E-2</v>
      </c>
      <c r="K36" s="163">
        <f>SUM('2021'!G36:H36)</f>
        <v>9541675.4499999993</v>
      </c>
      <c r="L36" s="164">
        <f t="shared" si="7"/>
        <v>-4416569.01</v>
      </c>
      <c r="M36" s="166">
        <f t="shared" si="2"/>
        <v>-0.46287143522577057</v>
      </c>
      <c r="N36" s="163">
        <f>'2022'!H36</f>
        <v>1270344.19</v>
      </c>
      <c r="O36" s="163">
        <f>'2022'!H110</f>
        <v>1039259.3500000003</v>
      </c>
      <c r="P36" s="164">
        <f t="shared" si="6"/>
        <v>231084.83999999962</v>
      </c>
      <c r="Q36" s="166">
        <f t="shared" si="3"/>
        <v>0.22235531486918991</v>
      </c>
      <c r="R36" s="163">
        <f>'2021'!H36</f>
        <v>1964190.38</v>
      </c>
      <c r="S36" s="164">
        <f t="shared" si="4"/>
        <v>-693846.19</v>
      </c>
      <c r="T36" s="166">
        <f t="shared" si="5"/>
        <v>-0.35324793210727368</v>
      </c>
    </row>
    <row r="37" spans="1:20">
      <c r="A37" s="150">
        <v>417</v>
      </c>
      <c r="B37" s="536" t="str">
        <f>+VLOOKUP($A37,Master!$D$29:$G$225,4,FALSE)</f>
        <v>Rent</v>
      </c>
      <c r="C37" s="537"/>
      <c r="D37" s="537"/>
      <c r="E37" s="537"/>
      <c r="F37" s="537"/>
      <c r="G37" s="163">
        <f>'2022'!S37</f>
        <v>965398.53</v>
      </c>
      <c r="H37" s="163">
        <f>SUM('2022'!G111:H111)</f>
        <v>2077414.4499999997</v>
      </c>
      <c r="I37" s="164">
        <f t="shared" si="0"/>
        <v>-1112015.9199999997</v>
      </c>
      <c r="J37" s="166">
        <f t="shared" si="1"/>
        <v>-0.53528843028891027</v>
      </c>
      <c r="K37" s="163">
        <f>SUM('2021'!G37:H37)</f>
        <v>1005757.6799999999</v>
      </c>
      <c r="L37" s="164">
        <f t="shared" si="7"/>
        <v>-40359.149999999907</v>
      </c>
      <c r="M37" s="166">
        <f t="shared" si="2"/>
        <v>-4.0128105211187592E-2</v>
      </c>
      <c r="N37" s="163">
        <f>'2022'!H37</f>
        <v>743329.49</v>
      </c>
      <c r="O37" s="163">
        <f>'2022'!H111</f>
        <v>962655.17999999982</v>
      </c>
      <c r="P37" s="164">
        <f t="shared" si="6"/>
        <v>-219325.68999999983</v>
      </c>
      <c r="Q37" s="166">
        <f t="shared" si="3"/>
        <v>-0.22783411397630449</v>
      </c>
      <c r="R37" s="163">
        <f>'2021'!H37</f>
        <v>967161.85</v>
      </c>
      <c r="S37" s="164">
        <f t="shared" si="4"/>
        <v>-223832.36</v>
      </c>
      <c r="T37" s="166">
        <f t="shared" si="5"/>
        <v>-0.23143216412020384</v>
      </c>
    </row>
    <row r="38" spans="1:20">
      <c r="A38" s="150">
        <v>418</v>
      </c>
      <c r="B38" s="536" t="str">
        <f>+VLOOKUP($A38,Master!$D$29:$G$225,4,FALSE)</f>
        <v>Subsidies</v>
      </c>
      <c r="C38" s="537"/>
      <c r="D38" s="537"/>
      <c r="E38" s="537"/>
      <c r="F38" s="537"/>
      <c r="G38" s="163">
        <f>'2022'!S38</f>
        <v>3197349.54</v>
      </c>
      <c r="H38" s="163">
        <f>SUM('2022'!G112:H112)</f>
        <v>7564277.6600000001</v>
      </c>
      <c r="I38" s="164">
        <f t="shared" si="0"/>
        <v>-4366928.12</v>
      </c>
      <c r="J38" s="166">
        <f t="shared" si="1"/>
        <v>-0.57730933689708053</v>
      </c>
      <c r="K38" s="163">
        <f>SUM('2021'!G38:H38)</f>
        <v>2570474.2199999997</v>
      </c>
      <c r="L38" s="164">
        <f t="shared" si="7"/>
        <v>626875.3200000003</v>
      </c>
      <c r="M38" s="166">
        <f t="shared" si="2"/>
        <v>0.2438753577540258</v>
      </c>
      <c r="N38" s="163">
        <f>'2022'!H38</f>
        <v>2686343.5</v>
      </c>
      <c r="O38" s="163">
        <f>'2022'!H112</f>
        <v>3917138.83</v>
      </c>
      <c r="P38" s="164">
        <f t="shared" si="6"/>
        <v>-1230795.33</v>
      </c>
      <c r="Q38" s="166">
        <f t="shared" si="3"/>
        <v>-0.31420773769205423</v>
      </c>
      <c r="R38" s="163">
        <f>'2021'!H38</f>
        <v>2319834.88</v>
      </c>
      <c r="S38" s="164">
        <f t="shared" si="4"/>
        <v>366508.62000000011</v>
      </c>
      <c r="T38" s="166">
        <f t="shared" si="5"/>
        <v>0.15798909791372751</v>
      </c>
    </row>
    <row r="39" spans="1:20">
      <c r="A39" s="150">
        <v>419</v>
      </c>
      <c r="B39" s="536" t="str">
        <f>+VLOOKUP($A39,Master!$D$29:$G$225,4,FALSE)</f>
        <v>Other expenditures</v>
      </c>
      <c r="C39" s="537"/>
      <c r="D39" s="537"/>
      <c r="E39" s="537"/>
      <c r="F39" s="537"/>
      <c r="G39" s="163">
        <f>'2022'!S39</f>
        <v>3676083.63</v>
      </c>
      <c r="H39" s="163">
        <f>SUM('2022'!G113:H113)</f>
        <v>7326038.6399999987</v>
      </c>
      <c r="I39" s="164">
        <f t="shared" si="0"/>
        <v>-3649955.0099999988</v>
      </c>
      <c r="J39" s="166">
        <f t="shared" si="1"/>
        <v>-0.49821672930734084</v>
      </c>
      <c r="K39" s="163">
        <f>SUM('2021'!G39:H39)</f>
        <v>3103854.34</v>
      </c>
      <c r="L39" s="164">
        <f t="shared" si="7"/>
        <v>572229.29</v>
      </c>
      <c r="M39" s="166">
        <f t="shared" si="2"/>
        <v>0.18436087113546695</v>
      </c>
      <c r="N39" s="163">
        <f>'2022'!H39</f>
        <v>3022584.28</v>
      </c>
      <c r="O39" s="163">
        <f>'2022'!H113</f>
        <v>4009697</v>
      </c>
      <c r="P39" s="164">
        <f t="shared" si="6"/>
        <v>-987112.7200000002</v>
      </c>
      <c r="Q39" s="166">
        <f t="shared" si="3"/>
        <v>-0.24618137480213598</v>
      </c>
      <c r="R39" s="163">
        <f>'2021'!H39</f>
        <v>2310889.5099999998</v>
      </c>
      <c r="S39" s="164">
        <f t="shared" si="4"/>
        <v>711694.77</v>
      </c>
      <c r="T39" s="166">
        <f t="shared" si="5"/>
        <v>0.30797438255713061</v>
      </c>
    </row>
    <row r="40" spans="1:20">
      <c r="A40" s="150">
        <v>42</v>
      </c>
      <c r="B40" s="532" t="str">
        <f>+VLOOKUP($A40,Master!$D$29:$G$225,4,FALSE)</f>
        <v>Social Security Transfers</v>
      </c>
      <c r="C40" s="533"/>
      <c r="D40" s="533"/>
      <c r="E40" s="533"/>
      <c r="F40" s="533"/>
      <c r="G40" s="193">
        <f>'2022'!S40</f>
        <v>92492524.599999994</v>
      </c>
      <c r="H40" s="193">
        <f>SUM('2022'!G114:H114)</f>
        <v>102499349.34976192</v>
      </c>
      <c r="I40" s="194">
        <f t="shared" si="0"/>
        <v>-10006824.749761924</v>
      </c>
      <c r="J40" s="196">
        <f t="shared" si="1"/>
        <v>-9.7628178259115628E-2</v>
      </c>
      <c r="K40" s="193">
        <f>SUM('2021'!G40:H40)</f>
        <v>89754925.939999998</v>
      </c>
      <c r="L40" s="194">
        <f t="shared" si="7"/>
        <v>2737598.6599999964</v>
      </c>
      <c r="M40" s="196">
        <f t="shared" si="2"/>
        <v>3.0500817992207496E-2</v>
      </c>
      <c r="N40" s="193">
        <f>'2022'!H40</f>
        <v>49030666.979999997</v>
      </c>
      <c r="O40" s="193">
        <f>'2022'!H114</f>
        <v>50843848.149880961</v>
      </c>
      <c r="P40" s="194">
        <f t="shared" si="6"/>
        <v>-1813181.1698809639</v>
      </c>
      <c r="Q40" s="196">
        <f t="shared" si="3"/>
        <v>-3.5661761173858109E-2</v>
      </c>
      <c r="R40" s="193">
        <f>'2021'!H40</f>
        <v>45968964.680000007</v>
      </c>
      <c r="S40" s="194">
        <f t="shared" si="4"/>
        <v>3061702.2999999896</v>
      </c>
      <c r="T40" s="196">
        <f t="shared" si="5"/>
        <v>6.6603681882182242E-2</v>
      </c>
    </row>
    <row r="41" spans="1:20">
      <c r="A41" s="150">
        <v>421</v>
      </c>
      <c r="B41" s="536" t="str">
        <f>+VLOOKUP($A41,Master!$D$29:$G$225,4,FALSE)</f>
        <v>Social Security</v>
      </c>
      <c r="C41" s="537"/>
      <c r="D41" s="537"/>
      <c r="E41" s="537"/>
      <c r="F41" s="537"/>
      <c r="G41" s="163">
        <f>'2022'!S41</f>
        <v>16372442</v>
      </c>
      <c r="H41" s="163">
        <f>SUM('2022'!G115:H115)</f>
        <v>18398095.264761906</v>
      </c>
      <c r="I41" s="164">
        <f t="shared" si="0"/>
        <v>-2025653.2647619061</v>
      </c>
      <c r="J41" s="166">
        <f t="shared" si="1"/>
        <v>-0.11010124883099526</v>
      </c>
      <c r="K41" s="163">
        <f>SUM('2021'!G41:H41)</f>
        <v>13204389.16</v>
      </c>
      <c r="L41" s="164">
        <f t="shared" si="7"/>
        <v>3168052.84</v>
      </c>
      <c r="M41" s="166">
        <f t="shared" si="2"/>
        <v>0.23992422531721269</v>
      </c>
      <c r="N41" s="163">
        <f>'2022'!H41</f>
        <v>8172331.5999999996</v>
      </c>
      <c r="O41" s="163">
        <f>'2022'!H115</f>
        <v>9199047.6323809531</v>
      </c>
      <c r="P41" s="164">
        <f t="shared" si="6"/>
        <v>-1026716.0323809534</v>
      </c>
      <c r="Q41" s="166">
        <f t="shared" si="3"/>
        <v>-0.11161112252173577</v>
      </c>
      <c r="R41" s="163">
        <f>'2021'!H41</f>
        <v>6750144.4400000004</v>
      </c>
      <c r="S41" s="164">
        <f t="shared" si="4"/>
        <v>1422187.1599999992</v>
      </c>
      <c r="T41" s="166">
        <f t="shared" si="5"/>
        <v>0.21068988562265489</v>
      </c>
    </row>
    <row r="42" spans="1:20">
      <c r="A42" s="150">
        <v>422</v>
      </c>
      <c r="B42" s="536" t="str">
        <f>+VLOOKUP($A42,Master!$D$29:$G$225,4,FALSE)</f>
        <v>Funds for redundant labor</v>
      </c>
      <c r="C42" s="537"/>
      <c r="D42" s="537"/>
      <c r="E42" s="537"/>
      <c r="F42" s="537"/>
      <c r="G42" s="163">
        <f>'2022'!S42</f>
        <v>2498429.92</v>
      </c>
      <c r="H42" s="163">
        <f>SUM('2022'!G116:H116)</f>
        <v>5185653.0600000005</v>
      </c>
      <c r="I42" s="164">
        <f t="shared" si="0"/>
        <v>-2687223.1400000006</v>
      </c>
      <c r="J42" s="166">
        <f t="shared" si="1"/>
        <v>-0.51820341795098801</v>
      </c>
      <c r="K42" s="163">
        <f>SUM('2021'!G42:H42)</f>
        <v>1498010</v>
      </c>
      <c r="L42" s="164">
        <f t="shared" si="7"/>
        <v>1000419.9199999999</v>
      </c>
      <c r="M42" s="166">
        <f t="shared" si="2"/>
        <v>0.66783260458875437</v>
      </c>
      <c r="N42" s="163">
        <f>'2022'!H42</f>
        <v>2498429.92</v>
      </c>
      <c r="O42" s="163">
        <f>'2022'!H116</f>
        <v>2291666.67</v>
      </c>
      <c r="P42" s="164">
        <f t="shared" si="6"/>
        <v>206763.25</v>
      </c>
      <c r="Q42" s="166">
        <f t="shared" si="3"/>
        <v>9.0223963505128735E-2</v>
      </c>
      <c r="R42" s="163">
        <f>'2021'!H42</f>
        <v>1490578.4</v>
      </c>
      <c r="S42" s="164">
        <f t="shared" si="4"/>
        <v>1007851.52</v>
      </c>
      <c r="T42" s="166">
        <f t="shared" si="5"/>
        <v>0.67614794364389019</v>
      </c>
    </row>
    <row r="43" spans="1:20">
      <c r="A43" s="150">
        <v>423</v>
      </c>
      <c r="B43" s="536" t="str">
        <f>+VLOOKUP($A43,Master!$D$29:$G$225,4,FALSE)</f>
        <v>Pension and Disability Insurance</v>
      </c>
      <c r="C43" s="537"/>
      <c r="D43" s="537"/>
      <c r="E43" s="537"/>
      <c r="F43" s="537"/>
      <c r="G43" s="163">
        <f>'2022'!S43</f>
        <v>71503944.109999999</v>
      </c>
      <c r="H43" s="163">
        <f>SUM('2022'!G117:H117)</f>
        <v>76058267.695000008</v>
      </c>
      <c r="I43" s="164">
        <f t="shared" si="0"/>
        <v>-4554323.5850000083</v>
      </c>
      <c r="J43" s="166">
        <f t="shared" si="1"/>
        <v>-5.9879401977221303E-2</v>
      </c>
      <c r="K43" s="163">
        <f>SUM('2021'!G43:H43)</f>
        <v>72263344.370000005</v>
      </c>
      <c r="L43" s="164">
        <f t="shared" si="7"/>
        <v>-759400.26000000536</v>
      </c>
      <c r="M43" s="166">
        <f t="shared" si="2"/>
        <v>-1.0508789298648513E-2</v>
      </c>
      <c r="N43" s="163">
        <f>'2022'!H43</f>
        <v>36354430.689999998</v>
      </c>
      <c r="O43" s="163">
        <f>'2022'!H117</f>
        <v>38029133.847500004</v>
      </c>
      <c r="P43" s="164">
        <f t="shared" si="6"/>
        <v>-1674703.1575000063</v>
      </c>
      <c r="Q43" s="166">
        <f t="shared" si="3"/>
        <v>-4.4037373141752489E-2</v>
      </c>
      <c r="R43" s="163">
        <f>'2021'!H43</f>
        <v>36381736.170000002</v>
      </c>
      <c r="S43" s="164">
        <f t="shared" si="4"/>
        <v>-27305.480000004172</v>
      </c>
      <c r="T43" s="166">
        <f t="shared" si="5"/>
        <v>-7.5052712911816144E-4</v>
      </c>
    </row>
    <row r="44" spans="1:20">
      <c r="A44" s="150">
        <v>424</v>
      </c>
      <c r="B44" s="536" t="str">
        <f>+VLOOKUP($A44,Master!$D$29:$G$225,4,FALSE)</f>
        <v>Other Health Care Transfers</v>
      </c>
      <c r="C44" s="537"/>
      <c r="D44" s="537"/>
      <c r="E44" s="537"/>
      <c r="F44" s="537"/>
      <c r="G44" s="163">
        <f>'2022'!S44</f>
        <v>1173334.71</v>
      </c>
      <c r="H44" s="163">
        <f>SUM('2022'!G118:H118)</f>
        <v>1795333.33</v>
      </c>
      <c r="I44" s="164">
        <f t="shared" si="0"/>
        <v>-621998.62000000011</v>
      </c>
      <c r="J44" s="166">
        <f t="shared" si="1"/>
        <v>-0.34645300101458043</v>
      </c>
      <c r="K44" s="163">
        <f>SUM('2021'!G44:H44)</f>
        <v>1976891.77</v>
      </c>
      <c r="L44" s="164">
        <f t="shared" si="7"/>
        <v>-803557.06</v>
      </c>
      <c r="M44" s="166">
        <f t="shared" si="2"/>
        <v>-0.40647498876481236</v>
      </c>
      <c r="N44" s="163">
        <f>'2022'!H44</f>
        <v>1069904.71</v>
      </c>
      <c r="O44" s="163">
        <f>'2022'!H118</f>
        <v>852000</v>
      </c>
      <c r="P44" s="164">
        <f t="shared" si="6"/>
        <v>217904.70999999996</v>
      </c>
      <c r="Q44" s="166">
        <f t="shared" si="3"/>
        <v>0.25575670187793431</v>
      </c>
      <c r="R44" s="163">
        <f>'2021'!H44</f>
        <v>1147931.58</v>
      </c>
      <c r="S44" s="164">
        <f t="shared" si="4"/>
        <v>-78026.870000000112</v>
      </c>
      <c r="T44" s="166">
        <f t="shared" si="5"/>
        <v>-6.7971707860846609E-2</v>
      </c>
    </row>
    <row r="45" spans="1:20">
      <c r="A45" s="150">
        <v>425</v>
      </c>
      <c r="B45" s="536" t="str">
        <f>+VLOOKUP($A45,Master!$D$29:$G$225,4,FALSE)</f>
        <v>Other Health Care Insurance</v>
      </c>
      <c r="C45" s="537"/>
      <c r="D45" s="537"/>
      <c r="E45" s="537"/>
      <c r="F45" s="537"/>
      <c r="G45" s="163">
        <f>'2022'!S45</f>
        <v>944373.8600000001</v>
      </c>
      <c r="H45" s="163">
        <f>SUM('2022'!G119:H119)</f>
        <v>1062000</v>
      </c>
      <c r="I45" s="164">
        <f t="shared" si="0"/>
        <v>-117626.1399999999</v>
      </c>
      <c r="J45" s="166">
        <f t="shared" si="1"/>
        <v>-0.11075907721280598</v>
      </c>
      <c r="K45" s="163">
        <f>SUM('2021'!G45:H45)</f>
        <v>812290.64</v>
      </c>
      <c r="L45" s="164">
        <f t="shared" si="7"/>
        <v>132083.22000000009</v>
      </c>
      <c r="M45" s="166">
        <f t="shared" si="2"/>
        <v>0.16260586235488339</v>
      </c>
      <c r="N45" s="163">
        <f>'2022'!H45</f>
        <v>935570.06</v>
      </c>
      <c r="O45" s="163">
        <f>'2022'!H119</f>
        <v>472000</v>
      </c>
      <c r="P45" s="164">
        <f t="shared" si="6"/>
        <v>463570.06000000006</v>
      </c>
      <c r="Q45" s="166">
        <f t="shared" si="3"/>
        <v>0.98213995762711881</v>
      </c>
      <c r="R45" s="163">
        <f>'2021'!H45</f>
        <v>198574.09</v>
      </c>
      <c r="S45" s="164">
        <f t="shared" si="4"/>
        <v>736995.97000000009</v>
      </c>
      <c r="T45" s="166" t="str">
        <f t="shared" si="5"/>
        <v>...</v>
      </c>
    </row>
    <row r="46" spans="1:20">
      <c r="A46" s="150">
        <v>43</v>
      </c>
      <c r="B46" s="534" t="str">
        <f>+VLOOKUP($A46,Master!$D$29:$G$225,4,FALSE)</f>
        <v xml:space="preserve">Transfers to Institutions, Individuals, NGO and Public Sector </v>
      </c>
      <c r="C46" s="535"/>
      <c r="D46" s="535"/>
      <c r="E46" s="535"/>
      <c r="F46" s="535"/>
      <c r="G46" s="175">
        <f>'2022'!S46</f>
        <v>31139698.040000003</v>
      </c>
      <c r="H46" s="175">
        <f>SUM('2022'!G120:H120)</f>
        <v>46386557.130000003</v>
      </c>
      <c r="I46" s="176">
        <f t="shared" si="0"/>
        <v>-15246859.09</v>
      </c>
      <c r="J46" s="178">
        <f t="shared" si="1"/>
        <v>-0.3286913285517209</v>
      </c>
      <c r="K46" s="175">
        <f>SUM('2021'!G46:H46)</f>
        <v>33421474.809999999</v>
      </c>
      <c r="L46" s="176">
        <f t="shared" si="7"/>
        <v>-2281776.7699999958</v>
      </c>
      <c r="M46" s="178">
        <f t="shared" si="2"/>
        <v>-6.8272773208597815E-2</v>
      </c>
      <c r="N46" s="175">
        <f>'2022'!H46</f>
        <v>23788257.170000002</v>
      </c>
      <c r="O46" s="175">
        <f>'2022'!H120</f>
        <v>23941685.57</v>
      </c>
      <c r="P46" s="176">
        <f t="shared" si="6"/>
        <v>-153428.39999999851</v>
      </c>
      <c r="Q46" s="178">
        <f t="shared" si="3"/>
        <v>-6.4084209756831712E-3</v>
      </c>
      <c r="R46" s="175">
        <f>'2021'!H46</f>
        <v>21028699.079999998</v>
      </c>
      <c r="S46" s="176">
        <f t="shared" si="4"/>
        <v>2759558.0900000036</v>
      </c>
      <c r="T46" s="178">
        <f t="shared" si="5"/>
        <v>0.13122818865312347</v>
      </c>
    </row>
    <row r="47" spans="1:20">
      <c r="A47" s="150">
        <v>44</v>
      </c>
      <c r="B47" s="534" t="str">
        <f>+VLOOKUP($A47,Master!$D$29:$G$225,4,FALSE)</f>
        <v>Capital Expenditure</v>
      </c>
      <c r="C47" s="535"/>
      <c r="D47" s="535"/>
      <c r="E47" s="535"/>
      <c r="F47" s="535"/>
      <c r="G47" s="175">
        <f>'2022'!S47</f>
        <v>27667013.050000001</v>
      </c>
      <c r="H47" s="175">
        <f>SUM('2022'!G121:H121)</f>
        <v>35092858.420000002</v>
      </c>
      <c r="I47" s="176">
        <f t="shared" si="0"/>
        <v>-7425845.370000001</v>
      </c>
      <c r="J47" s="178">
        <f t="shared" si="1"/>
        <v>-0.2116056002371095</v>
      </c>
      <c r="K47" s="175">
        <f>SUM('2021'!G47:H47)</f>
        <v>18846045.75</v>
      </c>
      <c r="L47" s="176">
        <f t="shared" si="7"/>
        <v>8820967.3000000007</v>
      </c>
      <c r="M47" s="178">
        <f t="shared" si="2"/>
        <v>0.46805401074652497</v>
      </c>
      <c r="N47" s="175">
        <f>'2022'!H47</f>
        <v>11650538.710000001</v>
      </c>
      <c r="O47" s="175">
        <f>'2022'!H121</f>
        <v>15424249.750000004</v>
      </c>
      <c r="P47" s="176">
        <f t="shared" si="6"/>
        <v>-3773711.0400000028</v>
      </c>
      <c r="Q47" s="178">
        <f t="shared" si="3"/>
        <v>-0.24466091389631461</v>
      </c>
      <c r="R47" s="175">
        <f>'2021'!H47</f>
        <v>7242535.6200000001</v>
      </c>
      <c r="S47" s="176">
        <f t="shared" si="4"/>
        <v>4408003.0900000008</v>
      </c>
      <c r="T47" s="178">
        <f t="shared" si="5"/>
        <v>0.60862705014904717</v>
      </c>
    </row>
    <row r="48" spans="1:20">
      <c r="A48" s="150">
        <v>451</v>
      </c>
      <c r="B48" s="504" t="str">
        <f>+VLOOKUP($A48,Master!$D$29:$G$225,4,FALSE)</f>
        <v>Credits and Borrowings</v>
      </c>
      <c r="C48" s="505"/>
      <c r="D48" s="505"/>
      <c r="E48" s="505"/>
      <c r="F48" s="505"/>
      <c r="G48" s="163">
        <f>'2022'!S48</f>
        <v>248510</v>
      </c>
      <c r="H48" s="163">
        <f>SUM('2022'!G122:H122)</f>
        <v>245666.81999999998</v>
      </c>
      <c r="I48" s="164">
        <f>G48-H48</f>
        <v>2843.1800000000221</v>
      </c>
      <c r="J48" s="282">
        <f t="shared" si="1"/>
        <v>1.1573317064144106E-2</v>
      </c>
      <c r="K48" s="163">
        <f>SUM('2021'!G48:H48)</f>
        <v>259894</v>
      </c>
      <c r="L48" s="279">
        <f t="shared" si="7"/>
        <v>-11384</v>
      </c>
      <c r="M48" s="282">
        <f t="shared" si="2"/>
        <v>-4.3802473316044255E-2</v>
      </c>
      <c r="N48" s="163">
        <f>'2022'!H48</f>
        <v>248510</v>
      </c>
      <c r="O48" s="163">
        <f>'2022'!H122</f>
        <v>243666.74</v>
      </c>
      <c r="P48" s="164">
        <f t="shared" si="6"/>
        <v>4843.2600000000093</v>
      </c>
      <c r="Q48" s="282">
        <f t="shared" si="3"/>
        <v>1.9876574045353923E-2</v>
      </c>
      <c r="R48" s="163">
        <f>'2021'!H48</f>
        <v>259894</v>
      </c>
      <c r="S48" s="279">
        <f>+N48-R48-S58</f>
        <v>-11384</v>
      </c>
      <c r="T48" s="282">
        <f t="shared" si="5"/>
        <v>-4.3802473316044255E-2</v>
      </c>
    </row>
    <row r="49" spans="1:23">
      <c r="A49" s="150">
        <v>47</v>
      </c>
      <c r="B49" s="504" t="str">
        <f>+VLOOKUP($A49,Master!$D$29:$G$225,4,FALSE)</f>
        <v>Reserves</v>
      </c>
      <c r="C49" s="505"/>
      <c r="D49" s="505"/>
      <c r="E49" s="505"/>
      <c r="F49" s="505"/>
      <c r="G49" s="163">
        <f>'2022'!S49</f>
        <v>761510</v>
      </c>
      <c r="H49" s="163">
        <f>SUM('2022'!G123:H123)</f>
        <v>6744235.3600000003</v>
      </c>
      <c r="I49" s="164">
        <f t="shared" ref="I49:I50" si="8">G49-H49</f>
        <v>-5982725.3600000003</v>
      </c>
      <c r="J49" s="283">
        <f t="shared" si="1"/>
        <v>-0.88708727389371533</v>
      </c>
      <c r="K49" s="163">
        <f>SUM('2021'!G49:H49)</f>
        <v>24282119.879999999</v>
      </c>
      <c r="L49" s="280">
        <f t="shared" si="7"/>
        <v>-23520609.879999999</v>
      </c>
      <c r="M49" s="283">
        <f t="shared" si="2"/>
        <v>-0.96863906430891078</v>
      </c>
      <c r="N49" s="163">
        <f>'2022'!H49</f>
        <v>495710</v>
      </c>
      <c r="O49" s="163">
        <f>'2022'!H123</f>
        <v>3372117.68</v>
      </c>
      <c r="P49" s="164">
        <f t="shared" si="6"/>
        <v>-2876407.68</v>
      </c>
      <c r="Q49" s="283">
        <f t="shared" si="3"/>
        <v>-0.85299741971045329</v>
      </c>
      <c r="R49" s="163">
        <f>'2021'!H49</f>
        <v>20728264.5</v>
      </c>
      <c r="S49" s="280">
        <f t="shared" si="4"/>
        <v>-20232554.5</v>
      </c>
      <c r="T49" s="283">
        <f t="shared" si="5"/>
        <v>-0.97608531095307083</v>
      </c>
      <c r="W49" s="344"/>
    </row>
    <row r="50" spans="1:23" ht="15.75" thickBot="1">
      <c r="A50" s="150">
        <v>462</v>
      </c>
      <c r="B50" s="522" t="str">
        <f>+VLOOKUP($A50,Master!$D$29:$G$225,4,FALSE)</f>
        <v>Repayment of Guarantees</v>
      </c>
      <c r="C50" s="523"/>
      <c r="D50" s="523"/>
      <c r="E50" s="523"/>
      <c r="F50" s="523"/>
      <c r="G50" s="163">
        <f>'2022'!S50</f>
        <v>0</v>
      </c>
      <c r="H50" s="163">
        <f>SUM('2022'!G124:H124)</f>
        <v>0</v>
      </c>
      <c r="I50" s="164">
        <f t="shared" si="8"/>
        <v>0</v>
      </c>
      <c r="J50" s="284" t="str">
        <f t="shared" si="1"/>
        <v>...</v>
      </c>
      <c r="K50" s="163">
        <f>SUM('2021'!G50:H50)</f>
        <v>3831496.4</v>
      </c>
      <c r="L50" s="280">
        <f t="shared" si="7"/>
        <v>-3831496.4</v>
      </c>
      <c r="M50" s="284">
        <f t="shared" si="2"/>
        <v>-1</v>
      </c>
      <c r="N50" s="163">
        <f>'2022'!H50</f>
        <v>0</v>
      </c>
      <c r="O50" s="163">
        <f>'2022'!H124</f>
        <v>0</v>
      </c>
      <c r="P50" s="164">
        <f t="shared" si="6"/>
        <v>0</v>
      </c>
      <c r="Q50" s="284" t="str">
        <f t="shared" si="3"/>
        <v>...</v>
      </c>
      <c r="R50" s="163">
        <f>'2021'!H50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22" t="str">
        <f>+VLOOKUP($A51,Master!$D$29:$G$225,4,FALSE)</f>
        <v>Repayments of liabilities form the previous period</v>
      </c>
      <c r="C51" s="523"/>
      <c r="D51" s="523"/>
      <c r="E51" s="523"/>
      <c r="F51" s="523"/>
      <c r="G51" s="314">
        <f>'2022'!S51</f>
        <v>21477240.119999997</v>
      </c>
      <c r="H51" s="314">
        <f>SUM('2022'!G125:H125)</f>
        <v>19793768.320000004</v>
      </c>
      <c r="I51" s="281">
        <f>G51-H51</f>
        <v>1683471.7999999933</v>
      </c>
      <c r="J51" s="285">
        <f t="shared" si="1"/>
        <v>8.50505963687056E-2</v>
      </c>
      <c r="K51" s="314">
        <f>SUM('2021'!G51:H51)</f>
        <v>2661227.9299999997</v>
      </c>
      <c r="L51" s="287">
        <f t="shared" si="7"/>
        <v>18816012.189999998</v>
      </c>
      <c r="M51" s="285" t="str">
        <f t="shared" si="2"/>
        <v>...</v>
      </c>
      <c r="N51" s="314">
        <f>'2022'!H51</f>
        <v>3946389.9</v>
      </c>
      <c r="O51" s="314">
        <f>'2022'!H125</f>
        <v>1656073.6600000036</v>
      </c>
      <c r="P51" s="281">
        <f>N51-O51</f>
        <v>2290316.2399999965</v>
      </c>
      <c r="Q51" s="285">
        <f t="shared" si="3"/>
        <v>1.3829796918574209</v>
      </c>
      <c r="R51" s="314">
        <f>'2021'!H51</f>
        <v>1642283.23</v>
      </c>
      <c r="S51" s="287">
        <f>+N51-R51</f>
        <v>2304106.67</v>
      </c>
      <c r="T51" s="285">
        <f t="shared" si="5"/>
        <v>1.4029898302012134</v>
      </c>
    </row>
    <row r="52" spans="1:23" ht="15.75" thickBot="1">
      <c r="A52" s="144">
        <v>1005</v>
      </c>
      <c r="B52" s="522" t="str">
        <f>+VLOOKUP($A52,Master!$D$29:$G$227,4,FALSE)</f>
        <v>Net increase of liabilities</v>
      </c>
      <c r="C52" s="523"/>
      <c r="D52" s="523"/>
      <c r="E52" s="523"/>
      <c r="F52" s="523"/>
      <c r="G52" s="163">
        <f>'2022'!S52</f>
        <v>0</v>
      </c>
      <c r="H52" s="163">
        <f>SUM('2022'!G126:H126)</f>
        <v>0</v>
      </c>
      <c r="I52" s="281">
        <f>G52-H52</f>
        <v>0</v>
      </c>
      <c r="J52" s="285" t="str">
        <f t="shared" si="1"/>
        <v>...</v>
      </c>
      <c r="K52" s="163">
        <f>SUM('2021'!G52:H52)</f>
        <v>0</v>
      </c>
      <c r="L52" s="287">
        <f t="shared" si="7"/>
        <v>0</v>
      </c>
      <c r="M52" s="285" t="str">
        <f t="shared" si="2"/>
        <v>...</v>
      </c>
      <c r="N52" s="163">
        <f>'2022'!H52</f>
        <v>0</v>
      </c>
      <c r="O52" s="163">
        <f>'2022'!H126</f>
        <v>0</v>
      </c>
      <c r="P52" s="281">
        <f>N52-O52</f>
        <v>0</v>
      </c>
      <c r="Q52" s="285" t="str">
        <f t="shared" si="3"/>
        <v>...</v>
      </c>
      <c r="R52" s="163">
        <f>'2021'!H52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28" t="str">
        <f>+VLOOKUP($A53,Master!$D$29:$G$225,4,FALSE)</f>
        <v>Surplus / deficit</v>
      </c>
      <c r="C53" s="529"/>
      <c r="D53" s="529"/>
      <c r="E53" s="529"/>
      <c r="F53" s="529"/>
      <c r="G53" s="151">
        <f>'2022'!S53</f>
        <v>-54391779.00999999</v>
      </c>
      <c r="H53" s="151">
        <f>SUM('2022'!G127:H127)</f>
        <v>-121196065.45637453</v>
      </c>
      <c r="I53" s="320">
        <f>+G53-H53</f>
        <v>66804286.446374536</v>
      </c>
      <c r="J53" s="286">
        <f t="shared" si="1"/>
        <v>-0.55120837623578844</v>
      </c>
      <c r="K53" s="151">
        <f>SUM('2021'!G53:H53)</f>
        <v>-92972785.24000001</v>
      </c>
      <c r="L53" s="288">
        <f t="shared" si="7"/>
        <v>38581006.230000019</v>
      </c>
      <c r="M53" s="286">
        <f t="shared" si="2"/>
        <v>-0.41497096306630998</v>
      </c>
      <c r="N53" s="151">
        <f>'2022'!H53</f>
        <v>-26670650.029999986</v>
      </c>
      <c r="O53" s="151">
        <f>'2022'!H127</f>
        <v>-47248211.594009668</v>
      </c>
      <c r="P53" s="320">
        <f>N53-O53</f>
        <v>20577561.564009681</v>
      </c>
      <c r="Q53" s="286">
        <f t="shared" si="3"/>
        <v>-0.4355204328330301</v>
      </c>
      <c r="R53" s="151">
        <f>'2021'!H53</f>
        <v>-54221110.310000017</v>
      </c>
      <c r="S53" s="288">
        <f t="shared" si="4"/>
        <v>27550460.280000031</v>
      </c>
      <c r="T53" s="286">
        <f t="shared" si="5"/>
        <v>-0.50811317072787587</v>
      </c>
    </row>
    <row r="54" spans="1:23" ht="15.75" thickBot="1">
      <c r="A54" s="144">
        <v>1001</v>
      </c>
      <c r="B54" s="530" t="str">
        <f>+VLOOKUP($A54,Master!$D$29:$G$225,4,FALSE)</f>
        <v>Primary surplus/deficit</v>
      </c>
      <c r="C54" s="531"/>
      <c r="D54" s="531"/>
      <c r="E54" s="531"/>
      <c r="F54" s="531"/>
      <c r="G54" s="151">
        <f>'2022'!S54</f>
        <v>-49266672.569999993</v>
      </c>
      <c r="H54" s="151">
        <f>SUM('2022'!G128:H128)</f>
        <v>-115927764.42637452</v>
      </c>
      <c r="I54" s="206">
        <f t="shared" si="0"/>
        <v>66661091.856374532</v>
      </c>
      <c r="J54" s="208">
        <f t="shared" si="1"/>
        <v>-0.57502266334749219</v>
      </c>
      <c r="K54" s="151">
        <f>SUM('2021'!G54:H54)</f>
        <v>-83431109.790000007</v>
      </c>
      <c r="L54" s="206">
        <f t="shared" si="7"/>
        <v>34164437.220000014</v>
      </c>
      <c r="M54" s="208">
        <f t="shared" si="2"/>
        <v>-0.40949278160141334</v>
      </c>
      <c r="N54" s="151">
        <f>'2022'!H54</f>
        <v>-25400305.839999985</v>
      </c>
      <c r="O54" s="151">
        <f>'2022'!H128</f>
        <v>-46208952.244009666</v>
      </c>
      <c r="P54" s="206">
        <f t="shared" si="6"/>
        <v>20808646.404009681</v>
      </c>
      <c r="Q54" s="208">
        <f t="shared" si="3"/>
        <v>-0.45031634333815107</v>
      </c>
      <c r="R54" s="151">
        <f>'2021'!H54</f>
        <v>-52256919.930000015</v>
      </c>
      <c r="S54" s="206">
        <f t="shared" si="4"/>
        <v>26856614.09000003</v>
      </c>
      <c r="T54" s="208">
        <f t="shared" si="5"/>
        <v>-0.51393411869615369</v>
      </c>
    </row>
    <row r="55" spans="1:23">
      <c r="A55" s="144">
        <v>46</v>
      </c>
      <c r="B55" s="552" t="str">
        <f>+VLOOKUP($A55,Master!$D$29:$G$225,4,FALSE)</f>
        <v>Repayment of Debt</v>
      </c>
      <c r="C55" s="553"/>
      <c r="D55" s="553"/>
      <c r="E55" s="553"/>
      <c r="F55" s="553"/>
      <c r="G55" s="491">
        <f>'2022'!S55</f>
        <v>42640260.100000001</v>
      </c>
      <c r="H55" s="491">
        <f>SUM('2022'!G129:H129)</f>
        <v>32089902.16</v>
      </c>
      <c r="I55" s="492">
        <f t="shared" si="0"/>
        <v>10550357.940000001</v>
      </c>
      <c r="J55" s="493">
        <f t="shared" si="1"/>
        <v>0.32877501113577723</v>
      </c>
      <c r="K55" s="491">
        <f>SUM('2021'!G55:H55)</f>
        <v>47585790.170000002</v>
      </c>
      <c r="L55" s="492">
        <f t="shared" si="7"/>
        <v>-4945530.07</v>
      </c>
      <c r="M55" s="493">
        <f t="shared" si="2"/>
        <v>-0.10392871595348352</v>
      </c>
      <c r="N55" s="491">
        <f>'2022'!H55</f>
        <v>14209001.130000001</v>
      </c>
      <c r="O55" s="491">
        <f>'2022'!H129</f>
        <v>6751953.7100000009</v>
      </c>
      <c r="P55" s="492">
        <f t="shared" si="6"/>
        <v>7457047.4199999999</v>
      </c>
      <c r="Q55" s="493">
        <f t="shared" si="3"/>
        <v>1.1044281018923039</v>
      </c>
      <c r="R55" s="491">
        <f>'2021'!H55</f>
        <v>24255021.350000001</v>
      </c>
      <c r="S55" s="492">
        <f t="shared" si="4"/>
        <v>-10046020.220000001</v>
      </c>
      <c r="T55" s="493">
        <f t="shared" si="5"/>
        <v>-0.41418311181985412</v>
      </c>
    </row>
    <row r="56" spans="1:23">
      <c r="A56" s="144">
        <v>4611</v>
      </c>
      <c r="B56" s="504" t="str">
        <f>+VLOOKUP($A56,Master!$D$29:$G$225,4,FALSE)</f>
        <v>Repayment of Domestic Debt</v>
      </c>
      <c r="C56" s="505"/>
      <c r="D56" s="505"/>
      <c r="E56" s="505"/>
      <c r="F56" s="505"/>
      <c r="G56" s="163">
        <f>'2022'!S56</f>
        <v>5478165.3000000007</v>
      </c>
      <c r="H56" s="163">
        <f>SUM('2022'!G130:H130)</f>
        <v>3694294.7600000002</v>
      </c>
      <c r="I56" s="212">
        <f t="shared" si="0"/>
        <v>1783870.5400000005</v>
      </c>
      <c r="J56" s="214">
        <f t="shared" si="1"/>
        <v>0.48287174031559954</v>
      </c>
      <c r="K56" s="163">
        <f>SUM('2021'!G56:H56)</f>
        <v>35434429.810000002</v>
      </c>
      <c r="L56" s="212">
        <f t="shared" si="7"/>
        <v>-29956264.510000002</v>
      </c>
      <c r="M56" s="214">
        <f t="shared" si="2"/>
        <v>-0.84539993081943143</v>
      </c>
      <c r="N56" s="163">
        <f>'2022'!H56</f>
        <v>3087670.22</v>
      </c>
      <c r="O56" s="163">
        <f>'2022'!H130</f>
        <v>3087670.22</v>
      </c>
      <c r="P56" s="212">
        <f t="shared" si="6"/>
        <v>0</v>
      </c>
      <c r="Q56" s="214">
        <f t="shared" si="3"/>
        <v>0</v>
      </c>
      <c r="R56" s="163">
        <f>'2021'!H56</f>
        <v>13534429.810000001</v>
      </c>
      <c r="S56" s="212">
        <f t="shared" si="4"/>
        <v>-10446759.59</v>
      </c>
      <c r="T56" s="214">
        <f t="shared" si="5"/>
        <v>-0.77186551163620831</v>
      </c>
    </row>
    <row r="57" spans="1:23">
      <c r="A57" s="144">
        <v>4612</v>
      </c>
      <c r="B57" s="504" t="str">
        <f>+VLOOKUP($A57,Master!$D$29:$G$225,4,FALSE)</f>
        <v>Repayment of Foreign Debt</v>
      </c>
      <c r="C57" s="505"/>
      <c r="D57" s="505"/>
      <c r="E57" s="505"/>
      <c r="F57" s="505"/>
      <c r="G57" s="163">
        <f>'2022'!S57</f>
        <v>37162094.799999997</v>
      </c>
      <c r="H57" s="163">
        <f>SUM('2022'!G131:H131)</f>
        <v>28395607.399999999</v>
      </c>
      <c r="I57" s="212">
        <f t="shared" si="0"/>
        <v>8766487.3999999985</v>
      </c>
      <c r="J57" s="214">
        <f t="shared" si="1"/>
        <v>0.30872688428563078</v>
      </c>
      <c r="K57" s="163">
        <f>SUM('2021'!G57:H57)</f>
        <v>12151360.359999999</v>
      </c>
      <c r="L57" s="212">
        <f t="shared" si="7"/>
        <v>25010734.439999998</v>
      </c>
      <c r="M57" s="214" t="str">
        <f t="shared" si="2"/>
        <v>...</v>
      </c>
      <c r="N57" s="163">
        <f>'2022'!H57</f>
        <v>11121330.91</v>
      </c>
      <c r="O57" s="163">
        <f>'2022'!H131</f>
        <v>3664283.49</v>
      </c>
      <c r="P57" s="212">
        <f t="shared" si="6"/>
        <v>7457047.4199999999</v>
      </c>
      <c r="Q57" s="214" t="str">
        <f t="shared" si="3"/>
        <v>...</v>
      </c>
      <c r="R57" s="163">
        <f>'2021'!H57</f>
        <v>10720591.539999999</v>
      </c>
      <c r="S57" s="212">
        <f t="shared" si="4"/>
        <v>400739.37000000104</v>
      </c>
      <c r="T57" s="214">
        <f t="shared" si="5"/>
        <v>3.7380341234416692E-2</v>
      </c>
    </row>
    <row r="58" spans="1:23" ht="15.75" thickBot="1">
      <c r="A58" s="144">
        <v>4418</v>
      </c>
      <c r="B58" s="532" t="str">
        <f>+VLOOKUP($A58,Master!$D$29:$G$225,4,FALSE)</f>
        <v>Capital Expenditure for Securities</v>
      </c>
      <c r="C58" s="533"/>
      <c r="D58" s="533"/>
      <c r="E58" s="533"/>
      <c r="F58" s="533"/>
      <c r="G58" s="335">
        <f>'2022'!S58</f>
        <v>0</v>
      </c>
      <c r="H58" s="335">
        <f>SUM('2022'!G132:H132)</f>
        <v>93073.34</v>
      </c>
      <c r="I58" s="336">
        <f t="shared" ref="I58:I64" si="9">+G58-H58</f>
        <v>-93073.34</v>
      </c>
      <c r="J58" s="337">
        <f t="shared" si="1"/>
        <v>-1</v>
      </c>
      <c r="K58" s="335">
        <f>SUM('2021'!G58:H58)</f>
        <v>0</v>
      </c>
      <c r="L58" s="336">
        <f t="shared" ref="L58:L64" si="10">+G58-K58</f>
        <v>0</v>
      </c>
      <c r="M58" s="337" t="str">
        <f t="shared" si="2"/>
        <v>...</v>
      </c>
      <c r="N58" s="335">
        <f>'2022'!H58</f>
        <v>0</v>
      </c>
      <c r="O58" s="335">
        <f>'2022'!H132</f>
        <v>46536.67</v>
      </c>
      <c r="P58" s="336">
        <f t="shared" ref="P58:P64" si="11">+N58-O58</f>
        <v>-46536.67</v>
      </c>
      <c r="Q58" s="337">
        <f t="shared" si="3"/>
        <v>-1</v>
      </c>
      <c r="R58" s="335">
        <f>'2021'!H58</f>
        <v>0</v>
      </c>
      <c r="S58" s="336">
        <f t="shared" ref="S58:S64" si="12">+N58-R58</f>
        <v>0</v>
      </c>
      <c r="T58" s="337" t="str">
        <f t="shared" si="5"/>
        <v>...</v>
      </c>
    </row>
    <row r="59" spans="1:23" ht="15.75" thickBot="1">
      <c r="A59" s="144">
        <v>1002</v>
      </c>
      <c r="B59" s="524" t="str">
        <f>+VLOOKUP($A59,Master!$D$29:$G$225,4,FALSE)</f>
        <v>Financing needs</v>
      </c>
      <c r="C59" s="525"/>
      <c r="D59" s="525"/>
      <c r="E59" s="525"/>
      <c r="F59" s="525"/>
      <c r="G59" s="319">
        <f>'2022'!S59</f>
        <v>-97032039.109999985</v>
      </c>
      <c r="H59" s="319">
        <f>SUM('2022'!G133:H133)</f>
        <v>-153379040.95637453</v>
      </c>
      <c r="I59" s="321">
        <f t="shared" si="9"/>
        <v>56347001.846374542</v>
      </c>
      <c r="J59" s="322">
        <f t="shared" si="1"/>
        <v>-0.3673709360485653</v>
      </c>
      <c r="K59" s="319">
        <f>SUM('2021'!G59:H59)</f>
        <v>-140558575.41000003</v>
      </c>
      <c r="L59" s="321">
        <f t="shared" si="10"/>
        <v>43526536.300000042</v>
      </c>
      <c r="M59" s="322">
        <f t="shared" si="2"/>
        <v>-0.30966830855418126</v>
      </c>
      <c r="N59" s="319">
        <f>'2022'!H59</f>
        <v>-40879651.159999989</v>
      </c>
      <c r="O59" s="319">
        <f>'2022'!H133</f>
        <v>-54046701.97400967</v>
      </c>
      <c r="P59" s="321">
        <f t="shared" si="11"/>
        <v>13167050.814009681</v>
      </c>
      <c r="Q59" s="322">
        <f t="shared" si="3"/>
        <v>-0.24362357614978136</v>
      </c>
      <c r="R59" s="319">
        <f>'2021'!H59</f>
        <v>-78476131.660000026</v>
      </c>
      <c r="S59" s="321">
        <f t="shared" si="12"/>
        <v>37596480.500000037</v>
      </c>
      <c r="T59" s="322">
        <f t="shared" si="5"/>
        <v>-0.47908172465594778</v>
      </c>
    </row>
    <row r="60" spans="1:23" ht="15.75" thickBot="1">
      <c r="A60" s="144">
        <v>1003</v>
      </c>
      <c r="B60" s="526" t="str">
        <f>+VLOOKUP($A60,Master!$D$29:$G$225,4,FALSE)</f>
        <v>Financing</v>
      </c>
      <c r="C60" s="527"/>
      <c r="D60" s="527"/>
      <c r="E60" s="527"/>
      <c r="F60" s="527"/>
      <c r="G60" s="151">
        <f>'2022'!S60</f>
        <v>97032039.109999985</v>
      </c>
      <c r="H60" s="151">
        <f>SUM('2022'!G134:H134)</f>
        <v>153379040.95637453</v>
      </c>
      <c r="I60" s="320">
        <f t="shared" si="9"/>
        <v>-56347001.846374542</v>
      </c>
      <c r="J60" s="323">
        <f t="shared" si="1"/>
        <v>-0.3673709360485653</v>
      </c>
      <c r="K60" s="151">
        <f>SUM('2021'!G60:H60)</f>
        <v>140558575.41000003</v>
      </c>
      <c r="L60" s="320">
        <f t="shared" si="10"/>
        <v>-43526536.300000042</v>
      </c>
      <c r="M60" s="323">
        <f t="shared" si="2"/>
        <v>-0.30966830855418126</v>
      </c>
      <c r="N60" s="151">
        <f>'2022'!H60</f>
        <v>40879651.159999989</v>
      </c>
      <c r="O60" s="151">
        <f>'2022'!H134</f>
        <v>54046701.974009678</v>
      </c>
      <c r="P60" s="320">
        <f t="shared" si="11"/>
        <v>-13167050.814009689</v>
      </c>
      <c r="Q60" s="323">
        <f t="shared" si="3"/>
        <v>-0.24362357614978147</v>
      </c>
      <c r="R60" s="151">
        <f>'2021'!H60</f>
        <v>78476131.660000026</v>
      </c>
      <c r="S60" s="320">
        <f t="shared" si="12"/>
        <v>-37596480.500000037</v>
      </c>
      <c r="T60" s="323">
        <f t="shared" si="5"/>
        <v>-0.47908172465594778</v>
      </c>
    </row>
    <row r="61" spans="1:23">
      <c r="A61" s="144">
        <v>7511</v>
      </c>
      <c r="B61" s="520" t="str">
        <f>+VLOOKUP($A61,Master!$D$29:$G$225,4,FALSE)</f>
        <v>Domestic Loans and Borrowings</v>
      </c>
      <c r="C61" s="521"/>
      <c r="D61" s="521"/>
      <c r="E61" s="521"/>
      <c r="F61" s="521"/>
      <c r="G61" s="483">
        <f>'2022'!S61</f>
        <v>0</v>
      </c>
      <c r="H61" s="483">
        <f>SUM('2022'!G135:H135)</f>
        <v>0</v>
      </c>
      <c r="I61" s="212">
        <f t="shared" si="9"/>
        <v>0</v>
      </c>
      <c r="J61" s="214" t="str">
        <f t="shared" si="1"/>
        <v>...</v>
      </c>
      <c r="K61" s="483">
        <f>SUM('2021'!G61:H61)</f>
        <v>0</v>
      </c>
      <c r="L61" s="212">
        <f t="shared" si="10"/>
        <v>0</v>
      </c>
      <c r="M61" s="214" t="str">
        <f t="shared" si="2"/>
        <v>...</v>
      </c>
      <c r="N61" s="163">
        <f>'2022'!H61</f>
        <v>0</v>
      </c>
      <c r="O61" s="163">
        <f>'2022'!H135</f>
        <v>0</v>
      </c>
      <c r="P61" s="212">
        <f t="shared" si="11"/>
        <v>0</v>
      </c>
      <c r="Q61" s="214" t="str">
        <f t="shared" si="3"/>
        <v>...</v>
      </c>
      <c r="R61" s="163">
        <f>'2021'!H61</f>
        <v>0</v>
      </c>
      <c r="S61" s="212">
        <f t="shared" si="12"/>
        <v>0</v>
      </c>
      <c r="T61" s="214" t="str">
        <f t="shared" si="5"/>
        <v>...</v>
      </c>
    </row>
    <row r="62" spans="1:23">
      <c r="A62" s="144">
        <v>7512</v>
      </c>
      <c r="B62" s="504" t="str">
        <f>+VLOOKUP($A62,Master!$D$29:$G$225,4,FALSE)</f>
        <v>Foreign Loans and Borrowings</v>
      </c>
      <c r="C62" s="505"/>
      <c r="D62" s="505"/>
      <c r="E62" s="505"/>
      <c r="F62" s="505"/>
      <c r="G62" s="163">
        <f>'2022'!S62</f>
        <v>17674755.449999999</v>
      </c>
      <c r="H62" s="163">
        <f>SUM('2022'!G136:H136)</f>
        <v>25937108.943999998</v>
      </c>
      <c r="I62" s="212">
        <f t="shared" si="9"/>
        <v>-8262353.493999999</v>
      </c>
      <c r="J62" s="214">
        <f t="shared" si="1"/>
        <v>-0.31855337122726313</v>
      </c>
      <c r="K62" s="163">
        <f>SUM('2021'!G62:H62)</f>
        <v>12245420.16</v>
      </c>
      <c r="L62" s="212">
        <f t="shared" si="10"/>
        <v>5429335.2899999991</v>
      </c>
      <c r="M62" s="214">
        <f t="shared" si="2"/>
        <v>0.44337680692534098</v>
      </c>
      <c r="N62" s="163">
        <f>'2022'!H62</f>
        <v>4884760.53</v>
      </c>
      <c r="O62" s="163">
        <f>'2022'!H136</f>
        <v>9994404.4719999991</v>
      </c>
      <c r="P62" s="212">
        <f t="shared" si="11"/>
        <v>-5109643.9419999989</v>
      </c>
      <c r="Q62" s="214">
        <f t="shared" si="3"/>
        <v>-0.51125046582965616</v>
      </c>
      <c r="R62" s="163">
        <f>'2021'!H62</f>
        <v>4169340.21</v>
      </c>
      <c r="S62" s="212">
        <f t="shared" si="12"/>
        <v>715420.3200000003</v>
      </c>
      <c r="T62" s="214">
        <f t="shared" si="5"/>
        <v>0.1715907755102577</v>
      </c>
    </row>
    <row r="63" spans="1:23">
      <c r="A63" s="144">
        <v>72</v>
      </c>
      <c r="B63" s="504" t="str">
        <f>+VLOOKUP($A63,Master!$D$29:$G$225,4,FALSE)</f>
        <v>Revenues from Selling Assets</v>
      </c>
      <c r="C63" s="505"/>
      <c r="D63" s="505"/>
      <c r="E63" s="505"/>
      <c r="F63" s="505"/>
      <c r="G63" s="163">
        <f>'2022'!S63</f>
        <v>763698.80999999994</v>
      </c>
      <c r="H63" s="163">
        <f>SUM('2022'!G137:H137)</f>
        <v>1000000</v>
      </c>
      <c r="I63" s="212">
        <f t="shared" si="9"/>
        <v>-236301.19000000006</v>
      </c>
      <c r="J63" s="214">
        <f t="shared" si="1"/>
        <v>-0.23630119000000005</v>
      </c>
      <c r="K63" s="163">
        <f>SUM('2021'!G63:H63)</f>
        <v>64316.94</v>
      </c>
      <c r="L63" s="212">
        <f t="shared" si="10"/>
        <v>699381.86999999988</v>
      </c>
      <c r="M63" s="214" t="str">
        <f t="shared" si="2"/>
        <v>...</v>
      </c>
      <c r="N63" s="163">
        <f>'2022'!H63</f>
        <v>70539.22</v>
      </c>
      <c r="O63" s="163">
        <f>'2022'!H137</f>
        <v>500000</v>
      </c>
      <c r="P63" s="212">
        <f t="shared" si="11"/>
        <v>-429460.78</v>
      </c>
      <c r="Q63" s="214">
        <f t="shared" si="3"/>
        <v>-0.85892155999999997</v>
      </c>
      <c r="R63" s="163">
        <f>'2021'!H63</f>
        <v>29568.33</v>
      </c>
      <c r="S63" s="212">
        <f t="shared" si="12"/>
        <v>40970.89</v>
      </c>
      <c r="T63" s="214">
        <f t="shared" si="5"/>
        <v>1.3856342241851332</v>
      </c>
    </row>
    <row r="64" spans="1:23" ht="15.7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317">
        <f>'2022'!S64</f>
        <v>78593584.849999994</v>
      </c>
      <c r="H64" s="317">
        <f>SUM('2022'!G138:H138)</f>
        <v>126441932.01237454</v>
      </c>
      <c r="I64" s="226">
        <f t="shared" si="9"/>
        <v>-47848347.162374541</v>
      </c>
      <c r="J64" s="228">
        <f t="shared" si="1"/>
        <v>-0.37842151255401368</v>
      </c>
      <c r="K64" s="317">
        <f>SUM('2021'!G64:H64)</f>
        <v>128248838.31</v>
      </c>
      <c r="L64" s="226">
        <f t="shared" si="10"/>
        <v>-49655253.460000008</v>
      </c>
      <c r="M64" s="228">
        <f t="shared" si="2"/>
        <v>-0.38717897264671142</v>
      </c>
      <c r="N64" s="317">
        <f>'2022'!H64</f>
        <v>35924351.409999989</v>
      </c>
      <c r="O64" s="317">
        <f>'2022'!H138</f>
        <v>43552297.502009675</v>
      </c>
      <c r="P64" s="226">
        <f t="shared" si="11"/>
        <v>-7627946.0920096859</v>
      </c>
      <c r="Q64" s="228">
        <f t="shared" si="3"/>
        <v>-0.17514451658164998</v>
      </c>
      <c r="R64" s="317">
        <f>'2021'!H64</f>
        <v>74277223.12000002</v>
      </c>
      <c r="S64" s="226">
        <f t="shared" si="12"/>
        <v>-38352871.710000031</v>
      </c>
      <c r="T64" s="228">
        <f t="shared" si="5"/>
        <v>-0.51634767831907635</v>
      </c>
    </row>
    <row r="65" spans="6:18">
      <c r="G65" s="290"/>
    </row>
    <row r="66" spans="6:18">
      <c r="G66" s="5"/>
    </row>
    <row r="67" spans="6:18">
      <c r="F67" s="290"/>
      <c r="G67" s="5"/>
      <c r="H67" s="290"/>
      <c r="N67" s="501"/>
    </row>
    <row r="68" spans="6:18">
      <c r="G68" s="5"/>
    </row>
    <row r="69" spans="6:18">
      <c r="G69" s="5"/>
      <c r="R69" s="345"/>
    </row>
    <row r="70" spans="6:18">
      <c r="G70" s="5"/>
    </row>
  </sheetData>
  <sheetProtection algorithmName="SHA-512" hashValue="TtVZJREVWpRS5qicKh/ieh2/GXLtwa/4DkprLv2hNJIPakaEFnarqO6wtg/DHMjQoZkSLdl4ZbDimTXbGnQ8Sw==" saltValue="4KLbg72dlz5W91ceexVkXg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11811023622047245" right="0.11811023622047245" top="0.19685039370078741" bottom="0.19685039370078741" header="0.31496062992125984" footer="0.31496062992125984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46"/>
  <sheetViews>
    <sheetView zoomScaleNormal="100" workbookViewId="0">
      <pane ySplit="1" topLeftCell="A2" activePane="bottomLeft" state="frozen"/>
      <selection pane="bottomLeft" activeCell="G10" sqref="G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7" width="12.28515625" style="258" bestFit="1" customWidth="1"/>
    <col min="8" max="9" width="10.7109375" style="258" customWidth="1"/>
    <col min="10" max="10" width="14.42578125" style="258" customWidth="1"/>
    <col min="11" max="11" width="10.7109375" style="258" customWidth="1"/>
    <col min="12" max="12" width="12.28515625" style="258" bestFit="1" customWidth="1"/>
    <col min="13" max="14" width="10.7109375" style="258" customWidth="1"/>
    <col min="15" max="16" width="12.28515625" style="258" bestFit="1" customWidth="1"/>
    <col min="17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Montenegro</v>
      </c>
      <c r="F2" s="126"/>
      <c r="G2" s="126"/>
      <c r="H2" s="126"/>
      <c r="I2" s="129"/>
      <c r="J2" s="126"/>
      <c r="K2" s="126"/>
      <c r="L2" s="500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Ministry of Finance and social welfare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500"/>
      <c r="C4" s="126"/>
      <c r="D4" s="126"/>
      <c r="E4" s="129" t="str">
        <f>+Master!G8</f>
        <v>Directorate for State Budget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0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828</v>
      </c>
      <c r="H6" s="234" t="s">
        <v>829</v>
      </c>
      <c r="I6" s="234" t="s">
        <v>830</v>
      </c>
      <c r="J6" s="234" t="s">
        <v>831</v>
      </c>
      <c r="K6" s="234" t="s">
        <v>832</v>
      </c>
      <c r="L6" s="234" t="s">
        <v>833</v>
      </c>
      <c r="M6" s="234" t="s">
        <v>834</v>
      </c>
      <c r="N6" s="234" t="s">
        <v>835</v>
      </c>
      <c r="O6" s="234" t="s">
        <v>836</v>
      </c>
      <c r="P6" s="234" t="s">
        <v>837</v>
      </c>
      <c r="Q6" s="234" t="s">
        <v>838</v>
      </c>
      <c r="R6" s="234" t="s">
        <v>839</v>
      </c>
      <c r="S6" s="233"/>
      <c r="T6" s="233"/>
    </row>
    <row r="7" spans="1:20" ht="15" customHeight="1" thickBot="1">
      <c r="A7" s="144"/>
      <c r="B7" s="607" t="str">
        <f>+Master!G251</f>
        <v>Budget Execution</v>
      </c>
      <c r="C7" s="507"/>
      <c r="D7" s="507"/>
      <c r="E7" s="507"/>
      <c r="F7" s="507"/>
      <c r="G7" s="515">
        <v>2022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GDP</v>
      </c>
      <c r="T7" s="236">
        <v>5306400000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January</v>
      </c>
      <c r="H8" s="145" t="str">
        <f>+Master!G232</f>
        <v>February</v>
      </c>
      <c r="I8" s="145" t="str">
        <f>+Master!G233</f>
        <v>March</v>
      </c>
      <c r="J8" s="145" t="str">
        <f>+Master!G234</f>
        <v>April</v>
      </c>
      <c r="K8" s="145" t="str">
        <f>+Master!G235</f>
        <v>May</v>
      </c>
      <c r="L8" s="145" t="str">
        <f>+Master!G236</f>
        <v>June</v>
      </c>
      <c r="M8" s="145" t="str">
        <f>+Master!G237</f>
        <v>July</v>
      </c>
      <c r="N8" s="145" t="str">
        <f>+Master!G238</f>
        <v>August</v>
      </c>
      <c r="O8" s="145" t="str">
        <f>+Master!G239</f>
        <v>September</v>
      </c>
      <c r="P8" s="145" t="str">
        <f>+Master!G240</f>
        <v>October</v>
      </c>
      <c r="Q8" s="145" t="str">
        <f>+Master!G241</f>
        <v>November</v>
      </c>
      <c r="R8" s="145" t="str">
        <f>+Master!G242</f>
        <v>December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GDP</v>
      </c>
    </row>
    <row r="10" spans="1:20" ht="13.5" thickBot="1">
      <c r="A10" s="150">
        <v>7</v>
      </c>
      <c r="B10" s="548" t="str">
        <f>+VLOOKUP($A10,Master!$D$29:$G$225,4,FALSE)</f>
        <v>Total Revenues</v>
      </c>
      <c r="C10" s="549"/>
      <c r="D10" s="549"/>
      <c r="E10" s="549"/>
      <c r="F10" s="549"/>
      <c r="G10" s="151">
        <f>+G11+G19+SUM(G24:G28)</f>
        <v>107803916.42999999</v>
      </c>
      <c r="H10" s="151">
        <f t="shared" ref="H10:R10" si="1">+H11+H19+SUM(H24:H28)</f>
        <v>124160048.79000001</v>
      </c>
      <c r="I10" s="151">
        <f t="shared" si="1"/>
        <v>0</v>
      </c>
      <c r="J10" s="151">
        <f t="shared" si="1"/>
        <v>0</v>
      </c>
      <c r="K10" s="151">
        <f t="shared" si="1"/>
        <v>0</v>
      </c>
      <c r="L10" s="151">
        <f t="shared" si="1"/>
        <v>0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231963965.22</v>
      </c>
      <c r="T10" s="462">
        <f>+S10/$T$7*100</f>
        <v>4.3713999174581639</v>
      </c>
    </row>
    <row r="11" spans="1:20">
      <c r="A11" s="150">
        <v>711</v>
      </c>
      <c r="B11" s="550" t="str">
        <f>+VLOOKUP($A11,Master!$D$29:$G$225,4,FALSE)</f>
        <v>Taxes</v>
      </c>
      <c r="C11" s="551"/>
      <c r="D11" s="551"/>
      <c r="E11" s="551"/>
      <c r="F11" s="551"/>
      <c r="G11" s="157">
        <f t="shared" ref="G11:R11" si="2">+SUM(G12:G18)</f>
        <v>80559495.530000001</v>
      </c>
      <c r="H11" s="157">
        <f t="shared" si="2"/>
        <v>83215985.099999994</v>
      </c>
      <c r="I11" s="157">
        <f t="shared" si="2"/>
        <v>0</v>
      </c>
      <c r="J11" s="157">
        <f t="shared" si="2"/>
        <v>0</v>
      </c>
      <c r="K11" s="157">
        <f t="shared" si="2"/>
        <v>0</v>
      </c>
      <c r="L11" s="157">
        <f>+SUM(L12:L18)</f>
        <v>0</v>
      </c>
      <c r="M11" s="157">
        <f t="shared" si="2"/>
        <v>0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163775480.63</v>
      </c>
      <c r="T11" s="463">
        <f t="shared" ref="T11:T64" si="3">+S11/$T$7*100</f>
        <v>3.0863764629503998</v>
      </c>
    </row>
    <row r="12" spans="1:20">
      <c r="A12" s="150">
        <v>7111</v>
      </c>
      <c r="B12" s="536" t="str">
        <f>+VLOOKUP($A12,Master!$D$29:$G$225,4,FALSE)</f>
        <v>Personal Income Tax</v>
      </c>
      <c r="C12" s="537"/>
      <c r="D12" s="537"/>
      <c r="E12" s="537"/>
      <c r="F12" s="537"/>
      <c r="G12" s="163">
        <v>6139790.5700000003</v>
      </c>
      <c r="H12" s="163">
        <v>7672775.8099999996</v>
      </c>
      <c r="I12" s="163">
        <v>0</v>
      </c>
      <c r="J12" s="163">
        <v>0</v>
      </c>
      <c r="K12" s="163">
        <v>0</v>
      </c>
      <c r="L12" s="163">
        <v>0</v>
      </c>
      <c r="M12" s="163">
        <v>0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242">
        <f t="shared" ref="S12:S63" si="4">+SUM(G12:R12)</f>
        <v>13812566.379999999</v>
      </c>
      <c r="T12" s="464">
        <f t="shared" si="3"/>
        <v>0.26030013530830692</v>
      </c>
    </row>
    <row r="13" spans="1:20">
      <c r="A13" s="150">
        <v>7112</v>
      </c>
      <c r="B13" s="536" t="str">
        <f>+VLOOKUP($A13,Master!$D$29:$G$225,4,FALSE)</f>
        <v>Corporate Income Tax</v>
      </c>
      <c r="C13" s="537"/>
      <c r="D13" s="537"/>
      <c r="E13" s="537"/>
      <c r="F13" s="537"/>
      <c r="G13" s="163">
        <v>395935.5</v>
      </c>
      <c r="H13" s="163">
        <v>2173083.29</v>
      </c>
      <c r="I13" s="163">
        <v>0</v>
      </c>
      <c r="J13" s="163">
        <v>0</v>
      </c>
      <c r="K13" s="163">
        <v>0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242">
        <f t="shared" si="4"/>
        <v>2569018.79</v>
      </c>
      <c r="T13" s="464">
        <f t="shared" si="3"/>
        <v>4.8413590946781243E-2</v>
      </c>
    </row>
    <row r="14" spans="1:20">
      <c r="A14" s="150">
        <v>7113</v>
      </c>
      <c r="B14" s="536" t="str">
        <f>+VLOOKUP($A14,Master!$D$29:$G$225,4,FALSE)</f>
        <v xml:space="preserve">Taxes on Sales of Property </v>
      </c>
      <c r="C14" s="537"/>
      <c r="D14" s="537"/>
      <c r="E14" s="537"/>
      <c r="F14" s="537"/>
      <c r="G14" s="163">
        <v>146340.34</v>
      </c>
      <c r="H14" s="163">
        <v>168193.65</v>
      </c>
      <c r="I14" s="163">
        <v>0</v>
      </c>
      <c r="J14" s="163">
        <v>0</v>
      </c>
      <c r="K14" s="163">
        <v>0</v>
      </c>
      <c r="L14" s="163">
        <v>0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314533.99</v>
      </c>
      <c r="T14" s="464">
        <f t="shared" si="3"/>
        <v>5.9274459143675564E-3</v>
      </c>
    </row>
    <row r="15" spans="1:20">
      <c r="A15" s="150">
        <v>7114</v>
      </c>
      <c r="B15" s="536" t="str">
        <f>+VLOOKUP($A15,Master!$D$29:$G$225,4,FALSE)</f>
        <v>Value Added Tax</v>
      </c>
      <c r="C15" s="537"/>
      <c r="D15" s="537"/>
      <c r="E15" s="537"/>
      <c r="F15" s="537"/>
      <c r="G15" s="163">
        <v>50270008.859999999</v>
      </c>
      <c r="H15" s="163">
        <v>54121445.460000001</v>
      </c>
      <c r="I15" s="163">
        <v>0</v>
      </c>
      <c r="J15" s="163">
        <v>0</v>
      </c>
      <c r="K15" s="163">
        <v>0</v>
      </c>
      <c r="L15" s="163">
        <v>0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  <c r="S15" s="242">
        <f t="shared" si="4"/>
        <v>104391454.31999999</v>
      </c>
      <c r="T15" s="464">
        <f t="shared" si="3"/>
        <v>1.9672745047489824</v>
      </c>
    </row>
    <row r="16" spans="1:20">
      <c r="A16" s="150">
        <v>7115</v>
      </c>
      <c r="B16" s="536" t="str">
        <f>+VLOOKUP($A16,Master!$D$29:$G$225,4,FALSE)</f>
        <v>Excises</v>
      </c>
      <c r="C16" s="537"/>
      <c r="D16" s="537"/>
      <c r="E16" s="537"/>
      <c r="F16" s="537"/>
      <c r="G16" s="163">
        <v>21096875.199999999</v>
      </c>
      <c r="H16" s="163">
        <v>16062530.34</v>
      </c>
      <c r="I16" s="163">
        <v>0</v>
      </c>
      <c r="J16" s="163">
        <v>0</v>
      </c>
      <c r="K16" s="163">
        <v>0</v>
      </c>
      <c r="L16" s="163">
        <v>0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242">
        <f t="shared" si="4"/>
        <v>37159405.539999999</v>
      </c>
      <c r="T16" s="464">
        <f t="shared" si="3"/>
        <v>0.7002752438564751</v>
      </c>
    </row>
    <row r="17" spans="1:23">
      <c r="A17" s="150">
        <v>7116</v>
      </c>
      <c r="B17" s="536" t="str">
        <f>+VLOOKUP($A17,Master!$D$29:$G$225,4,FALSE)</f>
        <v>Tax on International Trade and Transactions</v>
      </c>
      <c r="C17" s="537"/>
      <c r="D17" s="537"/>
      <c r="E17" s="537"/>
      <c r="F17" s="537"/>
      <c r="G17" s="163">
        <v>1689510.83</v>
      </c>
      <c r="H17" s="163">
        <v>2149003.6</v>
      </c>
      <c r="I17" s="163">
        <v>0</v>
      </c>
      <c r="J17" s="163">
        <v>0</v>
      </c>
      <c r="K17" s="163">
        <v>0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242">
        <f t="shared" si="4"/>
        <v>3838514.43</v>
      </c>
      <c r="T17" s="464">
        <f t="shared" si="3"/>
        <v>7.2337449683401181E-2</v>
      </c>
    </row>
    <row r="18" spans="1:23">
      <c r="A18" s="150">
        <v>7118</v>
      </c>
      <c r="B18" s="536" t="str">
        <f>+VLOOKUP($A18,Master!$D$29:$G$225,4,FALSE)</f>
        <v>Other Republic Taxes</v>
      </c>
      <c r="C18" s="537"/>
      <c r="D18" s="537"/>
      <c r="E18" s="537"/>
      <c r="F18" s="537"/>
      <c r="G18" s="163">
        <v>821034.23</v>
      </c>
      <c r="H18" s="163">
        <v>868952.95</v>
      </c>
      <c r="I18" s="163">
        <v>0</v>
      </c>
      <c r="J18" s="163">
        <v>0</v>
      </c>
      <c r="K18" s="163">
        <v>0</v>
      </c>
      <c r="L18" s="163">
        <v>0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242">
        <f t="shared" si="4"/>
        <v>1689987.18</v>
      </c>
      <c r="T18" s="464">
        <f t="shared" si="3"/>
        <v>3.1848092492085034E-2</v>
      </c>
    </row>
    <row r="19" spans="1:23">
      <c r="A19" s="150">
        <v>712</v>
      </c>
      <c r="B19" s="546" t="str">
        <f>+VLOOKUP($A19,Master!$D$29:$G$225,4,FALSE)</f>
        <v>Contributions</v>
      </c>
      <c r="C19" s="547"/>
      <c r="D19" s="547"/>
      <c r="E19" s="547"/>
      <c r="F19" s="547"/>
      <c r="G19" s="169">
        <f>SUM(G20:G23)</f>
        <v>11731802.159999998</v>
      </c>
      <c r="H19" s="169">
        <f t="shared" ref="H19:R19" si="5">SUM(H20:H23)</f>
        <v>34984293.990000002</v>
      </c>
      <c r="I19" s="169">
        <f t="shared" si="5"/>
        <v>0</v>
      </c>
      <c r="J19" s="169">
        <f t="shared" si="5"/>
        <v>0</v>
      </c>
      <c r="K19" s="169">
        <f t="shared" si="5"/>
        <v>0</v>
      </c>
      <c r="L19" s="169">
        <f t="shared" si="5"/>
        <v>0</v>
      </c>
      <c r="M19" s="169">
        <f t="shared" si="5"/>
        <v>0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46716096.149999999</v>
      </c>
      <c r="T19" s="465">
        <f t="shared" si="3"/>
        <v>0.88037268487109899</v>
      </c>
    </row>
    <row r="20" spans="1:23">
      <c r="A20" s="150">
        <v>7121</v>
      </c>
      <c r="B20" s="536" t="str">
        <f>+VLOOKUP($A20,Master!$D$29:$G$225,4,FALSE)</f>
        <v>Contributions for Pension and Disability Insurance</v>
      </c>
      <c r="C20" s="537"/>
      <c r="D20" s="537"/>
      <c r="E20" s="537"/>
      <c r="F20" s="537"/>
      <c r="G20" s="163">
        <v>7550452.8499999996</v>
      </c>
      <c r="H20" s="163">
        <v>24366605.109999999</v>
      </c>
      <c r="I20" s="163">
        <v>0</v>
      </c>
      <c r="J20" s="163">
        <v>0</v>
      </c>
      <c r="K20" s="163">
        <v>0</v>
      </c>
      <c r="L20" s="163">
        <v>0</v>
      </c>
      <c r="M20" s="163">
        <v>0</v>
      </c>
      <c r="N20" s="163">
        <v>0</v>
      </c>
      <c r="O20" s="163">
        <v>0</v>
      </c>
      <c r="P20" s="163">
        <v>0</v>
      </c>
      <c r="Q20" s="163">
        <v>0</v>
      </c>
      <c r="R20" s="163">
        <v>0</v>
      </c>
      <c r="S20" s="242">
        <f>+SUM(G20:R20)</f>
        <v>31917057.960000001</v>
      </c>
      <c r="T20" s="464">
        <f t="shared" si="3"/>
        <v>0.60148232247851652</v>
      </c>
    </row>
    <row r="21" spans="1:23">
      <c r="A21" s="150">
        <v>7122</v>
      </c>
      <c r="B21" s="536" t="str">
        <f>+VLOOKUP($A21,Master!$D$29:$G$225,4,FALSE)</f>
        <v>Contributions for Health Insurance</v>
      </c>
      <c r="C21" s="537"/>
      <c r="D21" s="537"/>
      <c r="E21" s="537"/>
      <c r="F21" s="537"/>
      <c r="G21" s="163">
        <v>3618221.62</v>
      </c>
      <c r="H21" s="163">
        <v>8815681.4700000007</v>
      </c>
      <c r="I21" s="163">
        <v>0</v>
      </c>
      <c r="J21" s="163">
        <v>0</v>
      </c>
      <c r="K21" s="163">
        <v>0</v>
      </c>
      <c r="L21" s="163">
        <v>0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242">
        <f t="shared" si="4"/>
        <v>12433903.09</v>
      </c>
      <c r="T21" s="464">
        <f t="shared" si="3"/>
        <v>0.23431899385647517</v>
      </c>
    </row>
    <row r="22" spans="1:23">
      <c r="A22" s="150">
        <v>7123</v>
      </c>
      <c r="B22" s="536" t="str">
        <f>+VLOOKUP($A22,Master!$D$29:$G$225,4,FALSE)</f>
        <v>Contributions for  Unemployment Insurance</v>
      </c>
      <c r="C22" s="537"/>
      <c r="D22" s="537"/>
      <c r="E22" s="537"/>
      <c r="F22" s="537"/>
      <c r="G22" s="163">
        <v>333527.59999999998</v>
      </c>
      <c r="H22" s="163">
        <v>1107968.99</v>
      </c>
      <c r="I22" s="163">
        <v>0</v>
      </c>
      <c r="J22" s="163">
        <v>0</v>
      </c>
      <c r="K22" s="163">
        <v>0</v>
      </c>
      <c r="L22" s="163">
        <v>0</v>
      </c>
      <c r="M22" s="163">
        <v>0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242">
        <f t="shared" si="4"/>
        <v>1441496.5899999999</v>
      </c>
      <c r="T22" s="464">
        <f t="shared" si="3"/>
        <v>2.7165245552540324E-2</v>
      </c>
    </row>
    <row r="23" spans="1:23">
      <c r="A23" s="150">
        <v>7124</v>
      </c>
      <c r="B23" s="536" t="str">
        <f>+VLOOKUP($A23,Master!$D$29:$G$225,4,FALSE)</f>
        <v>Other contributions</v>
      </c>
      <c r="C23" s="537"/>
      <c r="D23" s="537"/>
      <c r="E23" s="537"/>
      <c r="F23" s="537"/>
      <c r="G23" s="163">
        <v>229600.09</v>
      </c>
      <c r="H23" s="163">
        <v>694038.42</v>
      </c>
      <c r="I23" s="163">
        <v>0</v>
      </c>
      <c r="J23" s="163">
        <v>0</v>
      </c>
      <c r="K23" s="163">
        <v>0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242">
        <f t="shared" si="4"/>
        <v>923638.51</v>
      </c>
      <c r="T23" s="464">
        <f t="shared" si="3"/>
        <v>1.7406122983567016E-2</v>
      </c>
      <c r="W23" s="305"/>
    </row>
    <row r="24" spans="1:23">
      <c r="A24" s="150">
        <v>713</v>
      </c>
      <c r="B24" s="538" t="str">
        <f>+VLOOKUP($A24,Master!$D$29:$G$225,4,FALSE)</f>
        <v>Duties</v>
      </c>
      <c r="C24" s="539"/>
      <c r="D24" s="539"/>
      <c r="E24" s="539"/>
      <c r="F24" s="539"/>
      <c r="G24" s="175">
        <v>606952.54999999993</v>
      </c>
      <c r="H24" s="175">
        <v>773951.60000000009</v>
      </c>
      <c r="I24" s="175">
        <v>0</v>
      </c>
      <c r="J24" s="175">
        <v>0</v>
      </c>
      <c r="K24" s="175">
        <v>0</v>
      </c>
      <c r="L24" s="175">
        <v>0</v>
      </c>
      <c r="M24" s="175">
        <v>0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243">
        <f t="shared" si="4"/>
        <v>1380904.15</v>
      </c>
      <c r="T24" s="465">
        <f t="shared" si="3"/>
        <v>2.6023370835217847E-2</v>
      </c>
      <c r="W24" s="305"/>
    </row>
    <row r="25" spans="1:23">
      <c r="A25" s="150">
        <v>714</v>
      </c>
      <c r="B25" s="538" t="str">
        <f>+VLOOKUP($A25,Master!$D$29:$G$225,4,FALSE)</f>
        <v>Fees</v>
      </c>
      <c r="C25" s="539"/>
      <c r="D25" s="539"/>
      <c r="E25" s="539"/>
      <c r="F25" s="539"/>
      <c r="G25" s="175">
        <v>12538803.32</v>
      </c>
      <c r="H25" s="175">
        <v>2358745.7999999998</v>
      </c>
      <c r="I25" s="175">
        <v>0</v>
      </c>
      <c r="J25" s="175">
        <v>0</v>
      </c>
      <c r="K25" s="175">
        <v>0</v>
      </c>
      <c r="L25" s="175">
        <v>0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243">
        <f t="shared" si="4"/>
        <v>14897549.120000001</v>
      </c>
      <c r="T25" s="465">
        <f t="shared" si="3"/>
        <v>0.28074681742801144</v>
      </c>
    </row>
    <row r="26" spans="1:23">
      <c r="A26" s="150">
        <v>715</v>
      </c>
      <c r="B26" s="538" t="str">
        <f>+VLOOKUP($A26,Master!$D$29:$G$225,4,FALSE)</f>
        <v>Other revenues</v>
      </c>
      <c r="C26" s="539"/>
      <c r="D26" s="539"/>
      <c r="E26" s="539"/>
      <c r="F26" s="539"/>
      <c r="G26" s="175">
        <v>1297646.32</v>
      </c>
      <c r="H26" s="175">
        <v>1548574.44</v>
      </c>
      <c r="I26" s="175">
        <v>0</v>
      </c>
      <c r="J26" s="175">
        <v>0</v>
      </c>
      <c r="K26" s="175">
        <v>0</v>
      </c>
      <c r="L26" s="175">
        <v>0</v>
      </c>
      <c r="M26" s="175">
        <v>0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243">
        <f t="shared" si="4"/>
        <v>2846220.76</v>
      </c>
      <c r="T26" s="465">
        <f t="shared" si="3"/>
        <v>5.3637508668777326E-2</v>
      </c>
    </row>
    <row r="27" spans="1:23">
      <c r="A27" s="150">
        <v>73</v>
      </c>
      <c r="B27" s="538" t="str">
        <f>+VLOOKUP($A27,Master!$D$29:$G$225,4,FALSE)</f>
        <v>Receipts from Repayment of Loans and Funds Carried over from Previous Year</v>
      </c>
      <c r="C27" s="539"/>
      <c r="D27" s="539"/>
      <c r="E27" s="539"/>
      <c r="F27" s="539"/>
      <c r="G27" s="175">
        <v>124509.95</v>
      </c>
      <c r="H27" s="175">
        <v>157200.54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281710.49</v>
      </c>
      <c r="T27" s="465">
        <f t="shared" si="3"/>
        <v>5.3088815392733305E-3</v>
      </c>
    </row>
    <row r="28" spans="1:23" ht="13.5" thickBot="1">
      <c r="A28" s="150">
        <v>74</v>
      </c>
      <c r="B28" s="540" t="str">
        <f>+VLOOKUP($A28,Master!$D$29:$G$225,4,FALSE)</f>
        <v>Grants and Transfers</v>
      </c>
      <c r="C28" s="541"/>
      <c r="D28" s="541"/>
      <c r="E28" s="541"/>
      <c r="F28" s="541"/>
      <c r="G28" s="175">
        <v>944706.6</v>
      </c>
      <c r="H28" s="175">
        <v>1121297.32</v>
      </c>
      <c r="I28" s="175">
        <v>0</v>
      </c>
      <c r="J28" s="175">
        <v>0</v>
      </c>
      <c r="K28" s="175">
        <v>0</v>
      </c>
      <c r="L28" s="175">
        <v>0</v>
      </c>
      <c r="M28" s="175"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243">
        <f t="shared" si="4"/>
        <v>2066003.92</v>
      </c>
      <c r="T28" s="466">
        <f t="shared" si="3"/>
        <v>3.8934191165385192E-2</v>
      </c>
    </row>
    <row r="29" spans="1:23" ht="13.5" thickBot="1">
      <c r="A29" s="150">
        <v>4</v>
      </c>
      <c r="B29" s="526" t="str">
        <f>+VLOOKUP($A29,Master!$D$29:$G$225,4,FALSE)</f>
        <v>Total Expenditures</v>
      </c>
      <c r="C29" s="527"/>
      <c r="D29" s="527"/>
      <c r="E29" s="527"/>
      <c r="F29" s="527"/>
      <c r="G29" s="151">
        <f>+G30+G40+G46+SUM(G47:G51)</f>
        <v>135525045.41</v>
      </c>
      <c r="H29" s="151">
        <f t="shared" ref="H29:R29" si="6">+H30+H40+H46+SUM(H47:H51)</f>
        <v>150830698.81999999</v>
      </c>
      <c r="I29" s="151">
        <f t="shared" si="6"/>
        <v>0</v>
      </c>
      <c r="J29" s="151">
        <f t="shared" si="6"/>
        <v>0</v>
      </c>
      <c r="K29" s="151">
        <f t="shared" si="6"/>
        <v>0</v>
      </c>
      <c r="L29" s="151">
        <f t="shared" si="6"/>
        <v>0</v>
      </c>
      <c r="M29" s="151">
        <f t="shared" si="6"/>
        <v>0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286355744.23000002</v>
      </c>
      <c r="T29" s="467">
        <f t="shared" si="3"/>
        <v>5.3964221360998046</v>
      </c>
    </row>
    <row r="30" spans="1:23">
      <c r="A30" s="150">
        <v>41</v>
      </c>
      <c r="B30" s="544" t="str">
        <f>+VLOOKUP($A30,Master!$D$29:$G$225,4,FALSE)</f>
        <v>Current Expenditures</v>
      </c>
      <c r="C30" s="545"/>
      <c r="D30" s="545"/>
      <c r="E30" s="545"/>
      <c r="F30" s="545"/>
      <c r="G30" s="187">
        <f t="shared" ref="G30:R30" si="7">+SUM(G31:G39)</f>
        <v>50898622.359999999</v>
      </c>
      <c r="H30" s="187">
        <f t="shared" si="7"/>
        <v>61670626.060000002</v>
      </c>
      <c r="I30" s="187">
        <f t="shared" si="7"/>
        <v>0</v>
      </c>
      <c r="J30" s="187">
        <f t="shared" si="7"/>
        <v>0</v>
      </c>
      <c r="K30" s="187">
        <f t="shared" si="7"/>
        <v>0</v>
      </c>
      <c r="L30" s="187">
        <f t="shared" si="7"/>
        <v>0</v>
      </c>
      <c r="M30" s="187">
        <f t="shared" si="7"/>
        <v>0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4">
        <f t="shared" si="4"/>
        <v>112569248.42</v>
      </c>
      <c r="T30" s="463">
        <f t="shared" si="3"/>
        <v>2.1213864092416705</v>
      </c>
      <c r="U30" s="242"/>
    </row>
    <row r="31" spans="1:23">
      <c r="A31" s="150">
        <v>411</v>
      </c>
      <c r="B31" s="536" t="str">
        <f>+VLOOKUP($A31,Master!$D$29:$G$225,4,FALSE)</f>
        <v>Gross Salaries and Contributions</v>
      </c>
      <c r="C31" s="537"/>
      <c r="D31" s="537"/>
      <c r="E31" s="537"/>
      <c r="F31" s="537"/>
      <c r="G31" s="163">
        <v>44240125.009999998</v>
      </c>
      <c r="H31" s="163">
        <v>44552192.68</v>
      </c>
      <c r="I31" s="163">
        <v>0</v>
      </c>
      <c r="J31" s="163">
        <v>0</v>
      </c>
      <c r="K31" s="163">
        <v>0</v>
      </c>
      <c r="L31" s="163">
        <v>0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242">
        <f t="shared" si="4"/>
        <v>88792317.689999998</v>
      </c>
      <c r="T31" s="464">
        <f t="shared" si="3"/>
        <v>1.6733061527589328</v>
      </c>
      <c r="U31" s="242"/>
    </row>
    <row r="32" spans="1:23">
      <c r="A32" s="150">
        <v>412</v>
      </c>
      <c r="B32" s="536" t="str">
        <f>+VLOOKUP($A32,Master!$D$29:$G$225,4,FALSE)</f>
        <v>Other Personal Income</v>
      </c>
      <c r="C32" s="537"/>
      <c r="D32" s="537"/>
      <c r="E32" s="537"/>
      <c r="F32" s="537"/>
      <c r="G32" s="163">
        <v>137001.32999999999</v>
      </c>
      <c r="H32" s="163">
        <v>1212395.8600000001</v>
      </c>
      <c r="I32" s="163">
        <v>0</v>
      </c>
      <c r="J32" s="163">
        <v>0</v>
      </c>
      <c r="K32" s="163">
        <v>0</v>
      </c>
      <c r="L32" s="163">
        <v>0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242">
        <f t="shared" si="4"/>
        <v>1349397.1900000002</v>
      </c>
      <c r="T32" s="464">
        <f t="shared" si="3"/>
        <v>2.5429616877732555E-2</v>
      </c>
      <c r="U32" s="457"/>
    </row>
    <row r="33" spans="1:21">
      <c r="A33" s="150">
        <v>413</v>
      </c>
      <c r="B33" s="536" t="str">
        <f>+VLOOKUP($A33,Master!$D$29:$G$225,4,FALSE)</f>
        <v>Expenditures for Supplies</v>
      </c>
      <c r="C33" s="537"/>
      <c r="D33" s="537"/>
      <c r="E33" s="537"/>
      <c r="F33" s="537"/>
      <c r="G33" s="163">
        <v>140825.03</v>
      </c>
      <c r="H33" s="163">
        <v>3489117.82</v>
      </c>
      <c r="I33" s="163">
        <v>0</v>
      </c>
      <c r="J33" s="163">
        <v>0</v>
      </c>
      <c r="K33" s="163">
        <v>0</v>
      </c>
      <c r="L33" s="163">
        <v>0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242">
        <f t="shared" si="4"/>
        <v>3629942.8499999996</v>
      </c>
      <c r="T33" s="464">
        <f t="shared" si="3"/>
        <v>6.8406883197648108E-2</v>
      </c>
      <c r="U33" s="457"/>
    </row>
    <row r="34" spans="1:21" s="361" customFormat="1">
      <c r="A34" s="360">
        <v>414</v>
      </c>
      <c r="B34" s="605" t="str">
        <f>+VLOOKUP($A34,Master!$D$29:$G$225,4,FALSE)</f>
        <v>Expenditures for Services</v>
      </c>
      <c r="C34" s="606"/>
      <c r="D34" s="606"/>
      <c r="E34" s="606"/>
      <c r="F34" s="606"/>
      <c r="G34" s="163">
        <v>1088181.29</v>
      </c>
      <c r="H34" s="163">
        <v>2907359.21</v>
      </c>
      <c r="I34" s="163">
        <v>0</v>
      </c>
      <c r="J34" s="163">
        <v>0</v>
      </c>
      <c r="K34" s="163">
        <v>0</v>
      </c>
      <c r="L34" s="163">
        <v>0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242">
        <f t="shared" si="4"/>
        <v>3995540.5</v>
      </c>
      <c r="T34" s="464">
        <f t="shared" si="3"/>
        <v>7.5296632368460736E-2</v>
      </c>
      <c r="U34" s="457"/>
    </row>
    <row r="35" spans="1:21">
      <c r="A35" s="150">
        <v>415</v>
      </c>
      <c r="B35" s="536" t="str">
        <f>+VLOOKUP($A35,Master!$D$29:$G$225,4,FALSE)</f>
        <v>Current Maintenance</v>
      </c>
      <c r="C35" s="537"/>
      <c r="D35" s="537"/>
      <c r="E35" s="537"/>
      <c r="F35" s="537"/>
      <c r="G35" s="163">
        <v>51153.02</v>
      </c>
      <c r="H35" s="163">
        <v>1786959.03</v>
      </c>
      <c r="I35" s="163">
        <v>0</v>
      </c>
      <c r="J35" s="163">
        <v>0</v>
      </c>
      <c r="K35" s="163">
        <v>0</v>
      </c>
      <c r="L35" s="163">
        <v>0</v>
      </c>
      <c r="M35" s="163">
        <v>0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242">
        <f t="shared" si="4"/>
        <v>1838112.05</v>
      </c>
      <c r="T35" s="464">
        <f t="shared" si="3"/>
        <v>3.4639530566862656E-2</v>
      </c>
      <c r="U35" s="457"/>
    </row>
    <row r="36" spans="1:21">
      <c r="A36" s="150">
        <v>416</v>
      </c>
      <c r="B36" s="536" t="str">
        <f>+VLOOKUP($A36,Master!$D$29:$G$225,4,FALSE)</f>
        <v>Interests</v>
      </c>
      <c r="C36" s="537"/>
      <c r="D36" s="537"/>
      <c r="E36" s="537"/>
      <c r="F36" s="537"/>
      <c r="G36" s="163">
        <v>3854762.25</v>
      </c>
      <c r="H36" s="163">
        <v>1270344.19</v>
      </c>
      <c r="I36" s="163">
        <v>0</v>
      </c>
      <c r="J36" s="163">
        <v>0</v>
      </c>
      <c r="K36" s="163">
        <v>0</v>
      </c>
      <c r="L36" s="163">
        <v>0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242">
        <f>+SUM(G36:R36)</f>
        <v>5125106.4399999995</v>
      </c>
      <c r="T36" s="464">
        <f t="shared" si="3"/>
        <v>9.6583492386552075E-2</v>
      </c>
      <c r="U36" s="457"/>
    </row>
    <row r="37" spans="1:21">
      <c r="A37" s="150">
        <v>417</v>
      </c>
      <c r="B37" s="536" t="str">
        <f>+VLOOKUP($A37,Master!$D$29:$G$225,4,FALSE)</f>
        <v>Rent</v>
      </c>
      <c r="C37" s="537"/>
      <c r="D37" s="537"/>
      <c r="E37" s="537"/>
      <c r="F37" s="537"/>
      <c r="G37" s="163">
        <v>222069.04</v>
      </c>
      <c r="H37" s="163">
        <v>743329.49</v>
      </c>
      <c r="I37" s="163">
        <v>0</v>
      </c>
      <c r="J37" s="163">
        <v>0</v>
      </c>
      <c r="K37" s="163">
        <v>0</v>
      </c>
      <c r="L37" s="163">
        <v>0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242">
        <f t="shared" si="4"/>
        <v>965398.53</v>
      </c>
      <c r="T37" s="464">
        <f t="shared" si="3"/>
        <v>1.8193097580280416E-2</v>
      </c>
      <c r="U37" s="457"/>
    </row>
    <row r="38" spans="1:21">
      <c r="A38" s="150">
        <v>418</v>
      </c>
      <c r="B38" s="536" t="str">
        <f>+VLOOKUP($A38,Master!$D$29:$G$225,4,FALSE)</f>
        <v>Subsidies</v>
      </c>
      <c r="C38" s="537"/>
      <c r="D38" s="537"/>
      <c r="E38" s="537"/>
      <c r="F38" s="537"/>
      <c r="G38" s="163">
        <v>511006.04</v>
      </c>
      <c r="H38" s="163">
        <v>2686343.5</v>
      </c>
      <c r="I38" s="163">
        <v>0</v>
      </c>
      <c r="J38" s="163">
        <v>0</v>
      </c>
      <c r="K38" s="163">
        <v>0</v>
      </c>
      <c r="L38" s="163">
        <v>0</v>
      </c>
      <c r="M38" s="163">
        <v>0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242">
        <f t="shared" si="4"/>
        <v>3197349.54</v>
      </c>
      <c r="T38" s="464">
        <f t="shared" si="3"/>
        <v>6.0254589552238801E-2</v>
      </c>
      <c r="U38" s="457"/>
    </row>
    <row r="39" spans="1:21" s="361" customFormat="1">
      <c r="A39" s="360">
        <v>419</v>
      </c>
      <c r="B39" s="605" t="str">
        <f>+VLOOKUP($A39,Master!$D$29:$G$225,4,FALSE)</f>
        <v>Other expenditures</v>
      </c>
      <c r="C39" s="606"/>
      <c r="D39" s="606"/>
      <c r="E39" s="606"/>
      <c r="F39" s="606"/>
      <c r="G39" s="163">
        <v>653499.35</v>
      </c>
      <c r="H39" s="163">
        <v>3022584.28</v>
      </c>
      <c r="I39" s="163">
        <v>0</v>
      </c>
      <c r="J39" s="163">
        <v>0</v>
      </c>
      <c r="K39" s="163">
        <v>0</v>
      </c>
      <c r="L39" s="163">
        <v>0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242">
        <f t="shared" si="4"/>
        <v>3676083.63</v>
      </c>
      <c r="T39" s="464">
        <f t="shared" si="3"/>
        <v>6.9276413952962468E-2</v>
      </c>
      <c r="U39" s="457"/>
    </row>
    <row r="40" spans="1:21">
      <c r="A40" s="150">
        <v>42</v>
      </c>
      <c r="B40" s="532" t="str">
        <f>+VLOOKUP($A40,Master!$D$29:$G$225,4,FALSE)</f>
        <v>Social Security Transfers</v>
      </c>
      <c r="C40" s="533"/>
      <c r="D40" s="533"/>
      <c r="E40" s="533"/>
      <c r="F40" s="533"/>
      <c r="G40" s="193">
        <f>+SUM(G41:G45)</f>
        <v>43461857.619999997</v>
      </c>
      <c r="H40" s="193">
        <f t="shared" ref="H40:R40" si="8">+SUM(H41:H45)</f>
        <v>49030666.979999997</v>
      </c>
      <c r="I40" s="193">
        <f t="shared" si="8"/>
        <v>0</v>
      </c>
      <c r="J40" s="193">
        <f t="shared" si="8"/>
        <v>0</v>
      </c>
      <c r="K40" s="193">
        <f t="shared" si="8"/>
        <v>0</v>
      </c>
      <c r="L40" s="193">
        <f t="shared" si="8"/>
        <v>0</v>
      </c>
      <c r="M40" s="193">
        <f t="shared" si="8"/>
        <v>0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489">
        <f t="shared" si="4"/>
        <v>92492524.599999994</v>
      </c>
      <c r="T40" s="490">
        <f t="shared" si="3"/>
        <v>1.7430371739785917</v>
      </c>
      <c r="U40" s="242"/>
    </row>
    <row r="41" spans="1:21">
      <c r="A41" s="150">
        <v>421</v>
      </c>
      <c r="B41" s="536" t="str">
        <f>+VLOOKUP($A41,Master!$D$29:$G$225,4,FALSE)</f>
        <v>Social Security</v>
      </c>
      <c r="C41" s="537"/>
      <c r="D41" s="537"/>
      <c r="E41" s="537"/>
      <c r="F41" s="537"/>
      <c r="G41" s="163">
        <v>8200110.4000000004</v>
      </c>
      <c r="H41" s="163">
        <v>8172331.5999999996</v>
      </c>
      <c r="I41" s="163">
        <v>0</v>
      </c>
      <c r="J41" s="163">
        <v>0</v>
      </c>
      <c r="K41" s="163">
        <v>0</v>
      </c>
      <c r="L41" s="163">
        <v>0</v>
      </c>
      <c r="M41" s="163">
        <v>0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242">
        <f t="shared" si="4"/>
        <v>16372442</v>
      </c>
      <c r="T41" s="464">
        <f t="shared" si="3"/>
        <v>0.3085414216794814</v>
      </c>
      <c r="U41" s="457"/>
    </row>
    <row r="42" spans="1:21">
      <c r="A42" s="150">
        <v>422</v>
      </c>
      <c r="B42" s="536" t="str">
        <f>+VLOOKUP($A42,Master!$D$29:$G$225,4,FALSE)</f>
        <v>Funds for redundant labor</v>
      </c>
      <c r="C42" s="537"/>
      <c r="D42" s="537"/>
      <c r="E42" s="537"/>
      <c r="F42" s="537"/>
      <c r="G42" s="163">
        <v>0</v>
      </c>
      <c r="H42" s="163">
        <v>2498429.92</v>
      </c>
      <c r="I42" s="163">
        <v>0</v>
      </c>
      <c r="J42" s="163">
        <v>0</v>
      </c>
      <c r="K42" s="163">
        <v>0</v>
      </c>
      <c r="L42" s="163">
        <v>0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  <c r="R42" s="163">
        <v>0</v>
      </c>
      <c r="S42" s="242">
        <f t="shared" si="4"/>
        <v>2498429.92</v>
      </c>
      <c r="T42" s="464">
        <f t="shared" si="3"/>
        <v>4.7083331825719887E-2</v>
      </c>
      <c r="U42" s="457"/>
    </row>
    <row r="43" spans="1:21">
      <c r="A43" s="150">
        <v>423</v>
      </c>
      <c r="B43" s="536" t="str">
        <f>+VLOOKUP($A43,Master!$D$29:$G$225,4,FALSE)</f>
        <v>Pension and Disability Insurance</v>
      </c>
      <c r="C43" s="537"/>
      <c r="D43" s="537"/>
      <c r="E43" s="537"/>
      <c r="F43" s="537"/>
      <c r="G43" s="163">
        <v>35149513.420000002</v>
      </c>
      <c r="H43" s="163">
        <v>36354430.689999998</v>
      </c>
      <c r="I43" s="163">
        <v>0</v>
      </c>
      <c r="J43" s="163">
        <v>0</v>
      </c>
      <c r="K43" s="163">
        <v>0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242">
        <f t="shared" si="4"/>
        <v>71503944.109999999</v>
      </c>
      <c r="T43" s="464">
        <f t="shared" si="3"/>
        <v>1.3475038464872608</v>
      </c>
      <c r="U43" s="457"/>
    </row>
    <row r="44" spans="1:21">
      <c r="A44" s="150">
        <v>424</v>
      </c>
      <c r="B44" s="536" t="str">
        <f>+VLOOKUP($A44,Master!$D$29:$G$225,4,FALSE)</f>
        <v>Other Health Care Transfers</v>
      </c>
      <c r="C44" s="537"/>
      <c r="D44" s="537"/>
      <c r="E44" s="537"/>
      <c r="F44" s="537"/>
      <c r="G44" s="163">
        <v>103430</v>
      </c>
      <c r="H44" s="163">
        <v>1069904.71</v>
      </c>
      <c r="I44" s="163">
        <v>0</v>
      </c>
      <c r="J44" s="163">
        <v>0</v>
      </c>
      <c r="K44" s="163">
        <v>0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242">
        <f t="shared" si="4"/>
        <v>1173334.71</v>
      </c>
      <c r="T44" s="464">
        <f t="shared" si="3"/>
        <v>2.2111689846223428E-2</v>
      </c>
      <c r="U44" s="457"/>
    </row>
    <row r="45" spans="1:21" s="361" customFormat="1">
      <c r="A45" s="360">
        <v>425</v>
      </c>
      <c r="B45" s="601" t="str">
        <f>+VLOOKUP($A45,Master!$D$29:$G$225,4,FALSE)</f>
        <v>Other Health Care Insurance</v>
      </c>
      <c r="C45" s="602"/>
      <c r="D45" s="602"/>
      <c r="E45" s="602"/>
      <c r="F45" s="602"/>
      <c r="G45" s="163">
        <v>8803.7999999999993</v>
      </c>
      <c r="H45" s="163">
        <v>935570.06</v>
      </c>
      <c r="I45" s="163">
        <v>0</v>
      </c>
      <c r="J45" s="163">
        <v>0</v>
      </c>
      <c r="K45" s="163">
        <v>0</v>
      </c>
      <c r="L45" s="163">
        <v>0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242">
        <f t="shared" si="4"/>
        <v>944373.8600000001</v>
      </c>
      <c r="T45" s="464">
        <f t="shared" si="3"/>
        <v>1.779688413990653E-2</v>
      </c>
      <c r="U45" s="457"/>
    </row>
    <row r="46" spans="1:21">
      <c r="A46" s="150">
        <v>43</v>
      </c>
      <c r="B46" s="534" t="str">
        <f>+VLOOKUP($A46,Master!$D$29:$G$225,4,FALSE)</f>
        <v xml:space="preserve">Transfers to Institutions, Individuals, NGO and Public Sector </v>
      </c>
      <c r="C46" s="535"/>
      <c r="D46" s="535"/>
      <c r="E46" s="535"/>
      <c r="F46" s="535"/>
      <c r="G46" s="175">
        <v>7351440.8700000001</v>
      </c>
      <c r="H46" s="175">
        <v>23788257.170000002</v>
      </c>
      <c r="I46" s="175">
        <v>0</v>
      </c>
      <c r="J46" s="175">
        <v>0</v>
      </c>
      <c r="K46" s="175">
        <v>0</v>
      </c>
      <c r="L46" s="175">
        <v>0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243">
        <f t="shared" si="4"/>
        <v>31139698.040000003</v>
      </c>
      <c r="T46" s="465">
        <f t="shared" si="3"/>
        <v>0.58683284411276948</v>
      </c>
      <c r="U46" s="481"/>
    </row>
    <row r="47" spans="1:21">
      <c r="A47" s="150">
        <v>44</v>
      </c>
      <c r="B47" s="534" t="str">
        <f>+VLOOKUP($A47,Master!$D$29:$G$225,4,FALSE)</f>
        <v>Capital Expenditure</v>
      </c>
      <c r="C47" s="535"/>
      <c r="D47" s="535"/>
      <c r="E47" s="535"/>
      <c r="F47" s="535"/>
      <c r="G47" s="175">
        <v>16016474.34</v>
      </c>
      <c r="H47" s="175">
        <v>11650538.710000001</v>
      </c>
      <c r="I47" s="175">
        <v>0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243">
        <f t="shared" si="4"/>
        <v>27667013.050000001</v>
      </c>
      <c r="T47" s="465">
        <f t="shared" si="3"/>
        <v>0.52138951172169457</v>
      </c>
      <c r="U47" s="481"/>
    </row>
    <row r="48" spans="1:21">
      <c r="A48" s="150">
        <v>451</v>
      </c>
      <c r="B48" s="603" t="str">
        <f>+VLOOKUP($A48,Master!$D$29:$G$225,4,FALSE)</f>
        <v>Credits and Borrowings</v>
      </c>
      <c r="C48" s="604"/>
      <c r="D48" s="604"/>
      <c r="E48" s="604"/>
      <c r="F48" s="604"/>
      <c r="G48" s="163">
        <v>0</v>
      </c>
      <c r="H48" s="163">
        <v>248510</v>
      </c>
      <c r="I48" s="163">
        <v>0</v>
      </c>
      <c r="J48" s="163">
        <v>0</v>
      </c>
      <c r="K48" s="163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248510</v>
      </c>
      <c r="T48" s="464">
        <f t="shared" si="3"/>
        <v>4.6832127242575003E-3</v>
      </c>
      <c r="U48" s="481"/>
    </row>
    <row r="49" spans="1:21" s="361" customFormat="1">
      <c r="A49" s="360">
        <v>47</v>
      </c>
      <c r="B49" s="595" t="str">
        <f>+VLOOKUP($A49,Master!$D$29:$G$225,4,FALSE)</f>
        <v>Reserves</v>
      </c>
      <c r="C49" s="596"/>
      <c r="D49" s="596"/>
      <c r="E49" s="596"/>
      <c r="F49" s="596"/>
      <c r="G49" s="163">
        <v>265800</v>
      </c>
      <c r="H49" s="163">
        <v>495710</v>
      </c>
      <c r="I49" s="163">
        <v>0</v>
      </c>
      <c r="J49" s="163">
        <v>0</v>
      </c>
      <c r="K49" s="163">
        <v>0</v>
      </c>
      <c r="L49" s="163">
        <v>0</v>
      </c>
      <c r="M49" s="163">
        <v>0</v>
      </c>
      <c r="N49" s="163">
        <v>0</v>
      </c>
      <c r="O49" s="163">
        <v>0</v>
      </c>
      <c r="P49" s="163">
        <v>0</v>
      </c>
      <c r="Q49" s="163">
        <v>0</v>
      </c>
      <c r="R49" s="163">
        <v>0</v>
      </c>
      <c r="S49" s="242">
        <f t="shared" si="4"/>
        <v>761510</v>
      </c>
      <c r="T49" s="464">
        <f t="shared" si="3"/>
        <v>1.4350783958992915E-2</v>
      </c>
      <c r="U49" s="481"/>
    </row>
    <row r="50" spans="1:21" ht="13.5" thickBot="1">
      <c r="A50" s="150">
        <v>462</v>
      </c>
      <c r="B50" s="522" t="str">
        <f>+VLOOKUP($A50,Master!$D$29:$G$225,4,FALSE)</f>
        <v>Repayment of Guarantees</v>
      </c>
      <c r="C50" s="523"/>
      <c r="D50" s="523"/>
      <c r="E50" s="523"/>
      <c r="F50" s="523"/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0</v>
      </c>
      <c r="T50" s="464">
        <f t="shared" si="3"/>
        <v>0</v>
      </c>
      <c r="U50" s="481"/>
    </row>
    <row r="51" spans="1:21" ht="13.5" thickBot="1">
      <c r="A51" s="144">
        <v>4630</v>
      </c>
      <c r="B51" s="597" t="str">
        <f>+VLOOKUP($A51,Master!$D$29:$G$225,4,TRUE)</f>
        <v>Repayments of liabilities form the previous period</v>
      </c>
      <c r="C51" s="598"/>
      <c r="D51" s="598"/>
      <c r="E51" s="598"/>
      <c r="F51" s="598"/>
      <c r="G51" s="458">
        <v>17530850.219999999</v>
      </c>
      <c r="H51" s="458">
        <v>3946389.9</v>
      </c>
      <c r="I51" s="458">
        <v>0</v>
      </c>
      <c r="J51" s="458">
        <v>0</v>
      </c>
      <c r="K51" s="458">
        <v>0</v>
      </c>
      <c r="L51" s="458">
        <v>0</v>
      </c>
      <c r="M51" s="458">
        <v>0</v>
      </c>
      <c r="N51" s="458">
        <v>0</v>
      </c>
      <c r="O51" s="458">
        <v>0</v>
      </c>
      <c r="P51" s="458">
        <v>0</v>
      </c>
      <c r="Q51" s="458">
        <v>0</v>
      </c>
      <c r="R51" s="458">
        <v>0</v>
      </c>
      <c r="S51" s="425">
        <f>+SUM(G51:R51)</f>
        <v>21477240.119999997</v>
      </c>
      <c r="T51" s="468">
        <f t="shared" si="3"/>
        <v>0.40474220036182718</v>
      </c>
      <c r="U51" s="481"/>
    </row>
    <row r="52" spans="1:21" ht="13.5" thickBot="1">
      <c r="A52" s="70">
        <v>1005</v>
      </c>
      <c r="B52" s="599" t="str">
        <f>+VLOOKUP($A52,Master!$D$29:$G$227,4,FALSE)</f>
        <v>Net increase of liabilities</v>
      </c>
      <c r="C52" s="600"/>
      <c r="D52" s="600"/>
      <c r="E52" s="600"/>
      <c r="F52" s="600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163">
        <v>0</v>
      </c>
      <c r="S52" s="115">
        <f>+SUM(G52:R52)</f>
        <v>0</v>
      </c>
      <c r="T52" s="469">
        <f t="shared" si="3"/>
        <v>0</v>
      </c>
      <c r="U52" s="482"/>
    </row>
    <row r="53" spans="1:21" ht="13.5" thickBot="1">
      <c r="A53" s="144">
        <v>1000</v>
      </c>
      <c r="B53" s="528" t="str">
        <f>+VLOOKUP($A53,Master!$D$29:$G$225,4,FALSE)</f>
        <v>Surplus / deficit</v>
      </c>
      <c r="C53" s="529"/>
      <c r="D53" s="529"/>
      <c r="E53" s="529"/>
      <c r="F53" s="529"/>
      <c r="G53" s="151">
        <f t="shared" ref="G53:R53" si="9">+G10-G29</f>
        <v>-27721128.980000004</v>
      </c>
      <c r="H53" s="151">
        <f t="shared" si="9"/>
        <v>-26670650.029999986</v>
      </c>
      <c r="I53" s="151">
        <f t="shared" si="9"/>
        <v>0</v>
      </c>
      <c r="J53" s="151">
        <f t="shared" si="9"/>
        <v>0</v>
      </c>
      <c r="K53" s="151">
        <f t="shared" si="9"/>
        <v>0</v>
      </c>
      <c r="L53" s="151">
        <f t="shared" si="9"/>
        <v>0</v>
      </c>
      <c r="M53" s="151">
        <f t="shared" si="9"/>
        <v>0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-54391779.00999999</v>
      </c>
      <c r="T53" s="470">
        <f t="shared" si="3"/>
        <v>-1.0250222186416402</v>
      </c>
    </row>
    <row r="54" spans="1:21" ht="13.5" thickBot="1">
      <c r="A54" s="144">
        <v>1001</v>
      </c>
      <c r="B54" s="530" t="str">
        <f>+VLOOKUP($A54,Master!$D$29:$G$225,4,FALSE)</f>
        <v>Primary surplus/deficit</v>
      </c>
      <c r="C54" s="531"/>
      <c r="D54" s="531"/>
      <c r="E54" s="531"/>
      <c r="F54" s="531"/>
      <c r="G54" s="205">
        <f t="shared" ref="G54:R54" si="10">+G53+G36</f>
        <v>-23866366.730000004</v>
      </c>
      <c r="H54" s="205">
        <f t="shared" si="10"/>
        <v>-25400305.839999985</v>
      </c>
      <c r="I54" s="205">
        <f t="shared" si="10"/>
        <v>0</v>
      </c>
      <c r="J54" s="205">
        <f t="shared" si="10"/>
        <v>0</v>
      </c>
      <c r="K54" s="205">
        <f t="shared" si="10"/>
        <v>0</v>
      </c>
      <c r="L54" s="205">
        <f t="shared" si="10"/>
        <v>0</v>
      </c>
      <c r="M54" s="205">
        <f t="shared" si="10"/>
        <v>0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-49266672.569999993</v>
      </c>
      <c r="T54" s="470">
        <f t="shared" si="3"/>
        <v>-0.92843872625508805</v>
      </c>
    </row>
    <row r="55" spans="1:21">
      <c r="A55" s="144">
        <v>46</v>
      </c>
      <c r="B55" s="552" t="str">
        <f>+VLOOKUP($A55,Master!$D$29:$G$225,4,FALSE)</f>
        <v>Repayment of Debt</v>
      </c>
      <c r="C55" s="553"/>
      <c r="D55" s="553"/>
      <c r="E55" s="553"/>
      <c r="F55" s="553"/>
      <c r="G55" s="193">
        <f t="shared" ref="G55:R55" si="11">+SUM(G56:G57)</f>
        <v>28431258.969999999</v>
      </c>
      <c r="H55" s="193">
        <f t="shared" si="11"/>
        <v>14209001.130000001</v>
      </c>
      <c r="I55" s="193">
        <f t="shared" si="11"/>
        <v>0</v>
      </c>
      <c r="J55" s="175">
        <f t="shared" si="11"/>
        <v>0</v>
      </c>
      <c r="K55" s="193">
        <f t="shared" si="11"/>
        <v>0</v>
      </c>
      <c r="L55" s="193">
        <f t="shared" si="11"/>
        <v>0</v>
      </c>
      <c r="M55" s="193">
        <f t="shared" si="11"/>
        <v>0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42640260.100000001</v>
      </c>
      <c r="T55" s="471">
        <f t="shared" si="3"/>
        <v>0.80356286936529475</v>
      </c>
    </row>
    <row r="56" spans="1:21">
      <c r="A56" s="144">
        <v>4611</v>
      </c>
      <c r="B56" s="520" t="str">
        <f>+VLOOKUP($A56,Master!$D$29:$G$225,4,FALSE)</f>
        <v>Repayment of Domestic Debt</v>
      </c>
      <c r="C56" s="521"/>
      <c r="D56" s="521"/>
      <c r="E56" s="521"/>
      <c r="F56" s="521"/>
      <c r="G56" s="211">
        <v>2390495.08</v>
      </c>
      <c r="H56" s="211">
        <v>3087670.22</v>
      </c>
      <c r="I56" s="211">
        <v>0</v>
      </c>
      <c r="J56" s="211">
        <v>0</v>
      </c>
      <c r="K56" s="211">
        <v>0</v>
      </c>
      <c r="L56" s="211">
        <v>0</v>
      </c>
      <c r="M56" s="211">
        <v>0</v>
      </c>
      <c r="N56" s="211">
        <v>0</v>
      </c>
      <c r="O56" s="211">
        <v>0</v>
      </c>
      <c r="P56" s="211">
        <v>0</v>
      </c>
      <c r="Q56" s="211">
        <v>0</v>
      </c>
      <c r="R56" s="211">
        <v>0</v>
      </c>
      <c r="S56" s="250">
        <f t="shared" si="4"/>
        <v>5478165.3000000007</v>
      </c>
      <c r="T56" s="472">
        <f t="shared" si="3"/>
        <v>0.10323694595205792</v>
      </c>
    </row>
    <row r="57" spans="1:21" ht="13.5" thickBot="1">
      <c r="A57" s="144">
        <v>4612</v>
      </c>
      <c r="B57" s="504" t="str">
        <f>+VLOOKUP($A57,Master!$D$29:$G$225,4,FALSE)</f>
        <v>Repayment of Foreign Debt</v>
      </c>
      <c r="C57" s="505"/>
      <c r="D57" s="505"/>
      <c r="E57" s="505"/>
      <c r="F57" s="505"/>
      <c r="G57" s="211">
        <v>26040763.890000001</v>
      </c>
      <c r="H57" s="211">
        <v>11121330.91</v>
      </c>
      <c r="I57" s="211">
        <v>0</v>
      </c>
      <c r="J57" s="211">
        <v>0</v>
      </c>
      <c r="K57" s="211">
        <v>0</v>
      </c>
      <c r="L57" s="211">
        <v>0</v>
      </c>
      <c r="M57" s="211">
        <v>0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50">
        <f t="shared" si="4"/>
        <v>37162094.799999997</v>
      </c>
      <c r="T57" s="472">
        <f t="shared" si="3"/>
        <v>0.70032592341323674</v>
      </c>
    </row>
    <row r="58" spans="1:21" ht="13.5" thickBot="1">
      <c r="A58" s="144">
        <v>4418</v>
      </c>
      <c r="B58" s="542" t="str">
        <f>+VLOOKUP($A58,Master!$D$29:$G$225,4,FALSE)</f>
        <v>Capital Expenditure for Securities</v>
      </c>
      <c r="C58" s="543"/>
      <c r="D58" s="543"/>
      <c r="E58" s="543"/>
      <c r="F58" s="543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0</v>
      </c>
      <c r="Q58" s="460">
        <v>0</v>
      </c>
      <c r="R58" s="460">
        <v>0</v>
      </c>
      <c r="S58" s="249">
        <f>SUM(G58:R58)</f>
        <v>0</v>
      </c>
      <c r="T58" s="473">
        <f t="shared" si="3"/>
        <v>0</v>
      </c>
    </row>
    <row r="59" spans="1:21" ht="13.5" thickBot="1">
      <c r="A59" s="144">
        <v>1002</v>
      </c>
      <c r="B59" s="524" t="str">
        <f>+VLOOKUP($A59,Master!$D$29:$G$225,4,FALSE)</f>
        <v>Financing needs</v>
      </c>
      <c r="C59" s="525"/>
      <c r="D59" s="525"/>
      <c r="E59" s="525"/>
      <c r="F59" s="525"/>
      <c r="G59" s="217">
        <f>+G53-G55-G58</f>
        <v>-56152387.950000003</v>
      </c>
      <c r="H59" s="217">
        <f t="shared" ref="H59:R59" si="12">+H53-H55-H58</f>
        <v>-40879651.159999989</v>
      </c>
      <c r="I59" s="217">
        <f t="shared" si="12"/>
        <v>0</v>
      </c>
      <c r="J59" s="217">
        <f t="shared" si="12"/>
        <v>0</v>
      </c>
      <c r="K59" s="217">
        <f t="shared" si="12"/>
        <v>0</v>
      </c>
      <c r="L59" s="217">
        <f t="shared" si="12"/>
        <v>0</v>
      </c>
      <c r="M59" s="217">
        <f t="shared" si="12"/>
        <v>0</v>
      </c>
      <c r="N59" s="217">
        <f t="shared" si="12"/>
        <v>0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-97032039.109999985</v>
      </c>
      <c r="T59" s="474">
        <f t="shared" si="3"/>
        <v>-1.8285850880069348</v>
      </c>
    </row>
    <row r="60" spans="1:21" ht="13.5" thickBot="1">
      <c r="A60" s="144">
        <v>1003</v>
      </c>
      <c r="B60" s="526" t="str">
        <f>+VLOOKUP($A60,Master!$D$29:$G$225,4,FALSE)</f>
        <v>Financing</v>
      </c>
      <c r="C60" s="527"/>
      <c r="D60" s="527"/>
      <c r="E60" s="527"/>
      <c r="F60" s="527"/>
      <c r="G60" s="151">
        <f>+SUM(G61:G64)</f>
        <v>56152387.950000003</v>
      </c>
      <c r="H60" s="151">
        <f t="shared" ref="H60:R60" si="13">+SUM(H61:H64)</f>
        <v>40879651.159999989</v>
      </c>
      <c r="I60" s="151">
        <f t="shared" si="13"/>
        <v>0</v>
      </c>
      <c r="J60" s="151">
        <f t="shared" si="13"/>
        <v>0</v>
      </c>
      <c r="K60" s="151">
        <f t="shared" si="13"/>
        <v>0</v>
      </c>
      <c r="L60" s="151">
        <f t="shared" si="13"/>
        <v>0</v>
      </c>
      <c r="M60" s="151">
        <f t="shared" si="13"/>
        <v>0</v>
      </c>
      <c r="N60" s="151">
        <f t="shared" si="13"/>
        <v>0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97032039.109999985</v>
      </c>
      <c r="T60" s="475">
        <f t="shared" si="3"/>
        <v>1.8285850880069348</v>
      </c>
    </row>
    <row r="61" spans="1:21">
      <c r="A61" s="144">
        <v>7511</v>
      </c>
      <c r="B61" s="520" t="str">
        <f>+VLOOKUP($A61,Master!$D$29:$G$225,4,FALSE)</f>
        <v>Domestic Loans and Borrowings</v>
      </c>
      <c r="C61" s="521"/>
      <c r="D61" s="521"/>
      <c r="E61" s="521"/>
      <c r="F61" s="521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04" t="str">
        <f>+VLOOKUP($A62,Master!$D$29:$G$225,4,FALSE)</f>
        <v>Foreign Loans and Borrowings</v>
      </c>
      <c r="C62" s="505"/>
      <c r="D62" s="505"/>
      <c r="E62" s="505"/>
      <c r="F62" s="505"/>
      <c r="G62" s="211">
        <v>12789994.92</v>
      </c>
      <c r="H62" s="211">
        <v>4884760.53</v>
      </c>
      <c r="I62" s="211">
        <v>0</v>
      </c>
      <c r="J62" s="211">
        <v>0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50">
        <f t="shared" si="4"/>
        <v>17674755.449999999</v>
      </c>
      <c r="T62" s="472">
        <f t="shared" si="3"/>
        <v>0.33308373756218906</v>
      </c>
    </row>
    <row r="63" spans="1:21">
      <c r="A63" s="144">
        <v>72</v>
      </c>
      <c r="B63" s="504" t="str">
        <f>+VLOOKUP($A63,Master!$D$29:$G$225,4,FALSE)</f>
        <v>Revenues from Selling Assets</v>
      </c>
      <c r="C63" s="505"/>
      <c r="D63" s="505"/>
      <c r="E63" s="505"/>
      <c r="F63" s="505"/>
      <c r="G63" s="211">
        <v>693159.59</v>
      </c>
      <c r="H63" s="211">
        <v>70539.22</v>
      </c>
      <c r="I63" s="211">
        <v>0</v>
      </c>
      <c r="J63" s="211">
        <v>0</v>
      </c>
      <c r="K63" s="211">
        <v>0</v>
      </c>
      <c r="L63" s="211">
        <v>0</v>
      </c>
      <c r="M63" s="211">
        <v>0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50">
        <f t="shared" si="4"/>
        <v>763698.80999999994</v>
      </c>
      <c r="T63" s="472">
        <f t="shared" si="3"/>
        <v>1.4392032451379466E-2</v>
      </c>
    </row>
    <row r="64" spans="1:21" ht="13.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225">
        <f>-G59-SUM(G61:G63)</f>
        <v>42669233.440000005</v>
      </c>
      <c r="H64" s="225">
        <f t="shared" ref="H64:R64" si="14">-H59-SUM(H61:H63)</f>
        <v>35924351.409999989</v>
      </c>
      <c r="I64" s="225">
        <f t="shared" si="14"/>
        <v>0</v>
      </c>
      <c r="J64" s="225">
        <f t="shared" si="14"/>
        <v>0</v>
      </c>
      <c r="K64" s="225">
        <f t="shared" si="14"/>
        <v>0</v>
      </c>
      <c r="L64" s="225">
        <f t="shared" si="14"/>
        <v>0</v>
      </c>
      <c r="M64" s="225">
        <f t="shared" si="14"/>
        <v>0</v>
      </c>
      <c r="N64" s="225">
        <f t="shared" si="14"/>
        <v>0</v>
      </c>
      <c r="O64" s="225">
        <f t="shared" si="14"/>
        <v>0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78593584.849999994</v>
      </c>
      <c r="T64" s="476">
        <f t="shared" si="3"/>
        <v>1.4811093179933665</v>
      </c>
    </row>
    <row r="65" spans="7:21">
      <c r="R65" s="312"/>
    </row>
    <row r="67" spans="7:21">
      <c r="G67" s="311"/>
    </row>
    <row r="74" spans="7:21">
      <c r="U74" s="257"/>
    </row>
    <row r="79" spans="7:21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21" ht="13.5" thickBot="1">
      <c r="G80" s="68" t="str">
        <f t="shared" ref="G80:R80" si="15">+CONCATENATE(G6,"p")</f>
        <v>2022-01p</v>
      </c>
      <c r="H80" s="68" t="str">
        <f t="shared" si="15"/>
        <v>2022-02p</v>
      </c>
      <c r="I80" s="68" t="str">
        <f t="shared" si="15"/>
        <v>2022-03p</v>
      </c>
      <c r="J80" s="68" t="str">
        <f t="shared" si="15"/>
        <v>2022-04p</v>
      </c>
      <c r="K80" s="68" t="str">
        <f t="shared" si="15"/>
        <v>2022-05p</v>
      </c>
      <c r="L80" s="68" t="str">
        <f t="shared" si="15"/>
        <v>2022-06p</v>
      </c>
      <c r="M80" s="68" t="str">
        <f t="shared" si="15"/>
        <v>2022-07p</v>
      </c>
      <c r="N80" s="68" t="str">
        <f t="shared" si="15"/>
        <v>2022-08p</v>
      </c>
      <c r="O80" s="68" t="str">
        <f t="shared" si="15"/>
        <v>2022-09p</v>
      </c>
      <c r="P80" s="68" t="str">
        <f t="shared" si="15"/>
        <v>2022-10p</v>
      </c>
      <c r="Q80" s="68" t="str">
        <f t="shared" si="15"/>
        <v>2022-11p</v>
      </c>
      <c r="R80" s="68" t="str">
        <f t="shared" si="15"/>
        <v>2022-12p</v>
      </c>
    </row>
    <row r="81" spans="1:21" ht="15.75" customHeight="1" thickBot="1">
      <c r="B81" s="584" t="str">
        <f>+Master!G252</f>
        <v>Planned Budget Execution</v>
      </c>
      <c r="C81" s="585"/>
      <c r="D81" s="585"/>
      <c r="E81" s="585"/>
      <c r="F81" s="585"/>
      <c r="G81" s="592">
        <v>2022</v>
      </c>
      <c r="H81" s="593"/>
      <c r="I81" s="593"/>
      <c r="J81" s="593"/>
      <c r="K81" s="593"/>
      <c r="L81" s="593"/>
      <c r="M81" s="593"/>
      <c r="N81" s="593"/>
      <c r="O81" s="593"/>
      <c r="P81" s="593"/>
      <c r="Q81" s="593"/>
      <c r="R81" s="594"/>
      <c r="S81" s="107" t="str">
        <f>+S7</f>
        <v>GDP</v>
      </c>
      <c r="T81" s="108">
        <v>5306400000</v>
      </c>
    </row>
    <row r="82" spans="1:21" ht="15.75" customHeight="1">
      <c r="B82" s="586"/>
      <c r="C82" s="587"/>
      <c r="D82" s="587"/>
      <c r="E82" s="587"/>
      <c r="F82" s="588"/>
      <c r="G82" s="71" t="str">
        <f t="shared" ref="G82:R82" si="16">+G8</f>
        <v>January</v>
      </c>
      <c r="H82" s="71" t="str">
        <f t="shared" si="16"/>
        <v>February</v>
      </c>
      <c r="I82" s="71" t="str">
        <f t="shared" si="16"/>
        <v>March</v>
      </c>
      <c r="J82" s="71" t="str">
        <f t="shared" si="16"/>
        <v>April</v>
      </c>
      <c r="K82" s="71" t="str">
        <f t="shared" si="16"/>
        <v>May</v>
      </c>
      <c r="L82" s="71" t="str">
        <f t="shared" si="16"/>
        <v>June</v>
      </c>
      <c r="M82" s="71" t="str">
        <f t="shared" si="16"/>
        <v>July</v>
      </c>
      <c r="N82" s="71" t="str">
        <f t="shared" si="16"/>
        <v>August</v>
      </c>
      <c r="O82" s="71" t="str">
        <f t="shared" si="16"/>
        <v>September</v>
      </c>
      <c r="P82" s="71" t="str">
        <f t="shared" si="16"/>
        <v>October</v>
      </c>
      <c r="Q82" s="71" t="str">
        <f t="shared" si="16"/>
        <v>November</v>
      </c>
      <c r="R82" s="71" t="str">
        <f t="shared" si="16"/>
        <v>December</v>
      </c>
      <c r="S82" s="592" t="str">
        <f>+Master!G246</f>
        <v>Jan - Dec</v>
      </c>
      <c r="T82" s="594">
        <f>+T8</f>
        <v>0</v>
      </c>
    </row>
    <row r="83" spans="1:21" ht="13.5" thickBot="1">
      <c r="B83" s="589"/>
      <c r="C83" s="590"/>
      <c r="D83" s="590"/>
      <c r="E83" s="590"/>
      <c r="F83" s="591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GDP</v>
      </c>
    </row>
    <row r="84" spans="1:21" ht="13.5" thickBot="1">
      <c r="A84" s="116" t="str">
        <f t="shared" ref="A84:A138" si="17">+CONCATENATE(A10,"p")</f>
        <v>7p</v>
      </c>
      <c r="B84" s="580" t="str">
        <f>+VLOOKUP(LEFT($A84,LEN(A84)-1)*1,Master!$D$29:$G$225,4,FALSE)</f>
        <v>Total Revenues</v>
      </c>
      <c r="C84" s="581"/>
      <c r="D84" s="581"/>
      <c r="E84" s="581"/>
      <c r="F84" s="581"/>
      <c r="G84" s="93">
        <f t="shared" ref="G84:R84" si="18">+G85+G93+SUM(G98:G102)</f>
        <v>103883592.73418278</v>
      </c>
      <c r="H84" s="93">
        <f t="shared" si="18"/>
        <v>112389437.34253797</v>
      </c>
      <c r="I84" s="93">
        <f t="shared" si="18"/>
        <v>149823320.09605211</v>
      </c>
      <c r="J84" s="93">
        <f t="shared" si="18"/>
        <v>161889007.68791279</v>
      </c>
      <c r="K84" s="93">
        <f t="shared" si="18"/>
        <v>140633489.37786841</v>
      </c>
      <c r="L84" s="93">
        <f t="shared" si="18"/>
        <v>163567969.03586718</v>
      </c>
      <c r="M84" s="93">
        <f t="shared" si="18"/>
        <v>189013439.82863885</v>
      </c>
      <c r="N84" s="93">
        <f t="shared" si="18"/>
        <v>195169347.71786064</v>
      </c>
      <c r="O84" s="93">
        <f t="shared" si="18"/>
        <v>173319933.4629713</v>
      </c>
      <c r="P84" s="93">
        <f t="shared" si="18"/>
        <v>168315875.7953729</v>
      </c>
      <c r="Q84" s="93">
        <f t="shared" si="18"/>
        <v>160954690.16744265</v>
      </c>
      <c r="R84" s="93">
        <f t="shared" si="18"/>
        <v>215797515.85336715</v>
      </c>
      <c r="S84" s="453">
        <f>+SUM(G84:R84)</f>
        <v>1934757619.1000748</v>
      </c>
      <c r="T84" s="477">
        <f>+S84/$T$81*100</f>
        <v>36.460832562567369</v>
      </c>
      <c r="U84" s="257"/>
    </row>
    <row r="85" spans="1:21">
      <c r="A85" s="116" t="str">
        <f t="shared" si="17"/>
        <v>711p</v>
      </c>
      <c r="B85" s="582" t="str">
        <f>+VLOOKUP(LEFT($A85,LEN(A85)-1)*1,Master!$D$29:$G$225,4,FALSE)</f>
        <v>Taxes</v>
      </c>
      <c r="C85" s="583"/>
      <c r="D85" s="583"/>
      <c r="E85" s="583"/>
      <c r="F85" s="583"/>
      <c r="G85" s="79">
        <f t="shared" ref="G85:R85" si="19">+SUM(G86:G92)</f>
        <v>76986192.301309064</v>
      </c>
      <c r="H85" s="79">
        <f t="shared" si="19"/>
        <v>68739316.006660998</v>
      </c>
      <c r="I85" s="79">
        <f t="shared" si="19"/>
        <v>105701262.46110664</v>
      </c>
      <c r="J85" s="79">
        <f t="shared" si="19"/>
        <v>109215070.37754746</v>
      </c>
      <c r="K85" s="79">
        <f t="shared" si="19"/>
        <v>93834576.699615017</v>
      </c>
      <c r="L85" s="79">
        <f t="shared" si="19"/>
        <v>108847757.90236668</v>
      </c>
      <c r="M85" s="79">
        <f t="shared" si="19"/>
        <v>125840403.83781756</v>
      </c>
      <c r="N85" s="79">
        <f t="shared" si="19"/>
        <v>134576943.18371007</v>
      </c>
      <c r="O85" s="79">
        <f t="shared" si="19"/>
        <v>121706415.21215931</v>
      </c>
      <c r="P85" s="79">
        <f t="shared" si="19"/>
        <v>112627812.98825803</v>
      </c>
      <c r="Q85" s="79">
        <f t="shared" si="19"/>
        <v>103171800.18523188</v>
      </c>
      <c r="R85" s="80">
        <f t="shared" si="19"/>
        <v>116102139.13114922</v>
      </c>
      <c r="S85" s="111">
        <f t="shared" ref="S85:S138" si="20">+SUM(G85:R85)</f>
        <v>1277349690.286932</v>
      </c>
      <c r="T85" s="463">
        <f t="shared" ref="T85:T138" si="21">+S85/$T$81*100</f>
        <v>24.071869634534373</v>
      </c>
      <c r="U85" s="257"/>
    </row>
    <row r="86" spans="1:21">
      <c r="A86" s="116" t="str">
        <f t="shared" si="17"/>
        <v>7111p</v>
      </c>
      <c r="B86" s="570" t="str">
        <f>+VLOOKUP(LEFT($A86,LEN(A86)-1)*1,Master!$D$29:$G$228,4,FALSE)</f>
        <v>Personal Income Tax</v>
      </c>
      <c r="C86" s="571"/>
      <c r="D86" s="571"/>
      <c r="E86" s="571"/>
      <c r="F86" s="571"/>
      <c r="G86" s="87">
        <v>6036977.0769869126</v>
      </c>
      <c r="H86" s="87">
        <v>8911478.3177045882</v>
      </c>
      <c r="I86" s="87">
        <v>8610008.171962196</v>
      </c>
      <c r="J86" s="87">
        <v>12249334.247183047</v>
      </c>
      <c r="K86" s="87">
        <v>11719700.466837784</v>
      </c>
      <c r="L86" s="87">
        <v>11838864.683369705</v>
      </c>
      <c r="M86" s="87">
        <v>12658416.85178042</v>
      </c>
      <c r="N86" s="87">
        <v>12153377.839137483</v>
      </c>
      <c r="O86" s="87">
        <v>12015172.827783465</v>
      </c>
      <c r="P86" s="87">
        <v>12484353.918082759</v>
      </c>
      <c r="Q86" s="87">
        <v>11687568.278631231</v>
      </c>
      <c r="R86" s="87">
        <v>19924639.630337406</v>
      </c>
      <c r="S86" s="112">
        <f t="shared" si="20"/>
        <v>140289892.30979699</v>
      </c>
      <c r="T86" s="464">
        <f t="shared" si="21"/>
        <v>2.6437866031546244</v>
      </c>
    </row>
    <row r="87" spans="1:21">
      <c r="A87" s="116" t="str">
        <f t="shared" si="17"/>
        <v>7112p</v>
      </c>
      <c r="B87" s="570" t="str">
        <f>+VLOOKUP(LEFT($A87,LEN(A87)-1)*1,Master!$D$29:$G$228,4,FALSE)</f>
        <v>Corporate Income Tax</v>
      </c>
      <c r="C87" s="571"/>
      <c r="D87" s="571"/>
      <c r="E87" s="571"/>
      <c r="F87" s="571"/>
      <c r="G87" s="87">
        <v>386172.45118166273</v>
      </c>
      <c r="H87" s="87">
        <v>2338219.2077789549</v>
      </c>
      <c r="I87" s="87">
        <v>28996013.122200411</v>
      </c>
      <c r="J87" s="87">
        <v>22814989.281143885</v>
      </c>
      <c r="K87" s="87">
        <v>5197060.1926962147</v>
      </c>
      <c r="L87" s="87">
        <v>4933009.0913874442</v>
      </c>
      <c r="M87" s="87">
        <v>5265465.4182412103</v>
      </c>
      <c r="N87" s="87">
        <v>4155051.2661085152</v>
      </c>
      <c r="O87" s="87">
        <v>2892088.1311011645</v>
      </c>
      <c r="P87" s="87">
        <v>1042099.4749570616</v>
      </c>
      <c r="Q87" s="87">
        <v>1268040.6826842749</v>
      </c>
      <c r="R87" s="87">
        <v>4996140.2242778074</v>
      </c>
      <c r="S87" s="112">
        <f t="shared" si="20"/>
        <v>84284348.543758601</v>
      </c>
      <c r="T87" s="464">
        <f t="shared" si="21"/>
        <v>1.5883527164133611</v>
      </c>
    </row>
    <row r="88" spans="1:21">
      <c r="A88" s="116" t="str">
        <f t="shared" si="17"/>
        <v>7113p</v>
      </c>
      <c r="B88" s="570" t="str">
        <f>+VLOOKUP(LEFT($A88,LEN(A88)-1)*1,Master!$D$29:$G$228,4,FALSE)</f>
        <v xml:space="preserve">Taxes on Sales of Property </v>
      </c>
      <c r="C88" s="571"/>
      <c r="D88" s="571"/>
      <c r="E88" s="571"/>
      <c r="F88" s="571"/>
      <c r="G88" s="87">
        <v>137599.11671066686</v>
      </c>
      <c r="H88" s="87">
        <v>139962.95471971622</v>
      </c>
      <c r="I88" s="87">
        <v>160800.54964910698</v>
      </c>
      <c r="J88" s="87">
        <v>168679.89751277707</v>
      </c>
      <c r="K88" s="87">
        <v>151756.38063291303</v>
      </c>
      <c r="L88" s="87">
        <v>130623.85679923798</v>
      </c>
      <c r="M88" s="87">
        <v>126029.78316750137</v>
      </c>
      <c r="N88" s="87">
        <v>142307.1388536517</v>
      </c>
      <c r="O88" s="87">
        <v>108672.06715796523</v>
      </c>
      <c r="P88" s="87">
        <v>143661.48518472709</v>
      </c>
      <c r="Q88" s="87">
        <v>142630.12109384249</v>
      </c>
      <c r="R88" s="87">
        <v>128842.67579023782</v>
      </c>
      <c r="S88" s="112">
        <f t="shared" si="20"/>
        <v>1681566.0272723434</v>
      </c>
      <c r="T88" s="464">
        <f t="shared" si="21"/>
        <v>3.1689394453345836E-2</v>
      </c>
    </row>
    <row r="89" spans="1:21">
      <c r="A89" s="116" t="str">
        <f t="shared" si="17"/>
        <v>7114p</v>
      </c>
      <c r="B89" s="570" t="str">
        <f>+VLOOKUP(LEFT($A89,LEN(A89)-1)*1,Master!$D$29:$G$228,4,FALSE)</f>
        <v>Value Added Tax</v>
      </c>
      <c r="C89" s="571"/>
      <c r="D89" s="571"/>
      <c r="E89" s="571"/>
      <c r="F89" s="571"/>
      <c r="G89" s="87">
        <v>48997810.15816012</v>
      </c>
      <c r="H89" s="87">
        <v>40002470.340359561</v>
      </c>
      <c r="I89" s="87">
        <v>50004466.090834908</v>
      </c>
      <c r="J89" s="87">
        <v>53003514.578586213</v>
      </c>
      <c r="K89" s="87">
        <v>53019436.722509921</v>
      </c>
      <c r="L89" s="87">
        <v>65702977.290997334</v>
      </c>
      <c r="M89" s="87">
        <v>76000116.474118784</v>
      </c>
      <c r="N89" s="87">
        <v>80017450.661895335</v>
      </c>
      <c r="O89" s="87">
        <v>70695564.988729894</v>
      </c>
      <c r="P89" s="87">
        <v>69519387.136670247</v>
      </c>
      <c r="Q89" s="87">
        <v>62764600.786352843</v>
      </c>
      <c r="R89" s="87">
        <v>64112577.546304867</v>
      </c>
      <c r="S89" s="112">
        <f t="shared" si="20"/>
        <v>733840372.77552009</v>
      </c>
      <c r="T89" s="464">
        <f t="shared" si="21"/>
        <v>13.829345182713707</v>
      </c>
    </row>
    <row r="90" spans="1:21">
      <c r="A90" s="116" t="str">
        <f t="shared" si="17"/>
        <v>7115p</v>
      </c>
      <c r="B90" s="570" t="str">
        <f>+VLOOKUP(LEFT($A90,LEN(A90)-1)*1,Master!$D$29:$G$228,4,FALSE)</f>
        <v>Excises</v>
      </c>
      <c r="C90" s="571"/>
      <c r="D90" s="571"/>
      <c r="E90" s="571"/>
      <c r="F90" s="571"/>
      <c r="G90" s="87">
        <v>19022248.857979022</v>
      </c>
      <c r="H90" s="87">
        <v>14888833.871354572</v>
      </c>
      <c r="I90" s="87">
        <v>14529557.862004982</v>
      </c>
      <c r="J90" s="87">
        <v>17361043.168040603</v>
      </c>
      <c r="K90" s="87">
        <v>20215865.486963261</v>
      </c>
      <c r="L90" s="87">
        <v>22457232.88613506</v>
      </c>
      <c r="M90" s="87">
        <v>27691704.400892012</v>
      </c>
      <c r="N90" s="87">
        <v>32942521.963602662</v>
      </c>
      <c r="O90" s="87">
        <v>31301086.260136649</v>
      </c>
      <c r="P90" s="87">
        <v>24896741.211742759</v>
      </c>
      <c r="Q90" s="87">
        <v>23199515.912827551</v>
      </c>
      <c r="R90" s="87">
        <v>22494227.663672887</v>
      </c>
      <c r="S90" s="112">
        <f t="shared" si="20"/>
        <v>271000579.54535198</v>
      </c>
      <c r="T90" s="464">
        <f t="shared" si="21"/>
        <v>5.1070514764313275</v>
      </c>
    </row>
    <row r="91" spans="1:21">
      <c r="A91" s="116" t="str">
        <f t="shared" si="17"/>
        <v>7116p</v>
      </c>
      <c r="B91" s="570" t="str">
        <f>+VLOOKUP(LEFT($A91,LEN(A91)-1)*1,Master!$D$29:$G$228,4,FALSE)</f>
        <v>Tax on International Trade and Transactions</v>
      </c>
      <c r="C91" s="571"/>
      <c r="D91" s="571"/>
      <c r="E91" s="571"/>
      <c r="F91" s="571"/>
      <c r="G91" s="87">
        <v>1581959.901535122</v>
      </c>
      <c r="H91" s="87">
        <v>1703130.706570718</v>
      </c>
      <c r="I91" s="87">
        <v>2460685.1155701326</v>
      </c>
      <c r="J91" s="87">
        <v>2633161.7547204318</v>
      </c>
      <c r="K91" s="87">
        <v>2602607.8746786527</v>
      </c>
      <c r="L91" s="87">
        <v>2684994.2017241237</v>
      </c>
      <c r="M91" s="87">
        <v>3011596.6669215872</v>
      </c>
      <c r="N91" s="87">
        <v>3100234.0208783555</v>
      </c>
      <c r="O91" s="87">
        <v>2655237.4002162451</v>
      </c>
      <c r="P91" s="87">
        <v>2592394.5025440347</v>
      </c>
      <c r="Q91" s="87">
        <v>2104701.7503375057</v>
      </c>
      <c r="R91" s="87">
        <v>2536747.8171281349</v>
      </c>
      <c r="S91" s="112">
        <f t="shared" si="20"/>
        <v>29667451.712825045</v>
      </c>
      <c r="T91" s="464">
        <f t="shared" si="21"/>
        <v>0.55908811459417007</v>
      </c>
    </row>
    <row r="92" spans="1:21">
      <c r="A92" s="116" t="str">
        <f t="shared" si="17"/>
        <v>7118p</v>
      </c>
      <c r="B92" s="570" t="str">
        <f>+VLOOKUP(LEFT($A92,LEN(A92)-1)*1,Master!$D$29:$G$228,4,FALSE)</f>
        <v>Other Republic Taxes</v>
      </c>
      <c r="C92" s="571"/>
      <c r="D92" s="571"/>
      <c r="E92" s="571"/>
      <c r="F92" s="571"/>
      <c r="G92" s="87">
        <v>823424.73875555594</v>
      </c>
      <c r="H92" s="87">
        <v>755220.60817287723</v>
      </c>
      <c r="I92" s="87">
        <v>939731.54888491821</v>
      </c>
      <c r="J92" s="87">
        <v>984347.45036050549</v>
      </c>
      <c r="K92" s="87">
        <v>928149.5752962752</v>
      </c>
      <c r="L92" s="87">
        <v>1100055.8919537803</v>
      </c>
      <c r="M92" s="87">
        <v>1087074.2426960634</v>
      </c>
      <c r="N92" s="87">
        <v>2066000.2932340601</v>
      </c>
      <c r="O92" s="87">
        <v>2038593.5370339223</v>
      </c>
      <c r="P92" s="87">
        <v>1949175.2590764421</v>
      </c>
      <c r="Q92" s="87">
        <v>2004742.6533046227</v>
      </c>
      <c r="R92" s="87">
        <v>1908963.573637875</v>
      </c>
      <c r="S92" s="112">
        <f t="shared" si="20"/>
        <v>16585479.3724069</v>
      </c>
      <c r="T92" s="464">
        <f t="shared" si="21"/>
        <v>0.31255614677383725</v>
      </c>
    </row>
    <row r="93" spans="1:21">
      <c r="A93" s="116" t="str">
        <f t="shared" si="17"/>
        <v>712p</v>
      </c>
      <c r="B93" s="578" t="str">
        <f>+VLOOKUP(LEFT($A93,LEN(A93)-1)*1,Master!$D$29:$G$228,4,FALSE)</f>
        <v>Contributions</v>
      </c>
      <c r="C93" s="579"/>
      <c r="D93" s="579"/>
      <c r="E93" s="579"/>
      <c r="F93" s="579"/>
      <c r="G93" s="81">
        <f>+SUM(G94:G97)</f>
        <v>14739033.95730887</v>
      </c>
      <c r="H93" s="81">
        <f t="shared" ref="H93:R93" si="22">+SUM(H94:H97)</f>
        <v>35577399.162559882</v>
      </c>
      <c r="I93" s="480">
        <f t="shared" si="22"/>
        <v>35206496.551826648</v>
      </c>
      <c r="J93" s="81">
        <f t="shared" si="22"/>
        <v>42715012.505468771</v>
      </c>
      <c r="K93" s="81">
        <f t="shared" si="22"/>
        <v>35349770.216303565</v>
      </c>
      <c r="L93" s="81">
        <f t="shared" si="22"/>
        <v>40049430.910925195</v>
      </c>
      <c r="M93" s="81">
        <f t="shared" si="22"/>
        <v>42753293.821960472</v>
      </c>
      <c r="N93" s="81">
        <f t="shared" si="22"/>
        <v>40593513.231235966</v>
      </c>
      <c r="O93" s="81">
        <f t="shared" si="22"/>
        <v>39471393.883434452</v>
      </c>
      <c r="P93" s="81">
        <f t="shared" si="22"/>
        <v>42070524.854843825</v>
      </c>
      <c r="Q93" s="81">
        <f t="shared" si="22"/>
        <v>40155069.118088707</v>
      </c>
      <c r="R93" s="82">
        <f t="shared" si="22"/>
        <v>76385991.571237266</v>
      </c>
      <c r="S93" s="113">
        <f t="shared" si="20"/>
        <v>485066929.78519362</v>
      </c>
      <c r="T93" s="465">
        <f t="shared" si="21"/>
        <v>9.1411678310190254</v>
      </c>
    </row>
    <row r="94" spans="1:21">
      <c r="A94" s="116" t="str">
        <f t="shared" si="17"/>
        <v>7121p</v>
      </c>
      <c r="B94" s="570" t="str">
        <f>+VLOOKUP(LEFT($A94,LEN(A94)-1)*1,Master!$D$29:$G$228,4,FALSE)</f>
        <v>Contributions for Pension and Disability Insurance</v>
      </c>
      <c r="C94" s="571"/>
      <c r="D94" s="571"/>
      <c r="E94" s="571"/>
      <c r="F94" s="571"/>
      <c r="G94" s="87">
        <v>9495171.1621009018</v>
      </c>
      <c r="H94" s="87">
        <v>31694621.356915068</v>
      </c>
      <c r="I94" s="87">
        <v>30831127.527752884</v>
      </c>
      <c r="J94" s="87">
        <v>38211450.90576046</v>
      </c>
      <c r="K94" s="87">
        <v>31487172.281432074</v>
      </c>
      <c r="L94" s="87">
        <v>35607882.632401399</v>
      </c>
      <c r="M94" s="87">
        <v>38126882.692857176</v>
      </c>
      <c r="N94" s="87">
        <v>36064695.044786133</v>
      </c>
      <c r="O94" s="87">
        <v>35048794.935994439</v>
      </c>
      <c r="P94" s="87">
        <v>37410500.030440003</v>
      </c>
      <c r="Q94" s="87">
        <v>35705275.759551719</v>
      </c>
      <c r="R94" s="87">
        <v>69140609.601068795</v>
      </c>
      <c r="S94" s="112">
        <f t="shared" si="20"/>
        <v>428824183.93106103</v>
      </c>
      <c r="T94" s="464">
        <f t="shared" si="21"/>
        <v>8.0812638310542173</v>
      </c>
    </row>
    <row r="95" spans="1:21">
      <c r="A95" s="116" t="str">
        <f t="shared" si="17"/>
        <v>7122p</v>
      </c>
      <c r="B95" s="570" t="str">
        <f>+VLOOKUP(LEFT($A95,LEN(A95)-1)*1,Master!$D$29:$G$228,4,FALSE)</f>
        <v>Contributions for Health Insurance</v>
      </c>
      <c r="C95" s="571"/>
      <c r="D95" s="571"/>
      <c r="E95" s="571"/>
      <c r="F95" s="571"/>
      <c r="G95" s="87">
        <v>4217156.505590898</v>
      </c>
      <c r="H95" s="87">
        <v>1387272.7272727001</v>
      </c>
      <c r="I95" s="87">
        <v>1387272.7272727001</v>
      </c>
      <c r="J95" s="87">
        <v>1387272.7272727001</v>
      </c>
      <c r="K95" s="87">
        <v>1387272.7272727001</v>
      </c>
      <c r="L95" s="87">
        <v>1387272.7272727001</v>
      </c>
      <c r="M95" s="87">
        <v>1387272.7272727001</v>
      </c>
      <c r="N95" s="87">
        <v>1387272.7272727001</v>
      </c>
      <c r="O95" s="87">
        <v>1387272.7272727001</v>
      </c>
      <c r="P95" s="87">
        <v>1387272.7272727001</v>
      </c>
      <c r="Q95" s="87">
        <v>1387272.7272727001</v>
      </c>
      <c r="R95" s="87">
        <v>1387272.7272727001</v>
      </c>
      <c r="S95" s="112">
        <f t="shared" si="20"/>
        <v>19477156.505590603</v>
      </c>
      <c r="T95" s="464">
        <f t="shared" si="21"/>
        <v>0.36705028843642773</v>
      </c>
    </row>
    <row r="96" spans="1:21">
      <c r="A96" s="116" t="str">
        <f t="shared" si="17"/>
        <v>7123p</v>
      </c>
      <c r="B96" s="570" t="str">
        <f>+VLOOKUP(LEFT($A96,LEN(A96)-1)*1,Master!$D$29:$G$228,4,FALSE)</f>
        <v>Contributions for  Unemployment Insurance</v>
      </c>
      <c r="C96" s="571"/>
      <c r="D96" s="571"/>
      <c r="E96" s="571"/>
      <c r="F96" s="571"/>
      <c r="G96" s="87">
        <v>603768.4288435023</v>
      </c>
      <c r="H96" s="87">
        <v>1343353.7326137528</v>
      </c>
      <c r="I96" s="87">
        <v>1641125.2437121717</v>
      </c>
      <c r="J96" s="87">
        <v>1626153.9845466164</v>
      </c>
      <c r="K96" s="87">
        <v>1467152.5454538772</v>
      </c>
      <c r="L96" s="87">
        <v>1755326.7677572384</v>
      </c>
      <c r="M96" s="87">
        <v>1879060.7612420167</v>
      </c>
      <c r="N96" s="87">
        <v>1839647.957332494</v>
      </c>
      <c r="O96" s="87">
        <v>1731484.6640204804</v>
      </c>
      <c r="P96" s="87">
        <v>1821603.5457183875</v>
      </c>
      <c r="Q96" s="87">
        <v>1718684.5581534628</v>
      </c>
      <c r="R96" s="87">
        <v>3226187.9480236997</v>
      </c>
      <c r="S96" s="112">
        <f t="shared" si="20"/>
        <v>20653550.1374177</v>
      </c>
      <c r="T96" s="464">
        <f t="shared" si="21"/>
        <v>0.38921962417868422</v>
      </c>
    </row>
    <row r="97" spans="1:23">
      <c r="A97" s="116" t="str">
        <f t="shared" si="17"/>
        <v>7124p</v>
      </c>
      <c r="B97" s="570" t="str">
        <f>+VLOOKUP(LEFT($A97,LEN(A97)-1)*1,Master!$D$29:$G$228,4,FALSE)</f>
        <v>Other contributions</v>
      </c>
      <c r="C97" s="571"/>
      <c r="D97" s="571"/>
      <c r="E97" s="571"/>
      <c r="F97" s="571"/>
      <c r="G97" s="87">
        <v>422937.86077356793</v>
      </c>
      <c r="H97" s="87">
        <v>1152151.3457583643</v>
      </c>
      <c r="I97" s="87">
        <v>1346971.0530888957</v>
      </c>
      <c r="J97" s="87">
        <v>1490134.8878889994</v>
      </c>
      <c r="K97" s="87">
        <v>1008172.6621449152</v>
      </c>
      <c r="L97" s="87">
        <v>1298948.7834938644</v>
      </c>
      <c r="M97" s="87">
        <v>1360077.6405885809</v>
      </c>
      <c r="N97" s="87">
        <v>1301897.5018446438</v>
      </c>
      <c r="O97" s="87">
        <v>1303841.5561468413</v>
      </c>
      <c r="P97" s="87">
        <v>1451148.5514127368</v>
      </c>
      <c r="Q97" s="87">
        <v>1343836.0731108226</v>
      </c>
      <c r="R97" s="87">
        <v>2631921.2948720674</v>
      </c>
      <c r="S97" s="112">
        <f t="shared" si="20"/>
        <v>16112039.211124301</v>
      </c>
      <c r="T97" s="464">
        <f t="shared" si="21"/>
        <v>0.3036340873496966</v>
      </c>
    </row>
    <row r="98" spans="1:23">
      <c r="A98" s="116" t="str">
        <f t="shared" si="17"/>
        <v>713p</v>
      </c>
      <c r="B98" s="576" t="str">
        <f>+VLOOKUP(LEFT($A98,LEN(A98)-1)*1,Master!$D$29:$G$228,4,FALSE)</f>
        <v>Duties</v>
      </c>
      <c r="C98" s="577"/>
      <c r="D98" s="577"/>
      <c r="E98" s="577"/>
      <c r="F98" s="577"/>
      <c r="G98" s="83">
        <v>716959.63744480617</v>
      </c>
      <c r="H98" s="83">
        <v>875830.28943826968</v>
      </c>
      <c r="I98" s="83">
        <v>898134.53683155368</v>
      </c>
      <c r="J98" s="83">
        <v>888310.9651939217</v>
      </c>
      <c r="K98" s="83">
        <v>1030366.1861709147</v>
      </c>
      <c r="L98" s="83">
        <v>1185843.6965174251</v>
      </c>
      <c r="M98" s="83">
        <v>1667639.8869234594</v>
      </c>
      <c r="N98" s="83">
        <v>1578448.2866900889</v>
      </c>
      <c r="O98" s="83">
        <v>1380373.0567911586</v>
      </c>
      <c r="P98" s="83">
        <v>1169305.3807242704</v>
      </c>
      <c r="Q98" s="83">
        <v>852590.84694761061</v>
      </c>
      <c r="R98" s="83">
        <v>1132750.4323350992</v>
      </c>
      <c r="S98" s="113">
        <f t="shared" si="20"/>
        <v>13376553.202008577</v>
      </c>
      <c r="T98" s="465">
        <f t="shared" si="21"/>
        <v>0.25208339367572324</v>
      </c>
    </row>
    <row r="99" spans="1:23">
      <c r="A99" s="116" t="str">
        <f t="shared" si="17"/>
        <v>714p</v>
      </c>
      <c r="B99" s="576" t="str">
        <f>+VLOOKUP(LEFT($A99,LEN(A99)-1)*1,Master!$D$29:$G$228,4,FALSE)</f>
        <v>Fees</v>
      </c>
      <c r="C99" s="577"/>
      <c r="D99" s="577"/>
      <c r="E99" s="577"/>
      <c r="F99" s="577"/>
      <c r="G99" s="83">
        <v>9700438.6639014706</v>
      </c>
      <c r="H99" s="83">
        <v>2922897.1970708221</v>
      </c>
      <c r="I99" s="83">
        <v>3332017.5114569198</v>
      </c>
      <c r="J99" s="83">
        <v>4136191.0704011233</v>
      </c>
      <c r="K99" s="83">
        <v>3074367.946991629</v>
      </c>
      <c r="L99" s="83">
        <v>5739309.4993893243</v>
      </c>
      <c r="M99" s="83">
        <v>6472254.6831636187</v>
      </c>
      <c r="N99" s="83">
        <v>5700766.1375209093</v>
      </c>
      <c r="O99" s="83">
        <v>5838639.4240750894</v>
      </c>
      <c r="P99" s="83">
        <v>6404757.6661479613</v>
      </c>
      <c r="Q99" s="83">
        <v>5747893.6025398392</v>
      </c>
      <c r="R99" s="83">
        <v>7633324.3507150738</v>
      </c>
      <c r="S99" s="113">
        <f t="shared" si="20"/>
        <v>66702857.753373779</v>
      </c>
      <c r="T99" s="465">
        <f t="shared" si="21"/>
        <v>1.2570265670393068</v>
      </c>
    </row>
    <row r="100" spans="1:23">
      <c r="A100" s="116" t="str">
        <f t="shared" si="17"/>
        <v>715p</v>
      </c>
      <c r="B100" s="576" t="str">
        <f>+VLOOKUP(LEFT($A100,LEN(A100)-1)*1,Master!$D$29:$G$228,4,FALSE)</f>
        <v>Other revenues</v>
      </c>
      <c r="C100" s="577"/>
      <c r="D100" s="577"/>
      <c r="E100" s="577"/>
      <c r="F100" s="577"/>
      <c r="G100" s="83">
        <v>1331781.4619610589</v>
      </c>
      <c r="H100" s="83">
        <v>1901272.8094459367</v>
      </c>
      <c r="I100" s="83">
        <v>2575064.836907316</v>
      </c>
      <c r="J100" s="83">
        <v>2112330.3067699438</v>
      </c>
      <c r="K100" s="83">
        <v>3659838.2733385107</v>
      </c>
      <c r="L100" s="83">
        <v>3097932.5006113267</v>
      </c>
      <c r="M100" s="83">
        <v>8852221.2517254446</v>
      </c>
      <c r="N100" s="83">
        <v>8102620.0768102016</v>
      </c>
      <c r="O100" s="83">
        <v>1810690.2451614358</v>
      </c>
      <c r="P100" s="83">
        <v>2046468.0200236528</v>
      </c>
      <c r="Q100" s="83">
        <v>1800926.1426908849</v>
      </c>
      <c r="R100" s="83">
        <v>3354130.5189856696</v>
      </c>
      <c r="S100" s="113">
        <f t="shared" si="20"/>
        <v>40645276.444431379</v>
      </c>
      <c r="T100" s="465">
        <f t="shared" si="21"/>
        <v>0.76596706702154715</v>
      </c>
    </row>
    <row r="101" spans="1:23">
      <c r="A101" s="116" t="str">
        <f t="shared" si="17"/>
        <v>73p</v>
      </c>
      <c r="B101" s="576" t="str">
        <f>+VLOOKUP(LEFT($A101,LEN(A101)-1)*1,Master!$D$29:$G$228,4,FALSE)</f>
        <v>Receipts from Repayment of Loans and Funds Carried over from Previous Year</v>
      </c>
      <c r="C101" s="577"/>
      <c r="D101" s="577"/>
      <c r="E101" s="577"/>
      <c r="F101" s="577"/>
      <c r="G101" s="83">
        <v>83096.852737975787</v>
      </c>
      <c r="H101" s="83">
        <v>454586.60399148142</v>
      </c>
      <c r="I101" s="83">
        <v>309002.47729931993</v>
      </c>
      <c r="J101" s="83">
        <v>419622.28002297197</v>
      </c>
      <c r="K101" s="83">
        <v>971629.20596685004</v>
      </c>
      <c r="L101" s="83">
        <v>1560498.8700287652</v>
      </c>
      <c r="M101" s="83">
        <v>161785.36767540569</v>
      </c>
      <c r="N101" s="83">
        <v>1556954.075826132</v>
      </c>
      <c r="O101" s="83">
        <v>220617.05383413273</v>
      </c>
      <c r="P101" s="83">
        <v>268269.85752094636</v>
      </c>
      <c r="Q101" s="83">
        <v>1736495.5315598873</v>
      </c>
      <c r="R101" s="83">
        <v>2005346.4516715538</v>
      </c>
      <c r="S101" s="113">
        <f t="shared" si="20"/>
        <v>9747904.6281354222</v>
      </c>
      <c r="T101" s="465">
        <f t="shared" si="21"/>
        <v>0.1837009013292519</v>
      </c>
    </row>
    <row r="102" spans="1:23" ht="13.5" thickBot="1">
      <c r="A102" s="116" t="str">
        <f t="shared" si="17"/>
        <v>74p</v>
      </c>
      <c r="B102" s="572" t="str">
        <f>+VLOOKUP(LEFT($A102,LEN(A102)-1)*1,Master!$D$29:$G$228,4,FALSE)</f>
        <v>Grants and Transfers</v>
      </c>
      <c r="C102" s="573"/>
      <c r="D102" s="573"/>
      <c r="E102" s="573"/>
      <c r="F102" s="573"/>
      <c r="G102" s="83">
        <v>326089.85951951938</v>
      </c>
      <c r="H102" s="83">
        <v>1918135.2733705833</v>
      </c>
      <c r="I102" s="83">
        <v>1801341.7206237079</v>
      </c>
      <c r="J102" s="83">
        <v>2402470.1825086102</v>
      </c>
      <c r="K102" s="83">
        <v>2712940.849481931</v>
      </c>
      <c r="L102" s="83">
        <v>3087195.6560284691</v>
      </c>
      <c r="M102" s="83">
        <v>3265840.9793729056</v>
      </c>
      <c r="N102" s="83">
        <v>3060102.7260672809</v>
      </c>
      <c r="O102" s="83">
        <v>2891804.587515723</v>
      </c>
      <c r="P102" s="83">
        <v>3728737.0278541967</v>
      </c>
      <c r="Q102" s="83">
        <v>7489914.7403838299</v>
      </c>
      <c r="R102" s="83">
        <v>9183833.3972732462</v>
      </c>
      <c r="S102" s="114">
        <f t="shared" si="20"/>
        <v>41868407</v>
      </c>
      <c r="T102" s="466">
        <f t="shared" si="21"/>
        <v>0.78901716794813803</v>
      </c>
    </row>
    <row r="103" spans="1:23" ht="13.5" thickBot="1">
      <c r="A103" s="116" t="str">
        <f t="shared" si="17"/>
        <v>4p</v>
      </c>
      <c r="B103" s="554" t="str">
        <f>+VLOOKUP(LEFT($A103,LEN(A103)-1)*1,Master!$D$29:$G$228,4,FALSE)</f>
        <v>Total Expenditures</v>
      </c>
      <c r="C103" s="555"/>
      <c r="D103" s="555"/>
      <c r="E103" s="555"/>
      <c r="F103" s="555"/>
      <c r="G103" s="93">
        <f t="shared" ref="G103:R103" si="23">+G104+G114+G120+SUM(G121:G125)</f>
        <v>177831446.59654763</v>
      </c>
      <c r="H103" s="93">
        <f t="shared" si="23"/>
        <v>159637648.93654764</v>
      </c>
      <c r="I103" s="93">
        <f t="shared" si="23"/>
        <v>165757927.57454765</v>
      </c>
      <c r="J103" s="93">
        <f t="shared" si="23"/>
        <v>181656276.27454761</v>
      </c>
      <c r="K103" s="93">
        <f t="shared" si="23"/>
        <v>176553533.49454764</v>
      </c>
      <c r="L103" s="93">
        <f t="shared" si="23"/>
        <v>176451567.45454761</v>
      </c>
      <c r="M103" s="93">
        <f t="shared" si="23"/>
        <v>175218266.98454764</v>
      </c>
      <c r="N103" s="93">
        <f t="shared" si="23"/>
        <v>168803890.89883336</v>
      </c>
      <c r="O103" s="93">
        <f t="shared" si="23"/>
        <v>183880560.57883337</v>
      </c>
      <c r="P103" s="93">
        <f t="shared" si="23"/>
        <v>204140909.79883331</v>
      </c>
      <c r="Q103" s="93">
        <f t="shared" si="23"/>
        <v>199230681.58883333</v>
      </c>
      <c r="R103" s="93">
        <f t="shared" si="23"/>
        <v>233607135.19883329</v>
      </c>
      <c r="S103" s="451">
        <f>+SUM(G103:R103)</f>
        <v>2202769845.3800001</v>
      </c>
      <c r="T103" s="478">
        <f t="shared" si="21"/>
        <v>41.511568019372838</v>
      </c>
      <c r="U103" s="257"/>
      <c r="V103" s="291"/>
    </row>
    <row r="104" spans="1:23">
      <c r="A104" s="116" t="str">
        <f t="shared" si="17"/>
        <v>41p</v>
      </c>
      <c r="B104" s="574" t="str">
        <f>+VLOOKUP(LEFT($A104,LEN(A104)-1)*1,Master!$D$29:$G$228,4,FALSE)</f>
        <v>Current Expenditures</v>
      </c>
      <c r="C104" s="575"/>
      <c r="D104" s="575"/>
      <c r="E104" s="575"/>
      <c r="F104" s="575"/>
      <c r="G104" s="85">
        <f t="shared" ref="G104:R104" si="24">+SUM(G105:G113)</f>
        <v>62550652.746666655</v>
      </c>
      <c r="H104" s="85">
        <f t="shared" si="24"/>
        <v>64156007.386666663</v>
      </c>
      <c r="I104" s="85">
        <f t="shared" si="24"/>
        <v>63034205.774666667</v>
      </c>
      <c r="J104" s="85">
        <f t="shared" si="24"/>
        <v>84860701.324666679</v>
      </c>
      <c r="K104" s="85">
        <f t="shared" si="24"/>
        <v>68218729.554666668</v>
      </c>
      <c r="L104" s="85">
        <f t="shared" si="24"/>
        <v>67573285.934666663</v>
      </c>
      <c r="M104" s="85">
        <f t="shared" si="24"/>
        <v>77752915.334666669</v>
      </c>
      <c r="N104" s="85">
        <f t="shared" si="24"/>
        <v>64588135.274666667</v>
      </c>
      <c r="O104" s="85">
        <f t="shared" si="24"/>
        <v>73749748.834666669</v>
      </c>
      <c r="P104" s="85">
        <f t="shared" si="24"/>
        <v>94904927.814666644</v>
      </c>
      <c r="Q104" s="85">
        <f t="shared" si="24"/>
        <v>86693469.254666656</v>
      </c>
      <c r="R104" s="86">
        <f t="shared" si="24"/>
        <v>111297123.47466663</v>
      </c>
      <c r="S104" s="111">
        <f t="shared" si="20"/>
        <v>919379902.71000004</v>
      </c>
      <c r="T104" s="463">
        <f t="shared" si="21"/>
        <v>17.325868813319765</v>
      </c>
      <c r="U104" s="311"/>
      <c r="V104" s="291"/>
      <c r="W104" s="291"/>
    </row>
    <row r="105" spans="1:23">
      <c r="A105" s="116" t="str">
        <f t="shared" si="17"/>
        <v>411p</v>
      </c>
      <c r="B105" s="570" t="str">
        <f>+VLOOKUP(LEFT($A105,LEN(A105)-1)*1,Master!$D$29:$G$228,4,FALSE)</f>
        <v>Gross Salaries and Contributions</v>
      </c>
      <c r="C105" s="571"/>
      <c r="D105" s="571"/>
      <c r="E105" s="571"/>
      <c r="F105" s="571"/>
      <c r="G105" s="87">
        <v>42116720.066666663</v>
      </c>
      <c r="H105" s="87">
        <v>45499255.106666669</v>
      </c>
      <c r="I105" s="87">
        <v>45488297.416666664</v>
      </c>
      <c r="J105" s="87">
        <v>45488827.916666664</v>
      </c>
      <c r="K105" s="87">
        <v>45489920.406666666</v>
      </c>
      <c r="L105" s="87">
        <v>45490305.276666664</v>
      </c>
      <c r="M105" s="87">
        <v>45491132.876666665</v>
      </c>
      <c r="N105" s="87">
        <v>45491395.996666662</v>
      </c>
      <c r="O105" s="87">
        <v>45493143.776666671</v>
      </c>
      <c r="P105" s="87">
        <v>45484722.336666659</v>
      </c>
      <c r="Q105" s="87">
        <v>45482593.13666667</v>
      </c>
      <c r="R105" s="87">
        <v>48884659.376666658</v>
      </c>
      <c r="S105" s="112">
        <f t="shared" si="20"/>
        <v>545900973.68999994</v>
      </c>
      <c r="T105" s="464">
        <f t="shared" si="21"/>
        <v>10.28759561454093</v>
      </c>
    </row>
    <row r="106" spans="1:23">
      <c r="A106" s="116" t="str">
        <f t="shared" si="17"/>
        <v>412p</v>
      </c>
      <c r="B106" s="570" t="str">
        <f>+VLOOKUP(LEFT($A106,LEN(A106)-1)*1,Master!$D$29:$G$228,4,FALSE)</f>
        <v>Other Personal Income</v>
      </c>
      <c r="C106" s="571"/>
      <c r="D106" s="571"/>
      <c r="E106" s="571"/>
      <c r="F106" s="571"/>
      <c r="G106" s="87">
        <v>1113156.94</v>
      </c>
      <c r="H106" s="87">
        <v>1189148.69</v>
      </c>
      <c r="I106" s="87">
        <v>1150630.3799999999</v>
      </c>
      <c r="J106" s="87">
        <v>1115859.3500000001</v>
      </c>
      <c r="K106" s="87">
        <v>1113157.98</v>
      </c>
      <c r="L106" s="87">
        <v>1112991.68</v>
      </c>
      <c r="M106" s="87">
        <v>1113353.42</v>
      </c>
      <c r="N106" s="87">
        <v>1112760.3500000001</v>
      </c>
      <c r="O106" s="87">
        <v>1144213.94</v>
      </c>
      <c r="P106" s="87">
        <v>1112009.69</v>
      </c>
      <c r="Q106" s="87">
        <v>1111152.95</v>
      </c>
      <c r="R106" s="87">
        <v>1104831.2399999995</v>
      </c>
      <c r="S106" s="112">
        <f t="shared" si="20"/>
        <v>13493266.609999998</v>
      </c>
      <c r="T106" s="464">
        <f t="shared" si="21"/>
        <v>0.25428287746871697</v>
      </c>
    </row>
    <row r="107" spans="1:23">
      <c r="A107" s="116" t="str">
        <f t="shared" si="17"/>
        <v>413p</v>
      </c>
      <c r="B107" s="570" t="str">
        <f>+VLOOKUP(LEFT($A107,LEN(A107)-1)*1,Master!$D$29:$G$228,4,FALSE)</f>
        <v>Expenditures for Supplies</v>
      </c>
      <c r="C107" s="571"/>
      <c r="D107" s="571"/>
      <c r="E107" s="571"/>
      <c r="F107" s="571"/>
      <c r="G107" s="87">
        <v>2009465.7299999995</v>
      </c>
      <c r="H107" s="87">
        <v>2874795.7299999991</v>
      </c>
      <c r="I107" s="87">
        <v>1986301.3299999996</v>
      </c>
      <c r="J107" s="87">
        <v>1956746.52</v>
      </c>
      <c r="K107" s="87">
        <v>1959377.06</v>
      </c>
      <c r="L107" s="87">
        <v>1959339.96</v>
      </c>
      <c r="M107" s="87">
        <v>4223114</v>
      </c>
      <c r="N107" s="87">
        <v>2325347.7000000002</v>
      </c>
      <c r="O107" s="87">
        <v>4227180.45</v>
      </c>
      <c r="P107" s="87">
        <v>5830846.0499999989</v>
      </c>
      <c r="Q107" s="87">
        <v>5816682.6699999999</v>
      </c>
      <c r="R107" s="87">
        <v>5818746.4899999993</v>
      </c>
      <c r="S107" s="112">
        <f t="shared" si="20"/>
        <v>40987943.689999998</v>
      </c>
      <c r="T107" s="464">
        <f t="shared" si="21"/>
        <v>0.77242468886627469</v>
      </c>
    </row>
    <row r="108" spans="1:23">
      <c r="A108" s="116" t="str">
        <f t="shared" si="17"/>
        <v>414p</v>
      </c>
      <c r="B108" s="570" t="str">
        <f>+VLOOKUP(LEFT($A108,LEN(A108)-1)*1,Master!$D$29:$G$228,4,FALSE)</f>
        <v>Expenditures for Services</v>
      </c>
      <c r="C108" s="571"/>
      <c r="D108" s="571"/>
      <c r="E108" s="571"/>
      <c r="F108" s="571"/>
      <c r="G108" s="87">
        <v>3521944.0499999989</v>
      </c>
      <c r="H108" s="87">
        <v>3202572.2000000016</v>
      </c>
      <c r="I108" s="87">
        <v>3202153.21</v>
      </c>
      <c r="J108" s="87">
        <v>3981055.8700000015</v>
      </c>
      <c r="K108" s="87">
        <v>3966204.5600000015</v>
      </c>
      <c r="L108" s="87">
        <v>4355673.6900000004</v>
      </c>
      <c r="M108" s="87">
        <v>7092836.1399999987</v>
      </c>
      <c r="N108" s="87">
        <v>4331849.03</v>
      </c>
      <c r="O108" s="87">
        <v>6165776.4499999974</v>
      </c>
      <c r="P108" s="87">
        <v>7804737.9599999953</v>
      </c>
      <c r="Q108" s="87">
        <v>7600289.8199999947</v>
      </c>
      <c r="R108" s="87">
        <v>8102383.2499999963</v>
      </c>
      <c r="S108" s="112">
        <f t="shared" si="20"/>
        <v>63327476.229999989</v>
      </c>
      <c r="T108" s="464">
        <f t="shared" si="21"/>
        <v>1.1934169348334085</v>
      </c>
    </row>
    <row r="109" spans="1:23">
      <c r="A109" s="116" t="str">
        <f t="shared" si="17"/>
        <v>415p</v>
      </c>
      <c r="B109" s="570" t="str">
        <f>+VLOOKUP(LEFT($A109,LEN(A109)-1)*1,Master!$D$29:$G$228,4,FALSE)</f>
        <v>Current Maintenance</v>
      </c>
      <c r="C109" s="571"/>
      <c r="D109" s="571"/>
      <c r="E109" s="571"/>
      <c r="F109" s="571"/>
      <c r="G109" s="87">
        <v>1482084.5400000005</v>
      </c>
      <c r="H109" s="87">
        <v>1461485.3000000003</v>
      </c>
      <c r="I109" s="87">
        <v>1646265.1700000002</v>
      </c>
      <c r="J109" s="87">
        <v>1750230.6700000004</v>
      </c>
      <c r="K109" s="87">
        <v>1756101.9100000004</v>
      </c>
      <c r="L109" s="87">
        <v>1756101.9100000004</v>
      </c>
      <c r="M109" s="87">
        <v>2627886.0200000009</v>
      </c>
      <c r="N109" s="87">
        <v>1747230.6700000004</v>
      </c>
      <c r="O109" s="87">
        <v>2627886.0200000009</v>
      </c>
      <c r="P109" s="87">
        <v>3499649.6000000006</v>
      </c>
      <c r="Q109" s="87">
        <v>3488586.12</v>
      </c>
      <c r="R109" s="87">
        <v>4278426.8899999997</v>
      </c>
      <c r="S109" s="112">
        <f t="shared" si="20"/>
        <v>28121934.820000008</v>
      </c>
      <c r="T109" s="464">
        <f t="shared" si="21"/>
        <v>0.52996258894919357</v>
      </c>
    </row>
    <row r="110" spans="1:23">
      <c r="A110" s="116" t="str">
        <f t="shared" si="17"/>
        <v>416p</v>
      </c>
      <c r="B110" s="570" t="str">
        <f>+VLOOKUP(LEFT($A110,LEN(A110)-1)*1,Master!$D$29:$G$228,4,FALSE)</f>
        <v>Interests</v>
      </c>
      <c r="C110" s="571"/>
      <c r="D110" s="571"/>
      <c r="E110" s="571"/>
      <c r="F110" s="571"/>
      <c r="G110" s="87">
        <v>4229041.6800000006</v>
      </c>
      <c r="H110" s="87">
        <v>1039259.3500000003</v>
      </c>
      <c r="I110" s="87">
        <v>1331158.92</v>
      </c>
      <c r="J110" s="87">
        <v>22646995.380000003</v>
      </c>
      <c r="K110" s="87">
        <v>6067854.2499999991</v>
      </c>
      <c r="L110" s="87">
        <v>5081336.79</v>
      </c>
      <c r="M110" s="87">
        <v>4060077.8100000005</v>
      </c>
      <c r="N110" s="87">
        <v>1150681.1799999997</v>
      </c>
      <c r="O110" s="87">
        <v>1101986.1700000002</v>
      </c>
      <c r="P110" s="87">
        <v>13628170.610000001</v>
      </c>
      <c r="Q110" s="87">
        <v>5965119.169999999</v>
      </c>
      <c r="R110" s="87">
        <v>26242568.399999999</v>
      </c>
      <c r="S110" s="112">
        <f t="shared" si="20"/>
        <v>92544249.710000008</v>
      </c>
      <c r="T110" s="464">
        <f t="shared" si="21"/>
        <v>1.7440119423714762</v>
      </c>
    </row>
    <row r="111" spans="1:23">
      <c r="A111" s="116" t="str">
        <f t="shared" si="17"/>
        <v>417p</v>
      </c>
      <c r="B111" s="570" t="str">
        <f>+VLOOKUP(LEFT($A111,LEN(A111)-1)*1,Master!$D$29:$G$228,4,FALSE)</f>
        <v>Rent</v>
      </c>
      <c r="C111" s="571"/>
      <c r="D111" s="571"/>
      <c r="E111" s="571"/>
      <c r="F111" s="571"/>
      <c r="G111" s="87">
        <v>1114759.2699999998</v>
      </c>
      <c r="H111" s="87">
        <v>962655.17999999982</v>
      </c>
      <c r="I111" s="87">
        <v>962640.17999999982</v>
      </c>
      <c r="J111" s="87">
        <v>962640.17999999982</v>
      </c>
      <c r="K111" s="87">
        <v>962625.18999999983</v>
      </c>
      <c r="L111" s="87">
        <v>962625.17999999982</v>
      </c>
      <c r="M111" s="87">
        <v>962625.18999999983</v>
      </c>
      <c r="N111" s="87">
        <v>962625.17999999982</v>
      </c>
      <c r="O111" s="87">
        <v>962625.17999999982</v>
      </c>
      <c r="P111" s="87">
        <v>961836.57999999984</v>
      </c>
      <c r="Q111" s="87">
        <v>789373.07</v>
      </c>
      <c r="R111" s="87">
        <v>789374.13</v>
      </c>
      <c r="S111" s="112">
        <f t="shared" si="20"/>
        <v>11356404.51</v>
      </c>
      <c r="T111" s="464">
        <f t="shared" si="21"/>
        <v>0.21401335199004975</v>
      </c>
    </row>
    <row r="112" spans="1:23">
      <c r="A112" s="116" t="str">
        <f t="shared" si="17"/>
        <v>418p</v>
      </c>
      <c r="B112" s="570" t="str">
        <f>+VLOOKUP(LEFT($A112,LEN(A112)-1)*1,Master!$D$29:$G$228,4,FALSE)</f>
        <v>Subsidies</v>
      </c>
      <c r="C112" s="571"/>
      <c r="D112" s="571"/>
      <c r="E112" s="571"/>
      <c r="F112" s="571"/>
      <c r="G112" s="87">
        <v>3647138.83</v>
      </c>
      <c r="H112" s="87">
        <v>3917138.83</v>
      </c>
      <c r="I112" s="87">
        <v>3632138.83</v>
      </c>
      <c r="J112" s="87">
        <v>3632138.83</v>
      </c>
      <c r="K112" s="87">
        <v>3444638.83</v>
      </c>
      <c r="L112" s="87">
        <v>3444638.83</v>
      </c>
      <c r="M112" s="87">
        <v>6055944.3200000003</v>
      </c>
      <c r="N112" s="87">
        <v>3444638.83</v>
      </c>
      <c r="O112" s="87">
        <v>6055944.3200000003</v>
      </c>
      <c r="P112" s="87">
        <v>8667249.7999999989</v>
      </c>
      <c r="Q112" s="87">
        <v>8667249.7999999989</v>
      </c>
      <c r="R112" s="87">
        <v>8667249.9299999978</v>
      </c>
      <c r="S112" s="112">
        <f t="shared" si="20"/>
        <v>63276109.979999989</v>
      </c>
      <c r="T112" s="464">
        <f t="shared" si="21"/>
        <v>1.1924489292175484</v>
      </c>
    </row>
    <row r="113" spans="1:22">
      <c r="A113" s="116" t="str">
        <f t="shared" si="17"/>
        <v>419p</v>
      </c>
      <c r="B113" s="570" t="str">
        <f>+VLOOKUP(LEFT($A113,LEN(A113)-1)*1,Master!$D$29:$G$228,4,FALSE)</f>
        <v>Other expenditures</v>
      </c>
      <c r="C113" s="571"/>
      <c r="D113" s="571"/>
      <c r="E113" s="571"/>
      <c r="F113" s="571"/>
      <c r="G113" s="87">
        <v>3316341.6399999992</v>
      </c>
      <c r="H113" s="87">
        <v>4009697</v>
      </c>
      <c r="I113" s="87">
        <v>3634620.3380000009</v>
      </c>
      <c r="J113" s="87">
        <v>3326206.6079999981</v>
      </c>
      <c r="K113" s="87">
        <v>3458849.3679999984</v>
      </c>
      <c r="L113" s="87">
        <v>3410272.6179999989</v>
      </c>
      <c r="M113" s="87">
        <v>6125945.5580000011</v>
      </c>
      <c r="N113" s="87">
        <v>4021606.3380000009</v>
      </c>
      <c r="O113" s="87">
        <v>5970992.5280000009</v>
      </c>
      <c r="P113" s="87">
        <v>7915705.1879999992</v>
      </c>
      <c r="Q113" s="87">
        <v>7772422.5180000002</v>
      </c>
      <c r="R113" s="87">
        <v>7408883.7679999992</v>
      </c>
      <c r="S113" s="112">
        <f t="shared" si="20"/>
        <v>60371543.469999999</v>
      </c>
      <c r="T113" s="464">
        <f t="shared" si="21"/>
        <v>1.137711885082165</v>
      </c>
    </row>
    <row r="114" spans="1:22">
      <c r="A114" s="116" t="str">
        <f t="shared" si="17"/>
        <v>42p</v>
      </c>
      <c r="B114" s="566" t="str">
        <f>+VLOOKUP(LEFT($A114,LEN(A114)-1)*1,Master!$D$29:$G$228,4,FALSE)</f>
        <v>Social Security Transfers</v>
      </c>
      <c r="C114" s="567"/>
      <c r="D114" s="567"/>
      <c r="E114" s="567"/>
      <c r="F114" s="567"/>
      <c r="G114" s="84">
        <f t="shared" ref="G114:R114" si="25">+SUM(G115:G119)</f>
        <v>51655501.199880958</v>
      </c>
      <c r="H114" s="84">
        <f t="shared" si="25"/>
        <v>50843848.149880961</v>
      </c>
      <c r="I114" s="84">
        <f t="shared" si="25"/>
        <v>52476514.839880966</v>
      </c>
      <c r="J114" s="84">
        <f t="shared" si="25"/>
        <v>51481848.149880961</v>
      </c>
      <c r="K114" s="84">
        <f t="shared" si="25"/>
        <v>55008848.149880961</v>
      </c>
      <c r="L114" s="84">
        <f t="shared" si="25"/>
        <v>55102848.149880961</v>
      </c>
      <c r="M114" s="84">
        <f t="shared" si="25"/>
        <v>54796848.149880961</v>
      </c>
      <c r="N114" s="84">
        <f t="shared" si="25"/>
        <v>55319453.584166676</v>
      </c>
      <c r="O114" s="84">
        <f t="shared" si="25"/>
        <v>54859133.86416667</v>
      </c>
      <c r="P114" s="84">
        <f t="shared" si="25"/>
        <v>55191133.86416667</v>
      </c>
      <c r="Q114" s="84">
        <f t="shared" si="25"/>
        <v>56919133.86416667</v>
      </c>
      <c r="R114" s="84">
        <f t="shared" si="25"/>
        <v>58092982.564166665</v>
      </c>
      <c r="S114" s="113">
        <f t="shared" si="20"/>
        <v>651748094.52999997</v>
      </c>
      <c r="T114" s="465">
        <f t="shared" si="21"/>
        <v>12.282302399555252</v>
      </c>
    </row>
    <row r="115" spans="1:22">
      <c r="A115" s="116" t="str">
        <f t="shared" si="17"/>
        <v>421p</v>
      </c>
      <c r="B115" s="570" t="str">
        <f>+VLOOKUP(LEFT($A115,LEN(A115)-1)*1,Master!$D$29:$G$228,4,FALSE)</f>
        <v>Social Security</v>
      </c>
      <c r="C115" s="571"/>
      <c r="D115" s="571"/>
      <c r="E115" s="571"/>
      <c r="F115" s="571"/>
      <c r="G115" s="87">
        <v>9199047.6323809531</v>
      </c>
      <c r="H115" s="87">
        <v>9199047.6323809531</v>
      </c>
      <c r="I115" s="87">
        <v>9199047.6323809531</v>
      </c>
      <c r="J115" s="87">
        <v>9199047.6323809531</v>
      </c>
      <c r="K115" s="87">
        <v>12324047.632380953</v>
      </c>
      <c r="L115" s="87">
        <v>12324047.632380953</v>
      </c>
      <c r="M115" s="87">
        <v>12324047.632380953</v>
      </c>
      <c r="N115" s="87">
        <v>11938333.346666668</v>
      </c>
      <c r="O115" s="87">
        <v>11938333.346666668</v>
      </c>
      <c r="P115" s="87">
        <v>11938333.346666668</v>
      </c>
      <c r="Q115" s="87">
        <v>14138333.346666666</v>
      </c>
      <c r="R115" s="87">
        <v>14138333.186666667</v>
      </c>
      <c r="S115" s="112">
        <f t="shared" si="20"/>
        <v>137860000</v>
      </c>
      <c r="T115" s="464">
        <f t="shared" si="21"/>
        <v>2.5979948741142773</v>
      </c>
    </row>
    <row r="116" spans="1:22">
      <c r="A116" s="116" t="str">
        <f t="shared" si="17"/>
        <v>422p</v>
      </c>
      <c r="B116" s="570" t="str">
        <f>+VLOOKUP(LEFT($A116,LEN(A116)-1)*1,Master!$D$29:$G$228,4,FALSE)</f>
        <v>Funds for redundant labor</v>
      </c>
      <c r="C116" s="571"/>
      <c r="D116" s="571"/>
      <c r="E116" s="571"/>
      <c r="F116" s="571"/>
      <c r="G116" s="87">
        <v>2893986.39</v>
      </c>
      <c r="H116" s="87">
        <v>2291666.67</v>
      </c>
      <c r="I116" s="87">
        <v>2291666.67</v>
      </c>
      <c r="J116" s="87">
        <v>2291666.67</v>
      </c>
      <c r="K116" s="87">
        <v>2291666.67</v>
      </c>
      <c r="L116" s="87">
        <v>2291666.67</v>
      </c>
      <c r="M116" s="87">
        <v>2291666.67</v>
      </c>
      <c r="N116" s="87">
        <v>2893986.39</v>
      </c>
      <c r="O116" s="87">
        <v>2291666.67</v>
      </c>
      <c r="P116" s="87">
        <v>2291666.67</v>
      </c>
      <c r="Q116" s="87">
        <v>2291666.67</v>
      </c>
      <c r="R116" s="87">
        <v>2425515.4899999998</v>
      </c>
      <c r="S116" s="112">
        <f t="shared" si="20"/>
        <v>28838488.300000001</v>
      </c>
      <c r="T116" s="464">
        <f t="shared" si="21"/>
        <v>0.5434661597316448</v>
      </c>
    </row>
    <row r="117" spans="1:22">
      <c r="A117" s="116" t="str">
        <f t="shared" si="17"/>
        <v>423p</v>
      </c>
      <c r="B117" s="570" t="str">
        <f>+VLOOKUP(LEFT($A117,LEN(A117)-1)*1,Master!$D$29:$G$228,4,FALSE)</f>
        <v>Pension and Disability Insurance</v>
      </c>
      <c r="C117" s="571"/>
      <c r="D117" s="571"/>
      <c r="E117" s="571"/>
      <c r="F117" s="571"/>
      <c r="G117" s="87">
        <v>38029133.847500004</v>
      </c>
      <c r="H117" s="87">
        <v>38029133.847500004</v>
      </c>
      <c r="I117" s="87">
        <v>38029133.847500004</v>
      </c>
      <c r="J117" s="87">
        <v>38029133.847500004</v>
      </c>
      <c r="K117" s="87">
        <v>38029133.847500004</v>
      </c>
      <c r="L117" s="87">
        <v>38029133.847500004</v>
      </c>
      <c r="M117" s="87">
        <v>38029133.847500004</v>
      </c>
      <c r="N117" s="87">
        <v>38029133.847500004</v>
      </c>
      <c r="O117" s="87">
        <v>38029133.847500004</v>
      </c>
      <c r="P117" s="87">
        <v>38929133.847500004</v>
      </c>
      <c r="Q117" s="87">
        <v>38929133.847500004</v>
      </c>
      <c r="R117" s="87">
        <v>38929133.907499999</v>
      </c>
      <c r="S117" s="112">
        <f t="shared" si="20"/>
        <v>459049606.23000014</v>
      </c>
      <c r="T117" s="464">
        <f t="shared" si="21"/>
        <v>8.6508669951379478</v>
      </c>
    </row>
    <row r="118" spans="1:22">
      <c r="A118" s="116" t="str">
        <f t="shared" si="17"/>
        <v>424p</v>
      </c>
      <c r="B118" s="570" t="str">
        <f>+VLOOKUP(LEFT($A118,LEN(A118)-1)*1,Master!$D$29:$G$228,4,FALSE)</f>
        <v>Other Health Care Transfers</v>
      </c>
      <c r="C118" s="571"/>
      <c r="D118" s="571"/>
      <c r="E118" s="571"/>
      <c r="F118" s="571"/>
      <c r="G118" s="87">
        <v>943333.33</v>
      </c>
      <c r="H118" s="87">
        <v>852000</v>
      </c>
      <c r="I118" s="87">
        <v>1186666.67</v>
      </c>
      <c r="J118" s="87">
        <v>1136000</v>
      </c>
      <c r="K118" s="87">
        <v>1420000</v>
      </c>
      <c r="L118" s="87">
        <v>1278000</v>
      </c>
      <c r="M118" s="87">
        <v>1562000</v>
      </c>
      <c r="N118" s="87">
        <v>1278000</v>
      </c>
      <c r="O118" s="87">
        <v>1420000</v>
      </c>
      <c r="P118" s="87">
        <v>852000</v>
      </c>
      <c r="Q118" s="87">
        <v>852000</v>
      </c>
      <c r="R118" s="87">
        <v>1420000</v>
      </c>
      <c r="S118" s="112">
        <f t="shared" si="20"/>
        <v>14200000</v>
      </c>
      <c r="T118" s="464">
        <f t="shared" si="21"/>
        <v>0.26760138700437208</v>
      </c>
    </row>
    <row r="119" spans="1:22">
      <c r="A119" s="116" t="str">
        <f t="shared" si="17"/>
        <v>425p</v>
      </c>
      <c r="B119" s="570" t="str">
        <f>+VLOOKUP(LEFT($A119,LEN(A119)-1)*1,Master!$D$29:$G$228,4,FALSE)</f>
        <v>Other Health Care Insurance</v>
      </c>
      <c r="C119" s="571"/>
      <c r="D119" s="571"/>
      <c r="E119" s="571"/>
      <c r="F119" s="571"/>
      <c r="G119" s="87">
        <v>590000</v>
      </c>
      <c r="H119" s="87">
        <v>472000</v>
      </c>
      <c r="I119" s="87">
        <v>1770000.02</v>
      </c>
      <c r="J119" s="87">
        <v>826000</v>
      </c>
      <c r="K119" s="87">
        <v>944000</v>
      </c>
      <c r="L119" s="87">
        <v>1180000</v>
      </c>
      <c r="M119" s="87">
        <v>590000</v>
      </c>
      <c r="N119" s="87">
        <v>1180000</v>
      </c>
      <c r="O119" s="87">
        <v>1180000</v>
      </c>
      <c r="P119" s="87">
        <v>1180000</v>
      </c>
      <c r="Q119" s="87">
        <v>708000</v>
      </c>
      <c r="R119" s="87">
        <v>1179999.98</v>
      </c>
      <c r="S119" s="112">
        <f t="shared" si="20"/>
        <v>11800000</v>
      </c>
      <c r="T119" s="464">
        <f t="shared" si="21"/>
        <v>0.2223729835670134</v>
      </c>
    </row>
    <row r="120" spans="1:22">
      <c r="A120" s="116" t="str">
        <f t="shared" si="17"/>
        <v>43p</v>
      </c>
      <c r="B120" s="568" t="str">
        <f>+VLOOKUP(LEFT($A120,LEN(A120)-1)*1,Master!$D$29:$G$228,4,FALSE)</f>
        <v xml:space="preserve">Transfers to Institutions, Individuals, NGO and Public Sector </v>
      </c>
      <c r="C120" s="569"/>
      <c r="D120" s="569"/>
      <c r="E120" s="569"/>
      <c r="F120" s="569"/>
      <c r="G120" s="83">
        <v>22444871.560000002</v>
      </c>
      <c r="H120" s="83">
        <v>23941685.57</v>
      </c>
      <c r="I120" s="83">
        <v>26995988.960000001</v>
      </c>
      <c r="J120" s="83">
        <v>20625695.450000003</v>
      </c>
      <c r="K120" s="83">
        <v>20912992.140000004</v>
      </c>
      <c r="L120" s="83">
        <v>21015003.09</v>
      </c>
      <c r="M120" s="83">
        <v>20912172.160000004</v>
      </c>
      <c r="N120" s="83">
        <v>22653446.830000002</v>
      </c>
      <c r="O120" s="83">
        <v>24411188.830000002</v>
      </c>
      <c r="P120" s="83">
        <v>21012710.830000002</v>
      </c>
      <c r="Q120" s="83">
        <v>20910855.890000001</v>
      </c>
      <c r="R120" s="83">
        <v>20257657.990000002</v>
      </c>
      <c r="S120" s="113">
        <f>+SUM(G120:R120)</f>
        <v>266094269.30000007</v>
      </c>
      <c r="T120" s="465">
        <f t="shared" si="21"/>
        <v>5.0145912351123183</v>
      </c>
    </row>
    <row r="121" spans="1:22">
      <c r="A121" s="116" t="str">
        <f t="shared" si="17"/>
        <v>44p</v>
      </c>
      <c r="B121" s="568" t="str">
        <f>+VLOOKUP(LEFT($A121,LEN(A121)-1)*1,Master!$D$29:$G$228,4,FALSE)</f>
        <v>Capital Expenditure</v>
      </c>
      <c r="C121" s="569"/>
      <c r="D121" s="569"/>
      <c r="E121" s="569"/>
      <c r="F121" s="569"/>
      <c r="G121" s="83">
        <v>19668608.670000002</v>
      </c>
      <c r="H121" s="83">
        <v>15424249.750000004</v>
      </c>
      <c r="I121" s="83">
        <v>18221026.579999998</v>
      </c>
      <c r="J121" s="83">
        <v>19416173.270000003</v>
      </c>
      <c r="K121" s="83">
        <v>27382772.230000004</v>
      </c>
      <c r="L121" s="83">
        <v>27488572.200000007</v>
      </c>
      <c r="M121" s="83">
        <v>20098257.600000001</v>
      </c>
      <c r="N121" s="83">
        <v>17598879.450000007</v>
      </c>
      <c r="O121" s="83">
        <v>22458179.949999999</v>
      </c>
      <c r="P121" s="83">
        <v>24388161.529999994</v>
      </c>
      <c r="Q121" s="83">
        <v>22932795.809999995</v>
      </c>
      <c r="R121" s="83">
        <v>25199038.249999996</v>
      </c>
      <c r="S121" s="113">
        <f>+SUM(G121:R121)</f>
        <v>260276715.29000002</v>
      </c>
      <c r="T121" s="465">
        <f t="shared" si="21"/>
        <v>4.9049584518694411</v>
      </c>
    </row>
    <row r="122" spans="1:22">
      <c r="A122" s="116" t="str">
        <f t="shared" si="17"/>
        <v>451p</v>
      </c>
      <c r="B122" s="560" t="str">
        <f>+VLOOKUP(LEFT($A122,LEN(A122)-1)*1,Master!$D$29:$G$228,4,FALSE)</f>
        <v>Credits and Borrowings</v>
      </c>
      <c r="C122" s="561"/>
      <c r="D122" s="561"/>
      <c r="E122" s="561"/>
      <c r="F122" s="561"/>
      <c r="G122" s="87">
        <v>2000.08</v>
      </c>
      <c r="H122" s="87">
        <v>243666.74</v>
      </c>
      <c r="I122" s="87">
        <v>2000.08</v>
      </c>
      <c r="J122" s="87">
        <v>243666.74</v>
      </c>
      <c r="K122" s="87">
        <v>2000.08</v>
      </c>
      <c r="L122" s="87">
        <v>243666.74</v>
      </c>
      <c r="M122" s="87">
        <v>2000.08</v>
      </c>
      <c r="N122" s="87">
        <v>243666.74</v>
      </c>
      <c r="O122" s="87">
        <v>2000.08</v>
      </c>
      <c r="P122" s="87">
        <v>243666.74</v>
      </c>
      <c r="Q122" s="87">
        <v>2000.08</v>
      </c>
      <c r="R122" s="87">
        <v>243666.82</v>
      </c>
      <c r="S122" s="112">
        <f t="shared" si="20"/>
        <v>1474001</v>
      </c>
      <c r="T122" s="464">
        <f t="shared" si="21"/>
        <v>2.7777796622945876E-2</v>
      </c>
    </row>
    <row r="123" spans="1:22">
      <c r="A123" s="116" t="str">
        <f t="shared" si="17"/>
        <v>47p</v>
      </c>
      <c r="B123" s="560" t="str">
        <f>+VLOOKUP(LEFT($A123,LEN(A123)-1)*1,Master!$D$29:$G$228,4,FALSE)</f>
        <v>Reserves</v>
      </c>
      <c r="C123" s="561"/>
      <c r="D123" s="561"/>
      <c r="E123" s="561"/>
      <c r="F123" s="561"/>
      <c r="G123" s="87">
        <v>3372117.68</v>
      </c>
      <c r="H123" s="87">
        <v>3372117.68</v>
      </c>
      <c r="I123" s="87">
        <v>3372117.68</v>
      </c>
      <c r="J123" s="87">
        <v>3372117.68</v>
      </c>
      <c r="K123" s="87">
        <v>3372117.68</v>
      </c>
      <c r="L123" s="87">
        <v>3372117.68</v>
      </c>
      <c r="M123" s="87">
        <v>0</v>
      </c>
      <c r="N123" s="87">
        <v>6744235.3600000003</v>
      </c>
      <c r="O123" s="87">
        <v>6744235.3600000003</v>
      </c>
      <c r="P123" s="87">
        <v>6744235.3600000003</v>
      </c>
      <c r="Q123" s="87">
        <v>10116353.029999999</v>
      </c>
      <c r="R123" s="87">
        <v>16860588.399999999</v>
      </c>
      <c r="S123" s="112">
        <f t="shared" si="20"/>
        <v>67442353.590000004</v>
      </c>
      <c r="T123" s="464">
        <f t="shared" si="21"/>
        <v>1.2709624903889642</v>
      </c>
    </row>
    <row r="124" spans="1:22">
      <c r="A124" s="116" t="str">
        <f t="shared" si="17"/>
        <v>462p</v>
      </c>
      <c r="B124" s="560" t="str">
        <f>+VLOOKUP(LEFT($A124,LEN(A124)-1)*1,Master!$D$29:$G$228,4,FALSE)</f>
        <v>Repayment of Guarantees</v>
      </c>
      <c r="C124" s="561"/>
      <c r="D124" s="561"/>
      <c r="E124" s="561"/>
      <c r="F124" s="561"/>
      <c r="G124" s="87">
        <v>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0</v>
      </c>
      <c r="T124" s="464">
        <f t="shared" si="21"/>
        <v>0</v>
      </c>
    </row>
    <row r="125" spans="1:22">
      <c r="A125" s="117" t="str">
        <f t="shared" si="17"/>
        <v>4630p</v>
      </c>
      <c r="B125" s="560" t="str">
        <f>+VLOOKUP(LEFT($A125,LEN(A125)-1)*1,Master!$D$29:$G$228,4,FALSE)</f>
        <v>Repayments of liabilities form the previous period</v>
      </c>
      <c r="C125" s="561"/>
      <c r="D125" s="561"/>
      <c r="E125" s="561"/>
      <c r="F125" s="561"/>
      <c r="G125" s="87">
        <v>18137694.66</v>
      </c>
      <c r="H125" s="87">
        <v>1656073.6600000036</v>
      </c>
      <c r="I125" s="87">
        <v>1656073.6600000036</v>
      </c>
      <c r="J125" s="87">
        <v>1656073.6600000036</v>
      </c>
      <c r="K125" s="87">
        <v>1656073.6600000036</v>
      </c>
      <c r="L125" s="87">
        <v>1656073.6600000036</v>
      </c>
      <c r="M125" s="87">
        <v>1656073.6600000036</v>
      </c>
      <c r="N125" s="87">
        <v>1656073.6600000036</v>
      </c>
      <c r="O125" s="87">
        <v>1656073.6600000036</v>
      </c>
      <c r="P125" s="87">
        <v>1656073.6600000036</v>
      </c>
      <c r="Q125" s="87">
        <v>1656073.6600000036</v>
      </c>
      <c r="R125" s="87">
        <v>1656077.7000000055</v>
      </c>
      <c r="S125" s="103">
        <f>+SUM(G125:R125)</f>
        <v>36354508.960000038</v>
      </c>
      <c r="T125" s="472">
        <f t="shared" si="21"/>
        <v>0.68510683250414672</v>
      </c>
      <c r="V125" s="257"/>
    </row>
    <row r="126" spans="1:22" ht="13.5" thickBot="1">
      <c r="A126" s="116" t="str">
        <f t="shared" si="17"/>
        <v>1005p</v>
      </c>
      <c r="B126" s="560" t="str">
        <f>+VLOOKUP(LEFT($A126,LEN(A126)-1)*1,Master!$D$29:$G$228,4,FALSE)</f>
        <v>Net increase of liabilities</v>
      </c>
      <c r="C126" s="561"/>
      <c r="D126" s="561"/>
      <c r="E126" s="561"/>
      <c r="F126" s="561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17"/>
        <v>1000p</v>
      </c>
      <c r="B127" s="562" t="str">
        <f>+VLOOKUP(LEFT($A127,LEN(A127)-1)*1,Master!$D$29:$G$225,4,FALSE)</f>
        <v>Surplus / deficit</v>
      </c>
      <c r="C127" s="563"/>
      <c r="D127" s="563"/>
      <c r="E127" s="563"/>
      <c r="F127" s="563"/>
      <c r="G127" s="93">
        <f t="shared" ref="G127:R127" si="26">+G84-G103</f>
        <v>-73947853.862364858</v>
      </c>
      <c r="H127" s="93">
        <f t="shared" si="26"/>
        <v>-47248211.594009668</v>
      </c>
      <c r="I127" s="93">
        <f t="shared" si="26"/>
        <v>-15934607.478495538</v>
      </c>
      <c r="J127" s="93">
        <f t="shared" si="26"/>
        <v>-19767268.586634815</v>
      </c>
      <c r="K127" s="93">
        <f t="shared" si="26"/>
        <v>-35920044.116679221</v>
      </c>
      <c r="L127" s="93">
        <f t="shared" si="26"/>
        <v>-12883598.418680429</v>
      </c>
      <c r="M127" s="93">
        <f t="shared" si="26"/>
        <v>13795172.844091207</v>
      </c>
      <c r="N127" s="93">
        <f t="shared" si="26"/>
        <v>26365456.819027275</v>
      </c>
      <c r="O127" s="93">
        <f t="shared" si="26"/>
        <v>-10560627.115862072</v>
      </c>
      <c r="P127" s="93">
        <f t="shared" si="26"/>
        <v>-35825034.003460407</v>
      </c>
      <c r="Q127" s="93">
        <f t="shared" si="26"/>
        <v>-38275991.421390682</v>
      </c>
      <c r="R127" s="93">
        <f t="shared" si="26"/>
        <v>-17809619.345466137</v>
      </c>
      <c r="S127" s="106">
        <f t="shared" si="20"/>
        <v>-268012226.27992535</v>
      </c>
      <c r="T127" s="470">
        <f t="shared" si="21"/>
        <v>-5.0507354568054676</v>
      </c>
      <c r="U127" s="257"/>
    </row>
    <row r="128" spans="1:22" ht="13.5" thickBot="1">
      <c r="A128" s="117" t="str">
        <f t="shared" si="17"/>
        <v>1001p</v>
      </c>
      <c r="B128" s="564" t="str">
        <f>+VLOOKUP(LEFT($A128,LEN(A128)-1)*1,Master!$D$29:$G$225,4,FALSE)</f>
        <v>Primary surplus/deficit</v>
      </c>
      <c r="C128" s="565"/>
      <c r="D128" s="565"/>
      <c r="E128" s="565"/>
      <c r="F128" s="565"/>
      <c r="G128" s="94">
        <f>+G127+G110</f>
        <v>-69718812.182364851</v>
      </c>
      <c r="H128" s="94">
        <f t="shared" ref="H128:R128" si="27">+H127+H110</f>
        <v>-46208952.244009666</v>
      </c>
      <c r="I128" s="94">
        <f t="shared" si="27"/>
        <v>-14603448.558495538</v>
      </c>
      <c r="J128" s="94">
        <f t="shared" si="27"/>
        <v>2879726.7933651879</v>
      </c>
      <c r="K128" s="94">
        <f t="shared" si="27"/>
        <v>-29852189.866679221</v>
      </c>
      <c r="L128" s="94">
        <f t="shared" si="27"/>
        <v>-7802261.6286804294</v>
      </c>
      <c r="M128" s="94">
        <f t="shared" si="27"/>
        <v>17855250.654091209</v>
      </c>
      <c r="N128" s="94">
        <f t="shared" si="27"/>
        <v>27516137.999027275</v>
      </c>
      <c r="O128" s="94">
        <f t="shared" si="27"/>
        <v>-9458640.9458620716</v>
      </c>
      <c r="P128" s="94">
        <f t="shared" si="27"/>
        <v>-22196863.393460408</v>
      </c>
      <c r="Q128" s="94">
        <f t="shared" si="27"/>
        <v>-32310872.251390684</v>
      </c>
      <c r="R128" s="94">
        <f t="shared" si="27"/>
        <v>8432949.0545338616</v>
      </c>
      <c r="S128" s="106">
        <f t="shared" si="20"/>
        <v>-175467976.56992534</v>
      </c>
      <c r="T128" s="470">
        <f t="shared" si="21"/>
        <v>-3.3067235144339917</v>
      </c>
    </row>
    <row r="129" spans="1:22">
      <c r="A129" s="117" t="str">
        <f t="shared" si="17"/>
        <v>46p</v>
      </c>
      <c r="B129" s="566" t="str">
        <f>+VLOOKUP(LEFT($A129,LEN(A129)-1)*1,Master!$D$29:$G$225,4,FALSE)</f>
        <v>Repayment of Debt</v>
      </c>
      <c r="C129" s="567"/>
      <c r="D129" s="567"/>
      <c r="E129" s="567"/>
      <c r="F129" s="567"/>
      <c r="G129" s="84">
        <f>+SUM(G130:G131)</f>
        <v>25337948.449999999</v>
      </c>
      <c r="H129" s="84">
        <f t="shared" ref="H129:R129" si="28">+SUM(H130:H131)</f>
        <v>6751953.7100000009</v>
      </c>
      <c r="I129" s="84">
        <f t="shared" si="28"/>
        <v>20177043.91</v>
      </c>
      <c r="J129" s="84">
        <f t="shared" si="28"/>
        <v>38170817.960000001</v>
      </c>
      <c r="K129" s="84">
        <f t="shared" si="28"/>
        <v>33612405.640000001</v>
      </c>
      <c r="L129" s="84">
        <f t="shared" si="28"/>
        <v>35886748.219999999</v>
      </c>
      <c r="M129" s="486">
        <f t="shared" ref="M129" si="29">+SUM(M130:M131)</f>
        <v>30442206.460000001</v>
      </c>
      <c r="N129" s="84">
        <f t="shared" si="28"/>
        <v>5677430.3599999994</v>
      </c>
      <c r="O129" s="84">
        <f t="shared" si="28"/>
        <v>18107036.029999997</v>
      </c>
      <c r="P129" s="84">
        <f t="shared" si="28"/>
        <v>5775997.5199999996</v>
      </c>
      <c r="Q129" s="84">
        <f t="shared" si="28"/>
        <v>32374757.629999999</v>
      </c>
      <c r="R129" s="84">
        <f t="shared" si="28"/>
        <v>39839313.869999997</v>
      </c>
      <c r="S129" s="104">
        <f t="shared" si="20"/>
        <v>292153659.75999999</v>
      </c>
      <c r="T129" s="471">
        <f t="shared" si="21"/>
        <v>5.5056848288858733</v>
      </c>
    </row>
    <row r="130" spans="1:22">
      <c r="A130" s="117" t="str">
        <f t="shared" si="17"/>
        <v>4611p</v>
      </c>
      <c r="B130" s="558" t="str">
        <f>+VLOOKUP(LEFT($A130,LEN(A130)-1)*1,Master!$D$29:$G$225,4,FALSE)</f>
        <v>Repayment of Domestic Debt</v>
      </c>
      <c r="C130" s="559"/>
      <c r="D130" s="559"/>
      <c r="E130" s="559"/>
      <c r="F130" s="559"/>
      <c r="G130" s="96">
        <v>606624.54</v>
      </c>
      <c r="H130" s="96">
        <v>3087670.22</v>
      </c>
      <c r="I130" s="96">
        <v>2560106.65</v>
      </c>
      <c r="J130" s="96">
        <v>4045881.57</v>
      </c>
      <c r="K130" s="96">
        <v>9184956.459999999</v>
      </c>
      <c r="L130" s="96">
        <v>713784.35</v>
      </c>
      <c r="M130" s="96">
        <v>2434796.27</v>
      </c>
      <c r="N130" s="96">
        <v>2377658.75</v>
      </c>
      <c r="O130" s="96">
        <v>719748.70000000007</v>
      </c>
      <c r="P130" s="96">
        <v>2455451.5699999998</v>
      </c>
      <c r="Q130" s="96">
        <v>9230746.25</v>
      </c>
      <c r="R130" s="96">
        <v>2511430.4300000002</v>
      </c>
      <c r="S130" s="103">
        <f t="shared" si="20"/>
        <v>39928855.759999998</v>
      </c>
      <c r="T130" s="472">
        <f t="shared" si="21"/>
        <v>0.75246599879390919</v>
      </c>
    </row>
    <row r="131" spans="1:22" ht="13.5" thickBot="1">
      <c r="A131" s="117" t="str">
        <f t="shared" si="17"/>
        <v>4612p</v>
      </c>
      <c r="B131" s="560" t="str">
        <f>+VLOOKUP(LEFT($A131,LEN(A131)-1)*1,Master!$D$29:$G$225,4,FALSE)</f>
        <v>Repayment of Foreign Debt</v>
      </c>
      <c r="C131" s="561"/>
      <c r="D131" s="561"/>
      <c r="E131" s="561"/>
      <c r="F131" s="561"/>
      <c r="G131" s="96">
        <v>24731323.91</v>
      </c>
      <c r="H131" s="96">
        <v>3664283.49</v>
      </c>
      <c r="I131" s="96">
        <v>17616937.260000002</v>
      </c>
      <c r="J131" s="96">
        <v>34124936.390000001</v>
      </c>
      <c r="K131" s="96">
        <v>24427449.18</v>
      </c>
      <c r="L131" s="96">
        <v>35172963.869999997</v>
      </c>
      <c r="M131" s="96">
        <v>28007410.190000001</v>
      </c>
      <c r="N131" s="96">
        <v>3299771.61</v>
      </c>
      <c r="O131" s="96">
        <v>17387287.329999998</v>
      </c>
      <c r="P131" s="96">
        <v>3320545.95</v>
      </c>
      <c r="Q131" s="96">
        <v>23144011.379999999</v>
      </c>
      <c r="R131" s="96">
        <v>37327883.439999998</v>
      </c>
      <c r="S131" s="103">
        <f t="shared" si="20"/>
        <v>252224804</v>
      </c>
      <c r="T131" s="472">
        <f t="shared" si="21"/>
        <v>4.7532188300919644</v>
      </c>
      <c r="V131" s="257"/>
    </row>
    <row r="132" spans="1:22" ht="13.5" thickBot="1">
      <c r="A132" s="117" t="str">
        <f t="shared" si="17"/>
        <v>4418p</v>
      </c>
      <c r="B132" s="554" t="str">
        <f>+VLOOKUP(LEFT($A132,LEN(A132)-1)*1,Master!$D$29:$G$225,4,FALSE)</f>
        <v>Capital Expenditure for Securities</v>
      </c>
      <c r="C132" s="555"/>
      <c r="D132" s="555"/>
      <c r="E132" s="555"/>
      <c r="F132" s="555"/>
      <c r="G132" s="93">
        <v>46536.67</v>
      </c>
      <c r="H132" s="93">
        <v>46536.67</v>
      </c>
      <c r="I132" s="93">
        <v>48116.67</v>
      </c>
      <c r="J132" s="93">
        <v>48116.67</v>
      </c>
      <c r="K132" s="93">
        <v>48116.67</v>
      </c>
      <c r="L132" s="93">
        <v>48116.67</v>
      </c>
      <c r="M132" s="93">
        <v>48116.67</v>
      </c>
      <c r="N132" s="93">
        <v>52066.67</v>
      </c>
      <c r="O132" s="93">
        <v>55226.659999999996</v>
      </c>
      <c r="P132" s="93">
        <v>156016.66</v>
      </c>
      <c r="Q132" s="93">
        <v>56016.659999999996</v>
      </c>
      <c r="R132" s="93">
        <v>56016.659999999996</v>
      </c>
      <c r="S132" s="449">
        <f t="shared" si="20"/>
        <v>709000</v>
      </c>
      <c r="T132" s="479">
        <f t="shared" si="21"/>
        <v>1.3361224182119704E-2</v>
      </c>
    </row>
    <row r="133" spans="1:22" ht="13.5" thickBot="1">
      <c r="A133" s="117" t="str">
        <f t="shared" si="17"/>
        <v>1002p</v>
      </c>
      <c r="B133" s="556" t="str">
        <f>+VLOOKUP(LEFT($A133,LEN(A133)-1)*1,Master!$D$29:$G$225,4,FALSE)</f>
        <v>Financing needs</v>
      </c>
      <c r="C133" s="557"/>
      <c r="D133" s="557"/>
      <c r="E133" s="557"/>
      <c r="F133" s="557"/>
      <c r="G133" s="77">
        <f t="shared" ref="G133:R133" si="30">+G127-G129-G132</f>
        <v>-99332338.982364863</v>
      </c>
      <c r="H133" s="77">
        <f t="shared" si="30"/>
        <v>-54046701.97400967</v>
      </c>
      <c r="I133" s="77">
        <f t="shared" si="30"/>
        <v>-36159768.058495536</v>
      </c>
      <c r="J133" s="77">
        <f t="shared" si="30"/>
        <v>-57986203.216634817</v>
      </c>
      <c r="K133" s="77">
        <f t="shared" si="30"/>
        <v>-69580566.426679224</v>
      </c>
      <c r="L133" s="77">
        <f t="shared" si="30"/>
        <v>-48818463.30868043</v>
      </c>
      <c r="M133" s="77">
        <f t="shared" si="30"/>
        <v>-16695150.285908794</v>
      </c>
      <c r="N133" s="77">
        <f t="shared" si="30"/>
        <v>20635959.789027274</v>
      </c>
      <c r="O133" s="77">
        <f t="shared" si="30"/>
        <v>-28722889.805862069</v>
      </c>
      <c r="P133" s="77">
        <f t="shared" si="30"/>
        <v>-41757048.1834604</v>
      </c>
      <c r="Q133" s="77">
        <f t="shared" si="30"/>
        <v>-70706765.711390674</v>
      </c>
      <c r="R133" s="77">
        <f t="shared" si="30"/>
        <v>-57704949.875466131</v>
      </c>
      <c r="S133" s="109">
        <f t="shared" si="20"/>
        <v>-560874886.03992534</v>
      </c>
      <c r="T133" s="474">
        <f t="shared" si="21"/>
        <v>-10.56978150987346</v>
      </c>
    </row>
    <row r="134" spans="1:22" ht="13.5" thickBot="1">
      <c r="A134" s="117" t="str">
        <f t="shared" si="17"/>
        <v>1003p</v>
      </c>
      <c r="B134" s="554" t="str">
        <f>+VLOOKUP(LEFT($A134,LEN(A134)-1)*1,Master!$D$29:$G$225,4,FALSE)</f>
        <v>Financing</v>
      </c>
      <c r="C134" s="555"/>
      <c r="D134" s="555"/>
      <c r="E134" s="555"/>
      <c r="F134" s="555"/>
      <c r="G134" s="93">
        <f t="shared" ref="G134:R134" si="31">+SUM(G135:G138)</f>
        <v>99332338.982364863</v>
      </c>
      <c r="H134" s="93">
        <f t="shared" si="31"/>
        <v>54046701.974009678</v>
      </c>
      <c r="I134" s="93">
        <f t="shared" si="31"/>
        <v>36159768.058495536</v>
      </c>
      <c r="J134" s="93">
        <f t="shared" si="31"/>
        <v>57986203.216634825</v>
      </c>
      <c r="K134" s="93">
        <f t="shared" si="31"/>
        <v>69580566.426679224</v>
      </c>
      <c r="L134" s="93">
        <f t="shared" si="31"/>
        <v>48818463.30868043</v>
      </c>
      <c r="M134" s="93">
        <f t="shared" si="31"/>
        <v>16695150.285908792</v>
      </c>
      <c r="N134" s="93">
        <f t="shared" si="31"/>
        <v>-20635959.789027274</v>
      </c>
      <c r="O134" s="93">
        <f t="shared" si="31"/>
        <v>28722889.805862069</v>
      </c>
      <c r="P134" s="93">
        <f t="shared" si="31"/>
        <v>41757048.1834604</v>
      </c>
      <c r="Q134" s="93">
        <f t="shared" si="31"/>
        <v>70706765.711390674</v>
      </c>
      <c r="R134" s="93">
        <f t="shared" si="31"/>
        <v>57704949.875466131</v>
      </c>
      <c r="S134" s="110">
        <f t="shared" si="20"/>
        <v>560874886.03992534</v>
      </c>
      <c r="T134" s="475">
        <f t="shared" si="21"/>
        <v>10.56978150987346</v>
      </c>
    </row>
    <row r="135" spans="1:22">
      <c r="A135" s="117" t="str">
        <f t="shared" si="17"/>
        <v>7511p</v>
      </c>
      <c r="B135" s="558" t="str">
        <f>+VLOOKUP(LEFT($A135,LEN(A135)-1)*1,Master!$D$29:$G$225,4,FALSE)</f>
        <v>Domestic Loans and Borrowings</v>
      </c>
      <c r="C135" s="559"/>
      <c r="D135" s="559"/>
      <c r="E135" s="559"/>
      <c r="F135" s="559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103">
        <f t="shared" si="20"/>
        <v>0</v>
      </c>
      <c r="T135" s="472">
        <f t="shared" si="21"/>
        <v>0</v>
      </c>
    </row>
    <row r="136" spans="1:22">
      <c r="A136" s="117" t="str">
        <f t="shared" si="17"/>
        <v>7512p</v>
      </c>
      <c r="B136" s="560" t="str">
        <f>+VLOOKUP(LEFT($A136,LEN(A136)-1)*1,Master!$D$29:$G$225,4,FALSE)</f>
        <v>Foreign Loans and Borrowings</v>
      </c>
      <c r="C136" s="561"/>
      <c r="D136" s="561"/>
      <c r="E136" s="561"/>
      <c r="F136" s="561"/>
      <c r="G136" s="96">
        <v>15942704.472000001</v>
      </c>
      <c r="H136" s="96">
        <v>9994404.4719999991</v>
      </c>
      <c r="I136" s="96">
        <v>9996104.4719999991</v>
      </c>
      <c r="J136" s="96">
        <v>10164404.471999999</v>
      </c>
      <c r="K136" s="96">
        <v>15687704.471999999</v>
      </c>
      <c r="L136" s="96">
        <v>15689404.472000001</v>
      </c>
      <c r="M136" s="96">
        <v>7235729.4720000001</v>
      </c>
      <c r="N136" s="96">
        <v>4684029.4720000001</v>
      </c>
      <c r="O136" s="96">
        <v>66982329.472000003</v>
      </c>
      <c r="P136" s="96">
        <v>4684029.4720000001</v>
      </c>
      <c r="Q136" s="96">
        <v>4539974.0474999994</v>
      </c>
      <c r="R136" s="96">
        <v>4403189.4380000001</v>
      </c>
      <c r="S136" s="103">
        <f t="shared" si="20"/>
        <v>170004008.20550004</v>
      </c>
      <c r="T136" s="472">
        <f t="shared" si="21"/>
        <v>3.203754112119328</v>
      </c>
    </row>
    <row r="137" spans="1:22">
      <c r="A137" s="117" t="str">
        <f t="shared" si="17"/>
        <v>72p</v>
      </c>
      <c r="B137" s="560" t="str">
        <f>+VLOOKUP(LEFT($A137,LEN(A137)-1)*1,Master!$D$29:$G$225,4,FALSE)</f>
        <v>Revenues from Selling Assets</v>
      </c>
      <c r="C137" s="561"/>
      <c r="D137" s="561"/>
      <c r="E137" s="561"/>
      <c r="F137" s="561"/>
      <c r="G137" s="96">
        <v>500000</v>
      </c>
      <c r="H137" s="96">
        <v>500000</v>
      </c>
      <c r="I137" s="96">
        <v>500000</v>
      </c>
      <c r="J137" s="96">
        <v>500000</v>
      </c>
      <c r="K137" s="96">
        <v>500000</v>
      </c>
      <c r="L137" s="96">
        <v>500000</v>
      </c>
      <c r="M137" s="96">
        <v>500000</v>
      </c>
      <c r="N137" s="96">
        <v>500000</v>
      </c>
      <c r="O137" s="96">
        <v>500000</v>
      </c>
      <c r="P137" s="96">
        <v>500000</v>
      </c>
      <c r="Q137" s="96">
        <v>500000</v>
      </c>
      <c r="R137" s="96">
        <v>500000</v>
      </c>
      <c r="S137" s="103">
        <f t="shared" si="20"/>
        <v>6000000</v>
      </c>
      <c r="T137" s="472">
        <f t="shared" si="21"/>
        <v>0.11307100859339667</v>
      </c>
    </row>
    <row r="138" spans="1:22" ht="13.5" thickBot="1">
      <c r="A138" s="117" t="str">
        <f t="shared" si="17"/>
        <v>1004p</v>
      </c>
      <c r="B138" s="98" t="str">
        <f>+VLOOKUP(LEFT($A138,LEN(A138)-1)*1,Master!$D$29:$G$225,4,FALSE)</f>
        <v>Increase / decrease of deposits</v>
      </c>
      <c r="C138" s="99"/>
      <c r="D138" s="99"/>
      <c r="E138" s="99"/>
      <c r="F138" s="99"/>
      <c r="G138" s="97">
        <f t="shared" ref="G138:R138" si="32">-G133-SUM(G135:G137)</f>
        <v>82889634.51036486</v>
      </c>
      <c r="H138" s="97">
        <f t="shared" si="32"/>
        <v>43552297.502009675</v>
      </c>
      <c r="I138" s="97">
        <f t="shared" si="32"/>
        <v>25663663.586495537</v>
      </c>
      <c r="J138" s="97">
        <f t="shared" si="32"/>
        <v>47321798.744634822</v>
      </c>
      <c r="K138" s="97">
        <f t="shared" si="32"/>
        <v>53392861.954679221</v>
      </c>
      <c r="L138" s="97">
        <f t="shared" si="32"/>
        <v>32629058.836680427</v>
      </c>
      <c r="M138" s="97">
        <f t="shared" si="32"/>
        <v>8959420.813908793</v>
      </c>
      <c r="N138" s="97">
        <f t="shared" si="32"/>
        <v>-25819989.261027273</v>
      </c>
      <c r="O138" s="97">
        <f t="shared" si="32"/>
        <v>-38759439.666137934</v>
      </c>
      <c r="P138" s="97">
        <f t="shared" si="32"/>
        <v>36573018.711460397</v>
      </c>
      <c r="Q138" s="97">
        <f t="shared" si="32"/>
        <v>65666791.663890675</v>
      </c>
      <c r="R138" s="97">
        <f t="shared" si="32"/>
        <v>52801760.43746613</v>
      </c>
      <c r="S138" s="105">
        <f t="shared" si="20"/>
        <v>384870877.83442539</v>
      </c>
      <c r="T138" s="476">
        <f t="shared" si="21"/>
        <v>7.2529563891607376</v>
      </c>
    </row>
    <row r="140" spans="1:22">
      <c r="G140" s="311"/>
    </row>
    <row r="141" spans="1:22"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  <c r="Q141" s="311"/>
      <c r="R141" s="311"/>
    </row>
    <row r="142" spans="1:22">
      <c r="N142" s="311"/>
    </row>
    <row r="144" spans="1:22">
      <c r="S144" s="487"/>
    </row>
    <row r="145" spans="19:19">
      <c r="S145" s="311"/>
    </row>
    <row r="146" spans="19:19">
      <c r="S146" s="311"/>
    </row>
  </sheetData>
  <sheetProtection algorithmName="SHA-512" hashValue="OHsr7l41Xqr17lqqOulMw1NtwlC1mTXSFtTbkRMyoJIBp9QRTWKd1TLMeWK/oJd3tST/XWH/TLnQ+u3n35l+Gg==" saltValue="KcMId4sf+D7IuAINJMWezg==" spinCount="100000" sheet="1" objects="1" scenarios="1"/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W146"/>
  <sheetViews>
    <sheetView zoomScaleNormal="100" workbookViewId="0">
      <pane ySplit="1" topLeftCell="A2" activePane="bottomLeft" state="frozen"/>
      <selection pane="bottomLeft" activeCell="S29" sqref="S29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Montenegro</v>
      </c>
      <c r="F2" s="126"/>
      <c r="G2" s="126"/>
      <c r="H2" s="126"/>
      <c r="I2" s="129"/>
      <c r="J2" s="126"/>
      <c r="K2" s="126"/>
      <c r="L2" s="500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Ministry of Finance and social welfare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Directorate for State Budget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0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607" t="str">
        <f>+Master!G251</f>
        <v>Budget Execution</v>
      </c>
      <c r="C7" s="507"/>
      <c r="D7" s="507"/>
      <c r="E7" s="507"/>
      <c r="F7" s="507"/>
      <c r="G7" s="515">
        <v>2021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GDP</v>
      </c>
      <c r="T7" s="236">
        <v>4881300000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January</v>
      </c>
      <c r="H8" s="145" t="str">
        <f>+Master!G232</f>
        <v>February</v>
      </c>
      <c r="I8" s="145" t="str">
        <f>+Master!G233</f>
        <v>March</v>
      </c>
      <c r="J8" s="145" t="str">
        <f>+Master!G234</f>
        <v>April</v>
      </c>
      <c r="K8" s="145" t="str">
        <f>+Master!G235</f>
        <v>May</v>
      </c>
      <c r="L8" s="145" t="str">
        <f>+Master!G236</f>
        <v>June</v>
      </c>
      <c r="M8" s="145" t="str">
        <f>+Master!G237</f>
        <v>July</v>
      </c>
      <c r="N8" s="145" t="str">
        <f>+Master!G238</f>
        <v>August</v>
      </c>
      <c r="O8" s="145" t="str">
        <f>+Master!G239</f>
        <v>September</v>
      </c>
      <c r="P8" s="145" t="str">
        <f>+Master!G240</f>
        <v>October</v>
      </c>
      <c r="Q8" s="145" t="str">
        <f>+Master!G241</f>
        <v>November</v>
      </c>
      <c r="R8" s="145" t="str">
        <f>+Master!G242</f>
        <v>December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GDP</v>
      </c>
    </row>
    <row r="10" spans="1:20" ht="13.5" thickBot="1">
      <c r="A10" s="150">
        <v>7</v>
      </c>
      <c r="B10" s="548" t="str">
        <f>+VLOOKUP($A10,Master!$D$29:$G$225,4,FALSE)</f>
        <v>Total Revenues</v>
      </c>
      <c r="C10" s="549"/>
      <c r="D10" s="549"/>
      <c r="E10" s="549"/>
      <c r="F10" s="549"/>
      <c r="G10" s="151">
        <f>+G11+G19+SUM(G24:G28)</f>
        <v>88645153.320000008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136581593.40000001</v>
      </c>
      <c r="L10" s="151">
        <f t="shared" si="1"/>
        <v>158964980.91000003</v>
      </c>
      <c r="M10" s="151">
        <f t="shared" si="1"/>
        <v>194099538.63</v>
      </c>
      <c r="N10" s="151">
        <f t="shared" si="1"/>
        <v>190105745.75999999</v>
      </c>
      <c r="O10" s="151">
        <f t="shared" si="1"/>
        <v>172070591.90000001</v>
      </c>
      <c r="P10" s="151">
        <f t="shared" si="1"/>
        <v>160001549.75000003</v>
      </c>
      <c r="Q10" s="151">
        <f t="shared" si="1"/>
        <v>158602978.81999999</v>
      </c>
      <c r="R10" s="151">
        <f t="shared" si="1"/>
        <v>248412432.71000004</v>
      </c>
      <c r="S10" s="239">
        <f>+SUM(G10:R10)</f>
        <v>1911374882.0400002</v>
      </c>
      <c r="T10" s="462">
        <f>+S10/$T$7*100</f>
        <v>39.157086883412212</v>
      </c>
    </row>
    <row r="11" spans="1:20">
      <c r="A11" s="150">
        <v>711</v>
      </c>
      <c r="B11" s="550" t="str">
        <f>+VLOOKUP($A11,Master!$D$29:$G$225,4,FALSE)</f>
        <v>Taxes</v>
      </c>
      <c r="C11" s="551"/>
      <c r="D11" s="551"/>
      <c r="E11" s="551"/>
      <c r="F11" s="551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3">
        <f t="shared" ref="T11:T64" si="3">+S11/$T$7*100</f>
        <v>24.253255351033538</v>
      </c>
    </row>
    <row r="12" spans="1:20">
      <c r="A12" s="150">
        <v>7111</v>
      </c>
      <c r="B12" s="536" t="str">
        <f>+VLOOKUP($A12,Master!$D$29:$G$225,4,FALSE)</f>
        <v>Personal Income Tax</v>
      </c>
      <c r="C12" s="537"/>
      <c r="D12" s="537"/>
      <c r="E12" s="537"/>
      <c r="F12" s="537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4">
        <f t="shared" si="3"/>
        <v>2.5989853328006882</v>
      </c>
    </row>
    <row r="13" spans="1:20">
      <c r="A13" s="150">
        <v>7112</v>
      </c>
      <c r="B13" s="536" t="str">
        <f>+VLOOKUP($A13,Master!$D$29:$G$225,4,FALSE)</f>
        <v>Corporate Income Tax</v>
      </c>
      <c r="C13" s="537"/>
      <c r="D13" s="537"/>
      <c r="E13" s="537"/>
      <c r="F13" s="537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4">
        <f t="shared" si="3"/>
        <v>1.5306111992706861</v>
      </c>
    </row>
    <row r="14" spans="1:20">
      <c r="A14" s="150">
        <v>7113</v>
      </c>
      <c r="B14" s="536" t="str">
        <f>+VLOOKUP($A14,Master!$D$29:$G$225,4,FALSE)</f>
        <v xml:space="preserve">Taxes on Sales of Property </v>
      </c>
      <c r="C14" s="537"/>
      <c r="D14" s="537"/>
      <c r="E14" s="537"/>
      <c r="F14" s="537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4">
        <f t="shared" si="3"/>
        <v>4.2575825497306041E-2</v>
      </c>
    </row>
    <row r="15" spans="1:20">
      <c r="A15" s="150">
        <v>7114</v>
      </c>
      <c r="B15" s="536" t="str">
        <f>+VLOOKUP($A15,Master!$D$29:$G$225,4,FALSE)</f>
        <v>Value Added Tax</v>
      </c>
      <c r="C15" s="537"/>
      <c r="D15" s="537"/>
      <c r="E15" s="537"/>
      <c r="F15" s="537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4">
        <f t="shared" si="3"/>
        <v>14.175488530514412</v>
      </c>
    </row>
    <row r="16" spans="1:20">
      <c r="A16" s="150">
        <v>7115</v>
      </c>
      <c r="B16" s="536" t="str">
        <f>+VLOOKUP($A16,Master!$D$29:$G$225,4,FALSE)</f>
        <v>Excises</v>
      </c>
      <c r="C16" s="537"/>
      <c r="D16" s="537"/>
      <c r="E16" s="537"/>
      <c r="F16" s="537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4">
        <f t="shared" si="3"/>
        <v>5.0953208194538337</v>
      </c>
    </row>
    <row r="17" spans="1:23">
      <c r="A17" s="150">
        <v>7116</v>
      </c>
      <c r="B17" s="536" t="str">
        <f>+VLOOKUP($A17,Master!$D$29:$G$225,4,FALSE)</f>
        <v>Tax on International Trade and Transactions</v>
      </c>
      <c r="C17" s="537"/>
      <c r="D17" s="537"/>
      <c r="E17" s="537"/>
      <c r="F17" s="537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4">
        <f t="shared" si="3"/>
        <v>0.57969479585356354</v>
      </c>
    </row>
    <row r="18" spans="1:23">
      <c r="A18" s="150">
        <v>7118</v>
      </c>
      <c r="B18" s="536" t="str">
        <f>+VLOOKUP($A18,Master!$D$29:$G$225,4,FALSE)</f>
        <v>Other Republic Taxes</v>
      </c>
      <c r="C18" s="537"/>
      <c r="D18" s="537"/>
      <c r="E18" s="537"/>
      <c r="F18" s="537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4">
        <f t="shared" si="3"/>
        <v>0.23057884764304598</v>
      </c>
    </row>
    <row r="19" spans="1:23">
      <c r="A19" s="150">
        <v>712</v>
      </c>
      <c r="B19" s="546" t="str">
        <f>+VLOOKUP($A19,Master!$D$29:$G$225,4,FALSE)</f>
        <v>Contributions</v>
      </c>
      <c r="C19" s="547"/>
      <c r="D19" s="547"/>
      <c r="E19" s="547"/>
      <c r="F19" s="547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5">
        <f t="shared" si="3"/>
        <v>11.35918973756991</v>
      </c>
    </row>
    <row r="20" spans="1:23">
      <c r="A20" s="150">
        <v>7121</v>
      </c>
      <c r="B20" s="536" t="str">
        <f>+VLOOKUP($A20,Master!$D$29:$G$225,4,FALSE)</f>
        <v>Contributions for Pension and Disability Insurance</v>
      </c>
      <c r="C20" s="537"/>
      <c r="D20" s="537"/>
      <c r="E20" s="537"/>
      <c r="F20" s="537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4">
        <f t="shared" si="3"/>
        <v>7.0419406721570086</v>
      </c>
    </row>
    <row r="21" spans="1:23">
      <c r="A21" s="150">
        <v>7122</v>
      </c>
      <c r="B21" s="536" t="str">
        <f>+VLOOKUP($A21,Master!$D$29:$G$225,4,FALSE)</f>
        <v>Contributions for Health Insurance</v>
      </c>
      <c r="C21" s="537"/>
      <c r="D21" s="537"/>
      <c r="E21" s="537"/>
      <c r="F21" s="537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4">
        <f t="shared" si="3"/>
        <v>3.6991472894515804</v>
      </c>
    </row>
    <row r="22" spans="1:23">
      <c r="A22" s="150">
        <v>7123</v>
      </c>
      <c r="B22" s="536" t="str">
        <f>+VLOOKUP($A22,Master!$D$29:$G$225,4,FALSE)</f>
        <v>Contributions for  Unemployment Insurance</v>
      </c>
      <c r="C22" s="537"/>
      <c r="D22" s="537"/>
      <c r="E22" s="537"/>
      <c r="F22" s="537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4">
        <f t="shared" si="3"/>
        <v>0.33513274004875754</v>
      </c>
    </row>
    <row r="23" spans="1:23">
      <c r="A23" s="150">
        <v>7124</v>
      </c>
      <c r="B23" s="536" t="str">
        <f>+VLOOKUP($A23,Master!$D$29:$G$225,4,FALSE)</f>
        <v>Other contributions</v>
      </c>
      <c r="C23" s="537"/>
      <c r="D23" s="537"/>
      <c r="E23" s="537"/>
      <c r="F23" s="537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4">
        <f t="shared" si="3"/>
        <v>0.28296903591256428</v>
      </c>
      <c r="W23" s="305"/>
    </row>
    <row r="24" spans="1:23">
      <c r="A24" s="150">
        <v>713</v>
      </c>
      <c r="B24" s="538" t="str">
        <f>+VLOOKUP($A24,Master!$D$29:$G$225,4,FALSE)</f>
        <v>Duties</v>
      </c>
      <c r="C24" s="539"/>
      <c r="D24" s="539"/>
      <c r="E24" s="539"/>
      <c r="F24" s="539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1092535.69</v>
      </c>
      <c r="R24" s="175">
        <v>1205165.5</v>
      </c>
      <c r="S24" s="243">
        <f t="shared" si="4"/>
        <v>12641917.529999999</v>
      </c>
      <c r="T24" s="465">
        <f t="shared" si="3"/>
        <v>0.25898669473296049</v>
      </c>
      <c r="W24" s="305"/>
    </row>
    <row r="25" spans="1:23">
      <c r="A25" s="150">
        <v>714</v>
      </c>
      <c r="B25" s="538" t="str">
        <f>+VLOOKUP($A25,Master!$D$29:$G$225,4,FALSE)</f>
        <v>Fees</v>
      </c>
      <c r="C25" s="539"/>
      <c r="D25" s="539"/>
      <c r="E25" s="539"/>
      <c r="F25" s="539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5">
        <f t="shared" si="3"/>
        <v>1.0467507012476185</v>
      </c>
    </row>
    <row r="26" spans="1:23">
      <c r="A26" s="150">
        <v>715</v>
      </c>
      <c r="B26" s="538" t="str">
        <f>+VLOOKUP($A26,Master!$D$29:$G$225,4,FALSE)</f>
        <v>Other revenues</v>
      </c>
      <c r="C26" s="539"/>
      <c r="D26" s="539"/>
      <c r="E26" s="539"/>
      <c r="F26" s="539"/>
      <c r="G26" s="175">
        <v>1525496.04</v>
      </c>
      <c r="H26" s="175">
        <v>1791757.35</v>
      </c>
      <c r="I26" s="175">
        <v>1693779.5</v>
      </c>
      <c r="J26" s="175">
        <v>1358988.92</v>
      </c>
      <c r="K26" s="175">
        <v>3754382.9</v>
      </c>
      <c r="L26" s="175">
        <v>2287001.67</v>
      </c>
      <c r="M26" s="175">
        <v>30215055.109999999</v>
      </c>
      <c r="N26" s="175">
        <v>2283335.13</v>
      </c>
      <c r="O26" s="175">
        <v>1871626.8</v>
      </c>
      <c r="P26" s="175">
        <v>1566793.48</v>
      </c>
      <c r="Q26" s="175">
        <v>1628758.26</v>
      </c>
      <c r="R26" s="175">
        <v>9339096.8000000007</v>
      </c>
      <c r="S26" s="243">
        <f t="shared" si="4"/>
        <v>59316071.959999993</v>
      </c>
      <c r="T26" s="465">
        <f t="shared" si="3"/>
        <v>1.2151695646651506</v>
      </c>
    </row>
    <row r="27" spans="1:23">
      <c r="A27" s="150">
        <v>73</v>
      </c>
      <c r="B27" s="538" t="str">
        <f>+VLOOKUP($A27,Master!$D$29:$G$225,4,FALSE)</f>
        <v>Receipts from Repayment of Loans and Funds Carried over from Previous Year</v>
      </c>
      <c r="C27" s="539"/>
      <c r="D27" s="539"/>
      <c r="E27" s="539"/>
      <c r="F27" s="539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2260792.52</v>
      </c>
      <c r="S27" s="243">
        <f t="shared" si="4"/>
        <v>10101545.129999999</v>
      </c>
      <c r="T27" s="465">
        <f t="shared" si="3"/>
        <v>0.20694374715751951</v>
      </c>
    </row>
    <row r="28" spans="1:23" ht="13.5" thickBot="1">
      <c r="A28" s="150">
        <v>74</v>
      </c>
      <c r="B28" s="540" t="str">
        <f>+VLOOKUP($A28,Master!$D$29:$G$225,4,FALSE)</f>
        <v>Grants and Transfers</v>
      </c>
      <c r="C28" s="541"/>
      <c r="D28" s="541"/>
      <c r="E28" s="541"/>
      <c r="F28" s="541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2472793.4900000002</v>
      </c>
      <c r="M28" s="175">
        <v>2374857.2999999998</v>
      </c>
      <c r="N28" s="175">
        <v>787318.87</v>
      </c>
      <c r="O28" s="175">
        <v>4215127.58</v>
      </c>
      <c r="P28" s="175">
        <v>3100970.75</v>
      </c>
      <c r="Q28" s="175">
        <v>2702380.72</v>
      </c>
      <c r="R28" s="175">
        <v>18564970.920000002</v>
      </c>
      <c r="S28" s="243">
        <f t="shared" si="4"/>
        <v>39870023.329999998</v>
      </c>
      <c r="T28" s="466">
        <f t="shared" si="3"/>
        <v>0.81679108700551084</v>
      </c>
    </row>
    <row r="29" spans="1:23" ht="13.5" thickBot="1">
      <c r="A29" s="150">
        <v>4</v>
      </c>
      <c r="B29" s="526" t="str">
        <f>+VLOOKUP($A29,Master!$D$29:$G$225,4,FALSE)</f>
        <v>Total Expenditures</v>
      </c>
      <c r="C29" s="527"/>
      <c r="D29" s="527"/>
      <c r="E29" s="527"/>
      <c r="F29" s="527"/>
      <c r="G29" s="151">
        <f>+G30+G40+G46+SUM(G47:G51)</f>
        <v>127396828.25</v>
      </c>
      <c r="H29" s="151">
        <f t="shared" ref="H29:R29" si="6">+H30+H40+H46+SUM(H47:H51)</f>
        <v>159823163.58000001</v>
      </c>
      <c r="I29" s="151">
        <f t="shared" si="6"/>
        <v>164445513.62</v>
      </c>
      <c r="J29" s="151">
        <f t="shared" si="6"/>
        <v>184230567.26000002</v>
      </c>
      <c r="K29" s="151">
        <f t="shared" si="6"/>
        <v>156128771.06999999</v>
      </c>
      <c r="L29" s="151">
        <f t="shared" si="6"/>
        <v>155953410.75</v>
      </c>
      <c r="M29" s="151">
        <f t="shared" si="6"/>
        <v>153567173.43000001</v>
      </c>
      <c r="N29" s="151">
        <f t="shared" si="6"/>
        <v>129243026.83</v>
      </c>
      <c r="O29" s="151">
        <f t="shared" si="6"/>
        <v>178840157.63000003</v>
      </c>
      <c r="P29" s="151">
        <f t="shared" si="6"/>
        <v>157218817.40000001</v>
      </c>
      <c r="Q29" s="151">
        <f t="shared" si="6"/>
        <v>172180876.45999998</v>
      </c>
      <c r="R29" s="151">
        <f t="shared" si="6"/>
        <v>272548252.21000004</v>
      </c>
      <c r="S29" s="245">
        <f t="shared" si="4"/>
        <v>2011576558.4900002</v>
      </c>
      <c r="T29" s="467">
        <f t="shared" si="3"/>
        <v>41.209853081965875</v>
      </c>
    </row>
    <row r="30" spans="1:23">
      <c r="A30" s="150">
        <v>41</v>
      </c>
      <c r="B30" s="544" t="str">
        <f>+VLOOKUP($A30,Master!$D$29:$G$225,4,FALSE)</f>
        <v>Current Expenditures</v>
      </c>
      <c r="C30" s="545"/>
      <c r="D30" s="545"/>
      <c r="E30" s="545"/>
      <c r="F30" s="545"/>
      <c r="G30" s="187">
        <f t="shared" ref="G30:R30" si="7">+SUM(G31:G39)</f>
        <v>51210284.650000006</v>
      </c>
      <c r="H30" s="187">
        <f t="shared" si="7"/>
        <v>62952522.470000006</v>
      </c>
      <c r="I30" s="187">
        <f t="shared" si="7"/>
        <v>74936031.789999992</v>
      </c>
      <c r="J30" s="187">
        <f t="shared" si="7"/>
        <v>90498154.590000004</v>
      </c>
      <c r="K30" s="187">
        <f t="shared" si="7"/>
        <v>68092885.25</v>
      </c>
      <c r="L30" s="187">
        <f t="shared" si="7"/>
        <v>67095940.299999997</v>
      </c>
      <c r="M30" s="187">
        <f t="shared" si="7"/>
        <v>63433821.460000001</v>
      </c>
      <c r="N30" s="187">
        <f t="shared" si="7"/>
        <v>55432684.900000006</v>
      </c>
      <c r="O30" s="187">
        <f t="shared" si="7"/>
        <v>78428128.920000017</v>
      </c>
      <c r="P30" s="187">
        <f t="shared" si="7"/>
        <v>65428662.609999999</v>
      </c>
      <c r="Q30" s="187">
        <f t="shared" si="7"/>
        <v>70638693.879999995</v>
      </c>
      <c r="R30" s="246">
        <f t="shared" si="7"/>
        <v>128015161.53</v>
      </c>
      <c r="S30" s="424">
        <f t="shared" si="4"/>
        <v>876162972.3499999</v>
      </c>
      <c r="T30" s="463">
        <f t="shared" si="3"/>
        <v>17.949377672955976</v>
      </c>
      <c r="U30" s="242"/>
    </row>
    <row r="31" spans="1:23">
      <c r="A31" s="150">
        <v>411</v>
      </c>
      <c r="B31" s="536" t="str">
        <f>+VLOOKUP($A31,Master!$D$29:$G$225,4,FALSE)</f>
        <v>Gross Salaries and Contributions</v>
      </c>
      <c r="C31" s="537"/>
      <c r="D31" s="537"/>
      <c r="E31" s="537"/>
      <c r="F31" s="537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43464882.57</v>
      </c>
      <c r="P31" s="163">
        <v>44324596.259999998</v>
      </c>
      <c r="Q31" s="163">
        <v>42899701.979999997</v>
      </c>
      <c r="R31" s="163">
        <v>47109142.439999998</v>
      </c>
      <c r="S31" s="242">
        <f t="shared" si="4"/>
        <v>535284771.48000002</v>
      </c>
      <c r="T31" s="464">
        <f t="shared" si="3"/>
        <v>10.966028957040134</v>
      </c>
      <c r="U31" s="242"/>
    </row>
    <row r="32" spans="1:23">
      <c r="A32" s="150">
        <v>412</v>
      </c>
      <c r="B32" s="536" t="str">
        <f>+VLOOKUP($A32,Master!$D$29:$G$225,4,FALSE)</f>
        <v>Other Personal Income</v>
      </c>
      <c r="C32" s="537"/>
      <c r="D32" s="537"/>
      <c r="E32" s="537"/>
      <c r="F32" s="537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11275293.119999999</v>
      </c>
      <c r="T32" s="464">
        <f t="shared" si="3"/>
        <v>0.23098955442197774</v>
      </c>
      <c r="U32" s="457"/>
    </row>
    <row r="33" spans="1:21">
      <c r="A33" s="150">
        <v>413</v>
      </c>
      <c r="B33" s="536" t="str">
        <f>+VLOOKUP($A33,Master!$D$29:$G$225,4,FALSE)</f>
        <v>Expenditures for Supplies</v>
      </c>
      <c r="C33" s="537"/>
      <c r="D33" s="537"/>
      <c r="E33" s="537"/>
      <c r="F33" s="537"/>
      <c r="G33" s="163">
        <v>596838.26</v>
      </c>
      <c r="H33" s="163">
        <v>1661548.94</v>
      </c>
      <c r="I33" s="163">
        <v>2846541.08</v>
      </c>
      <c r="J33" s="163">
        <v>2297097.17</v>
      </c>
      <c r="K33" s="163">
        <v>3105673.67</v>
      </c>
      <c r="L33" s="163">
        <v>3282627.05</v>
      </c>
      <c r="M33" s="163">
        <v>1191294.69</v>
      </c>
      <c r="N33" s="163">
        <v>1974731.33</v>
      </c>
      <c r="O33" s="163">
        <v>2484211.52</v>
      </c>
      <c r="P33" s="163">
        <v>3818905.14</v>
      </c>
      <c r="Q33" s="163">
        <v>3314735.27</v>
      </c>
      <c r="R33" s="163">
        <v>8934782.8399999999</v>
      </c>
      <c r="S33" s="242">
        <f t="shared" si="4"/>
        <v>35508986.960000001</v>
      </c>
      <c r="T33" s="464">
        <f t="shared" si="3"/>
        <v>0.72744938766312262</v>
      </c>
      <c r="U33" s="457"/>
    </row>
    <row r="34" spans="1:21" s="361" customFormat="1">
      <c r="A34" s="360">
        <v>414</v>
      </c>
      <c r="B34" s="605" t="str">
        <f>+VLOOKUP($A34,Master!$D$29:$G$225,4,FALSE)</f>
        <v>Expenditures for Services</v>
      </c>
      <c r="C34" s="606"/>
      <c r="D34" s="606"/>
      <c r="E34" s="606"/>
      <c r="F34" s="606"/>
      <c r="G34" s="163">
        <v>1050676.99</v>
      </c>
      <c r="H34" s="163">
        <v>2618065.42</v>
      </c>
      <c r="I34" s="163">
        <v>3354555.29</v>
      </c>
      <c r="J34" s="163">
        <v>6154997.4900000002</v>
      </c>
      <c r="K34" s="163">
        <v>5010122.6100000003</v>
      </c>
      <c r="L34" s="163">
        <v>3878369.19</v>
      </c>
      <c r="M34" s="163">
        <v>6311106.4199999999</v>
      </c>
      <c r="N34" s="163">
        <v>4216812.43</v>
      </c>
      <c r="O34" s="163">
        <v>4951424.5199999996</v>
      </c>
      <c r="P34" s="163">
        <v>4358677.68</v>
      </c>
      <c r="Q34" s="163">
        <v>4813728.76</v>
      </c>
      <c r="R34" s="163">
        <v>12963904.939999999</v>
      </c>
      <c r="S34" s="242">
        <f t="shared" si="4"/>
        <v>59682441.739999995</v>
      </c>
      <c r="T34" s="464">
        <f t="shared" si="3"/>
        <v>1.2226751426873987</v>
      </c>
      <c r="U34" s="457"/>
    </row>
    <row r="35" spans="1:21">
      <c r="A35" s="150">
        <v>415</v>
      </c>
      <c r="B35" s="536" t="str">
        <f>+VLOOKUP($A35,Master!$D$29:$G$225,4,FALSE)</f>
        <v>Current Maintenance</v>
      </c>
      <c r="C35" s="537"/>
      <c r="D35" s="537"/>
      <c r="E35" s="537"/>
      <c r="F35" s="537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1713753.59</v>
      </c>
      <c r="L35" s="163">
        <v>1668289.12</v>
      </c>
      <c r="M35" s="163">
        <v>1674987.06</v>
      </c>
      <c r="N35" s="163">
        <v>627370.31000000006</v>
      </c>
      <c r="O35" s="163">
        <v>2494776.16</v>
      </c>
      <c r="P35" s="163">
        <v>1624347.31</v>
      </c>
      <c r="Q35" s="163">
        <v>2052579.1</v>
      </c>
      <c r="R35" s="163">
        <v>4628860.91</v>
      </c>
      <c r="S35" s="242">
        <f t="shared" si="4"/>
        <v>21714478.710000001</v>
      </c>
      <c r="T35" s="464">
        <f t="shared" si="3"/>
        <v>0.44485032081617609</v>
      </c>
      <c r="U35" s="457"/>
    </row>
    <row r="36" spans="1:21">
      <c r="A36" s="150">
        <v>416</v>
      </c>
      <c r="B36" s="536" t="str">
        <f>+VLOOKUP($A36,Master!$D$29:$G$225,4,FALSE)</f>
        <v>Interests</v>
      </c>
      <c r="C36" s="537"/>
      <c r="D36" s="537"/>
      <c r="E36" s="537"/>
      <c r="F36" s="537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4">
        <f t="shared" si="3"/>
        <v>2.3366501173867622</v>
      </c>
      <c r="U36" s="457"/>
    </row>
    <row r="37" spans="1:21">
      <c r="A37" s="150">
        <v>417</v>
      </c>
      <c r="B37" s="536" t="str">
        <f>+VLOOKUP($A37,Master!$D$29:$G$225,4,FALSE)</f>
        <v>Rent</v>
      </c>
      <c r="C37" s="537"/>
      <c r="D37" s="537"/>
      <c r="E37" s="537"/>
      <c r="F37" s="537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630121.34</v>
      </c>
      <c r="L37" s="163">
        <v>989320.52</v>
      </c>
      <c r="M37" s="163">
        <v>768698.1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2536754.16</v>
      </c>
      <c r="S37" s="242">
        <f t="shared" si="4"/>
        <v>11382290.550000001</v>
      </c>
      <c r="T37" s="464">
        <f t="shared" si="3"/>
        <v>0.23318154077807143</v>
      </c>
      <c r="U37" s="457"/>
    </row>
    <row r="38" spans="1:21">
      <c r="A38" s="150">
        <v>418</v>
      </c>
      <c r="B38" s="536" t="str">
        <f>+VLOOKUP($A38,Master!$D$29:$G$225,4,FALSE)</f>
        <v>Subsidies</v>
      </c>
      <c r="C38" s="537"/>
      <c r="D38" s="537"/>
      <c r="E38" s="537"/>
      <c r="F38" s="537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1282909.52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48519958.780000001</v>
      </c>
      <c r="T38" s="464">
        <f t="shared" si="3"/>
        <v>0.9939966562186302</v>
      </c>
      <c r="U38" s="457"/>
    </row>
    <row r="39" spans="1:21" s="361" customFormat="1">
      <c r="A39" s="360">
        <v>419</v>
      </c>
      <c r="B39" s="605" t="str">
        <f>+VLOOKUP($A39,Master!$D$29:$G$225,4,FALSE)</f>
        <v>Other expenditures</v>
      </c>
      <c r="C39" s="606"/>
      <c r="D39" s="606"/>
      <c r="E39" s="606"/>
      <c r="F39" s="606"/>
      <c r="G39" s="163">
        <v>792964.83</v>
      </c>
      <c r="H39" s="163">
        <v>2310889.5099999998</v>
      </c>
      <c r="I39" s="163">
        <v>3429558.98</v>
      </c>
      <c r="J39" s="163">
        <v>2708059.43</v>
      </c>
      <c r="K39" s="163">
        <v>2582032.64</v>
      </c>
      <c r="L39" s="163">
        <v>2772575.41</v>
      </c>
      <c r="M39" s="163">
        <v>1903342.21</v>
      </c>
      <c r="N39" s="163">
        <v>1967072.1</v>
      </c>
      <c r="O39" s="163">
        <v>3561249.92</v>
      </c>
      <c r="P39" s="163">
        <v>2997442.73</v>
      </c>
      <c r="Q39" s="163">
        <v>4025778.87</v>
      </c>
      <c r="R39" s="163">
        <v>9684882.1999999993</v>
      </c>
      <c r="S39" s="242">
        <f t="shared" si="4"/>
        <v>38735848.829999998</v>
      </c>
      <c r="T39" s="464">
        <f t="shared" si="3"/>
        <v>0.79355599594370352</v>
      </c>
      <c r="U39" s="457"/>
    </row>
    <row r="40" spans="1:21">
      <c r="A40" s="150">
        <v>42</v>
      </c>
      <c r="B40" s="532" t="str">
        <f>+VLOOKUP($A40,Master!$D$29:$G$225,4,FALSE)</f>
        <v>Social Security Transfers</v>
      </c>
      <c r="C40" s="533"/>
      <c r="D40" s="533"/>
      <c r="E40" s="533"/>
      <c r="F40" s="533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50150870.130000003</v>
      </c>
      <c r="S40" s="489">
        <f t="shared" si="4"/>
        <v>567405694.82999992</v>
      </c>
      <c r="T40" s="490">
        <f t="shared" si="3"/>
        <v>11.624069301825331</v>
      </c>
      <c r="U40" s="242"/>
    </row>
    <row r="41" spans="1:21">
      <c r="A41" s="150">
        <v>421</v>
      </c>
      <c r="B41" s="536" t="str">
        <f>+VLOOKUP($A41,Master!$D$29:$G$225,4,FALSE)</f>
        <v>Social Security</v>
      </c>
      <c r="C41" s="537"/>
      <c r="D41" s="537"/>
      <c r="E41" s="537"/>
      <c r="F41" s="537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4">
        <f t="shared" si="3"/>
        <v>1.7399839655419664</v>
      </c>
      <c r="U41" s="457"/>
    </row>
    <row r="42" spans="1:21">
      <c r="A42" s="150">
        <v>422</v>
      </c>
      <c r="B42" s="536" t="str">
        <f>+VLOOKUP($A42,Master!$D$29:$G$225,4,FALSE)</f>
        <v>Funds for redundant labor</v>
      </c>
      <c r="C42" s="537"/>
      <c r="D42" s="537"/>
      <c r="E42" s="537"/>
      <c r="F42" s="537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4">
        <f t="shared" si="3"/>
        <v>0.47297704156679571</v>
      </c>
      <c r="U42" s="457"/>
    </row>
    <row r="43" spans="1:21">
      <c r="A43" s="150">
        <v>423</v>
      </c>
      <c r="B43" s="536" t="str">
        <f>+VLOOKUP($A43,Master!$D$29:$G$225,4,FALSE)</f>
        <v>Pension and Disability Insurance</v>
      </c>
      <c r="C43" s="537"/>
      <c r="D43" s="537"/>
      <c r="E43" s="537"/>
      <c r="F43" s="537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4">
        <f t="shared" si="3"/>
        <v>8.8297752399975415</v>
      </c>
      <c r="U43" s="457"/>
    </row>
    <row r="44" spans="1:21">
      <c r="A44" s="150">
        <v>424</v>
      </c>
      <c r="B44" s="536" t="str">
        <f>+VLOOKUP($A44,Master!$D$29:$G$225,4,FALSE)</f>
        <v>Other Health Care Transfers</v>
      </c>
      <c r="C44" s="537"/>
      <c r="D44" s="537"/>
      <c r="E44" s="537"/>
      <c r="F44" s="537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4">
        <f t="shared" si="3"/>
        <v>0.34985216417757559</v>
      </c>
      <c r="U44" s="457"/>
    </row>
    <row r="45" spans="1:21" s="361" customFormat="1">
      <c r="A45" s="360">
        <v>425</v>
      </c>
      <c r="B45" s="601" t="str">
        <f>+VLOOKUP($A45,Master!$D$29:$G$225,4,FALSE)</f>
        <v>Other Health Care Insurance</v>
      </c>
      <c r="C45" s="602"/>
      <c r="D45" s="602"/>
      <c r="E45" s="602"/>
      <c r="F45" s="602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1188429.7</v>
      </c>
      <c r="S45" s="242">
        <f t="shared" si="4"/>
        <v>11299276.709999999</v>
      </c>
      <c r="T45" s="464">
        <f t="shared" si="3"/>
        <v>0.2314808905414541</v>
      </c>
      <c r="U45" s="457"/>
    </row>
    <row r="46" spans="1:21">
      <c r="A46" s="150">
        <v>43</v>
      </c>
      <c r="B46" s="534" t="str">
        <f>+VLOOKUP($A46,Master!$D$29:$G$225,4,FALSE)</f>
        <v xml:space="preserve">Transfers to Institutions, Individuals, NGO and Public Sector </v>
      </c>
      <c r="C46" s="535"/>
      <c r="D46" s="535"/>
      <c r="E46" s="535"/>
      <c r="F46" s="535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18905972.879999999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29427113.329999998</v>
      </c>
      <c r="S46" s="243">
        <f t="shared" si="4"/>
        <v>257065984.94</v>
      </c>
      <c r="T46" s="465">
        <f t="shared" si="3"/>
        <v>5.2663426738778609</v>
      </c>
      <c r="U46" s="481"/>
    </row>
    <row r="47" spans="1:21">
      <c r="A47" s="150">
        <v>44</v>
      </c>
      <c r="B47" s="534" t="str">
        <f>+VLOOKUP($A47,Master!$D$29:$G$225,4,FALSE)</f>
        <v>Capital Expenditure</v>
      </c>
      <c r="C47" s="535"/>
      <c r="D47" s="535"/>
      <c r="E47" s="535"/>
      <c r="F47" s="535"/>
      <c r="G47" s="175">
        <v>11603510.130000001</v>
      </c>
      <c r="H47" s="175">
        <v>7242535.6200000001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56838746.07</v>
      </c>
      <c r="S47" s="243">
        <f t="shared" si="4"/>
        <v>204499371.07999998</v>
      </c>
      <c r="T47" s="465">
        <f t="shared" si="3"/>
        <v>4.1894448421527049</v>
      </c>
      <c r="U47" s="481"/>
    </row>
    <row r="48" spans="1:21">
      <c r="A48" s="150">
        <v>451</v>
      </c>
      <c r="B48" s="603" t="str">
        <f>+VLOOKUP($A48,Master!$D$29:$G$225,4,FALSE)</f>
        <v>Credits and Borrowings</v>
      </c>
      <c r="C48" s="604"/>
      <c r="D48" s="604"/>
      <c r="E48" s="604"/>
      <c r="F48" s="604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4">
        <f t="shared" si="3"/>
        <v>2.6950259152275009E-2</v>
      </c>
      <c r="U48" s="481"/>
    </row>
    <row r="49" spans="1:21" s="361" customFormat="1">
      <c r="A49" s="360">
        <v>47</v>
      </c>
      <c r="B49" s="595" t="str">
        <f>+VLOOKUP($A49,Master!$D$29:$G$225,4,FALSE)</f>
        <v>Reserves</v>
      </c>
      <c r="C49" s="596"/>
      <c r="D49" s="596"/>
      <c r="E49" s="596"/>
      <c r="F49" s="596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4">
        <f t="shared" si="3"/>
        <v>1.4592458037817795</v>
      </c>
      <c r="U49" s="481"/>
    </row>
    <row r="50" spans="1:21" ht="13.5" thickBot="1">
      <c r="A50" s="150">
        <v>462</v>
      </c>
      <c r="B50" s="522" t="str">
        <f>+VLOOKUP($A50,Master!$D$29:$G$225,4,FALSE)</f>
        <v>Repayment of Guarantees</v>
      </c>
      <c r="C50" s="523"/>
      <c r="D50" s="523"/>
      <c r="E50" s="523"/>
      <c r="F50" s="523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4">
        <f t="shared" si="3"/>
        <v>0.15797537705119538</v>
      </c>
      <c r="U50" s="481"/>
    </row>
    <row r="51" spans="1:21" ht="13.5" thickBot="1">
      <c r="A51" s="144">
        <v>4630</v>
      </c>
      <c r="B51" s="597" t="str">
        <f>+VLOOKUP($A51,Master!$D$29:$G$225,4,TRUE)</f>
        <v>Repayments of liabilities form the previous period</v>
      </c>
      <c r="C51" s="598"/>
      <c r="D51" s="598"/>
      <c r="E51" s="598"/>
      <c r="F51" s="598"/>
      <c r="G51" s="458">
        <v>1018944.7</v>
      </c>
      <c r="H51" s="458">
        <v>1642283.23</v>
      </c>
      <c r="I51" s="458">
        <v>1493597.85</v>
      </c>
      <c r="J51" s="458">
        <v>1366097.79</v>
      </c>
      <c r="K51" s="458">
        <v>11033574.689999999</v>
      </c>
      <c r="L51" s="458">
        <v>1293176.52</v>
      </c>
      <c r="M51" s="458">
        <v>1500471</v>
      </c>
      <c r="N51" s="458">
        <v>732375.88</v>
      </c>
      <c r="O51" s="458">
        <v>977597.05</v>
      </c>
      <c r="P51" s="458">
        <v>805119.83</v>
      </c>
      <c r="Q51" s="458">
        <v>1443057.19</v>
      </c>
      <c r="R51" s="459">
        <v>2879299.06</v>
      </c>
      <c r="S51" s="425">
        <f>+SUM(G51:R51)</f>
        <v>26185594.789999999</v>
      </c>
      <c r="T51" s="468">
        <f t="shared" si="3"/>
        <v>0.53644715116874597</v>
      </c>
      <c r="U51" s="481"/>
    </row>
    <row r="52" spans="1:21" ht="13.5" thickBot="1">
      <c r="A52" s="70">
        <v>1005</v>
      </c>
      <c r="B52" s="599" t="str">
        <f>+VLOOKUP($A52,Master!$D$29:$G$227,4,FALSE)</f>
        <v>Net increase of liabilities</v>
      </c>
      <c r="C52" s="600"/>
      <c r="D52" s="600"/>
      <c r="E52" s="600"/>
      <c r="F52" s="600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9">
        <f t="shared" si="3"/>
        <v>0</v>
      </c>
      <c r="U52" s="482"/>
    </row>
    <row r="53" spans="1:21" ht="13.5" thickBot="1">
      <c r="A53" s="144">
        <v>1000</v>
      </c>
      <c r="B53" s="528" t="str">
        <f>+VLOOKUP($A53,Master!$D$29:$G$225,4,FALSE)</f>
        <v>Surplus / deficit</v>
      </c>
      <c r="C53" s="529"/>
      <c r="D53" s="529"/>
      <c r="E53" s="529"/>
      <c r="F53" s="529"/>
      <c r="G53" s="151">
        <f t="shared" ref="G53:R53" si="9">+G10-G29</f>
        <v>-38751674.929999992</v>
      </c>
      <c r="H53" s="151">
        <f t="shared" si="9"/>
        <v>-54221110.310000017</v>
      </c>
      <c r="I53" s="151">
        <f t="shared" si="9"/>
        <v>-10252757.430000007</v>
      </c>
      <c r="J53" s="151">
        <f t="shared" si="9"/>
        <v>-40135059.879999995</v>
      </c>
      <c r="K53" s="151">
        <f t="shared" si="9"/>
        <v>-19547177.669999987</v>
      </c>
      <c r="L53" s="151">
        <f t="shared" si="9"/>
        <v>3011570.1600000262</v>
      </c>
      <c r="M53" s="151">
        <f t="shared" si="9"/>
        <v>40532365.199999988</v>
      </c>
      <c r="N53" s="151">
        <f t="shared" si="9"/>
        <v>60862718.929999992</v>
      </c>
      <c r="O53" s="151">
        <f t="shared" si="9"/>
        <v>-6769565.7300000191</v>
      </c>
      <c r="P53" s="151">
        <f t="shared" si="9"/>
        <v>2782732.3500000238</v>
      </c>
      <c r="Q53" s="151">
        <f t="shared" si="9"/>
        <v>-13577897.639999986</v>
      </c>
      <c r="R53" s="151">
        <f t="shared" si="9"/>
        <v>-24135819.5</v>
      </c>
      <c r="S53" s="248">
        <f t="shared" si="4"/>
        <v>-100201676.44999997</v>
      </c>
      <c r="T53" s="470">
        <f t="shared" si="3"/>
        <v>-2.0527661985536634</v>
      </c>
    </row>
    <row r="54" spans="1:21" ht="13.5" thickBot="1">
      <c r="A54" s="144">
        <v>1001</v>
      </c>
      <c r="B54" s="530" t="str">
        <f>+VLOOKUP($A54,Master!$D$29:$G$225,4,FALSE)</f>
        <v>Primary surplus/deficit</v>
      </c>
      <c r="C54" s="531"/>
      <c r="D54" s="531"/>
      <c r="E54" s="531"/>
      <c r="F54" s="531"/>
      <c r="G54" s="205">
        <f t="shared" ref="G54:R54" si="10">+G53+G36</f>
        <v>-31174189.859999992</v>
      </c>
      <c r="H54" s="205">
        <f t="shared" si="10"/>
        <v>-52256919.930000015</v>
      </c>
      <c r="I54" s="205">
        <f t="shared" si="10"/>
        <v>4535225.1399999931</v>
      </c>
      <c r="J54" s="205">
        <f t="shared" si="10"/>
        <v>-17366547.919999994</v>
      </c>
      <c r="K54" s="205">
        <f t="shared" si="10"/>
        <v>-12846876.829999987</v>
      </c>
      <c r="L54" s="205">
        <f t="shared" si="10"/>
        <v>8301624.5900000259</v>
      </c>
      <c r="M54" s="205">
        <f t="shared" si="10"/>
        <v>45069136.419999987</v>
      </c>
      <c r="N54" s="205">
        <f t="shared" si="10"/>
        <v>62519192.749999993</v>
      </c>
      <c r="O54" s="205">
        <f t="shared" si="10"/>
        <v>7481482.0899999812</v>
      </c>
      <c r="P54" s="205">
        <f t="shared" si="10"/>
        <v>4040647.5000000237</v>
      </c>
      <c r="Q54" s="205">
        <f t="shared" si="10"/>
        <v>-7005325.1399999857</v>
      </c>
      <c r="R54" s="205">
        <f t="shared" si="10"/>
        <v>2559776.9200000018</v>
      </c>
      <c r="S54" s="248">
        <f t="shared" si="4"/>
        <v>13857225.730000056</v>
      </c>
      <c r="T54" s="470">
        <f t="shared" si="3"/>
        <v>0.28388391883309888</v>
      </c>
    </row>
    <row r="55" spans="1:21">
      <c r="A55" s="144">
        <v>46</v>
      </c>
      <c r="B55" s="552" t="str">
        <f>+VLOOKUP($A55,Master!$D$29:$G$225,4,FALSE)</f>
        <v>Repayment of Debt</v>
      </c>
      <c r="C55" s="553"/>
      <c r="D55" s="553"/>
      <c r="E55" s="553"/>
      <c r="F55" s="553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1">
        <f t="shared" si="3"/>
        <v>8.9647723301169773</v>
      </c>
    </row>
    <row r="56" spans="1:21">
      <c r="A56" s="144">
        <v>4611</v>
      </c>
      <c r="B56" s="520" t="str">
        <f>+VLOOKUP($A56,Master!$D$29:$G$225,4,FALSE)</f>
        <v>Repayment of Domestic Debt</v>
      </c>
      <c r="C56" s="521"/>
      <c r="D56" s="521"/>
      <c r="E56" s="521"/>
      <c r="F56" s="521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2">
        <f t="shared" si="3"/>
        <v>1.7476717018007497</v>
      </c>
    </row>
    <row r="57" spans="1:21" ht="13.5" thickBot="1">
      <c r="A57" s="144">
        <v>4612</v>
      </c>
      <c r="B57" s="504" t="str">
        <f>+VLOOKUP($A57,Master!$D$29:$G$225,4,FALSE)</f>
        <v>Repayment of Foreign Debt</v>
      </c>
      <c r="C57" s="505"/>
      <c r="D57" s="505"/>
      <c r="E57" s="505"/>
      <c r="F57" s="505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2">
        <f t="shared" si="3"/>
        <v>7.2171006283162269</v>
      </c>
    </row>
    <row r="58" spans="1:21" ht="13.5" thickBot="1">
      <c r="A58" s="144">
        <v>4418</v>
      </c>
      <c r="B58" s="542" t="str">
        <f>+VLOOKUP($A58,Master!$D$29:$G$225,4,FALSE)</f>
        <v>Capital Expenditure for Securities</v>
      </c>
      <c r="C58" s="543"/>
      <c r="D58" s="543"/>
      <c r="E58" s="543"/>
      <c r="F58" s="543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506343.98</v>
      </c>
      <c r="Q58" s="460">
        <v>0</v>
      </c>
      <c r="R58" s="461">
        <v>0</v>
      </c>
      <c r="S58" s="249">
        <f>SUM(G58:R58)</f>
        <v>506343.98</v>
      </c>
      <c r="T58" s="473">
        <f t="shared" si="3"/>
        <v>1.0373137893593919E-2</v>
      </c>
    </row>
    <row r="59" spans="1:21" ht="13.5" thickBot="1">
      <c r="A59" s="144">
        <v>1002</v>
      </c>
      <c r="B59" s="524" t="str">
        <f>+VLOOKUP($A59,Master!$D$29:$G$225,4,FALSE)</f>
        <v>Financing needs</v>
      </c>
      <c r="C59" s="525"/>
      <c r="D59" s="525"/>
      <c r="E59" s="525"/>
      <c r="F59" s="525"/>
      <c r="G59" s="217">
        <f>+G53-G55-G58</f>
        <v>-62082443.749999993</v>
      </c>
      <c r="H59" s="217">
        <f t="shared" ref="H59:R59" si="12">+H53-H55-H58</f>
        <v>-78476131.660000026</v>
      </c>
      <c r="I59" s="217">
        <f t="shared" si="12"/>
        <v>-249036528.67000002</v>
      </c>
      <c r="J59" s="217">
        <f t="shared" si="12"/>
        <v>-72988523.139999986</v>
      </c>
      <c r="K59" s="217">
        <f t="shared" si="12"/>
        <v>-35830005.589999989</v>
      </c>
      <c r="L59" s="217">
        <f t="shared" si="12"/>
        <v>-12041313.439999975</v>
      </c>
      <c r="M59" s="217">
        <f t="shared" si="12"/>
        <v>15173690.049999986</v>
      </c>
      <c r="N59" s="217">
        <f t="shared" si="12"/>
        <v>47886667.969999991</v>
      </c>
      <c r="O59" s="217">
        <f t="shared" si="12"/>
        <v>-18105752.220000017</v>
      </c>
      <c r="P59" s="217">
        <f t="shared" si="12"/>
        <v>-5282334.4099999759</v>
      </c>
      <c r="Q59" s="217">
        <f t="shared" si="12"/>
        <v>-31325846.379999988</v>
      </c>
      <c r="R59" s="217">
        <f t="shared" si="12"/>
        <v>-36196930.939999998</v>
      </c>
      <c r="S59" s="251">
        <f t="shared" si="4"/>
        <v>-538305452.18000007</v>
      </c>
      <c r="T59" s="474">
        <f t="shared" si="3"/>
        <v>-11.027911666564236</v>
      </c>
    </row>
    <row r="60" spans="1:21" ht="13.5" thickBot="1">
      <c r="A60" s="144">
        <v>1003</v>
      </c>
      <c r="B60" s="526" t="str">
        <f>+VLOOKUP($A60,Master!$D$29:$G$225,4,FALSE)</f>
        <v>Financing</v>
      </c>
      <c r="C60" s="527"/>
      <c r="D60" s="527"/>
      <c r="E60" s="527"/>
      <c r="F60" s="527"/>
      <c r="G60" s="151">
        <f>+SUM(G61:G64)</f>
        <v>62082443.749999993</v>
      </c>
      <c r="H60" s="151">
        <f t="shared" ref="H60:R60" si="13">+SUM(H61:H64)</f>
        <v>78476131.660000026</v>
      </c>
      <c r="I60" s="151">
        <f t="shared" si="13"/>
        <v>249036528.67000002</v>
      </c>
      <c r="J60" s="151">
        <f t="shared" si="13"/>
        <v>72988523.139999986</v>
      </c>
      <c r="K60" s="151">
        <f t="shared" si="13"/>
        <v>35830005.589999989</v>
      </c>
      <c r="L60" s="151">
        <f t="shared" si="13"/>
        <v>12041313.439999975</v>
      </c>
      <c r="M60" s="151">
        <f t="shared" si="13"/>
        <v>-15173690.049999986</v>
      </c>
      <c r="N60" s="151">
        <f t="shared" si="13"/>
        <v>-47886667.969999991</v>
      </c>
      <c r="O60" s="151">
        <f t="shared" si="13"/>
        <v>18105752.220000017</v>
      </c>
      <c r="P60" s="151">
        <f t="shared" si="13"/>
        <v>5282334.4099999759</v>
      </c>
      <c r="Q60" s="151">
        <f t="shared" si="13"/>
        <v>31325846.379999988</v>
      </c>
      <c r="R60" s="151">
        <f t="shared" si="13"/>
        <v>36196930.939999998</v>
      </c>
      <c r="S60" s="252">
        <f t="shared" si="4"/>
        <v>538305452.18000007</v>
      </c>
      <c r="T60" s="475">
        <f t="shared" si="3"/>
        <v>11.027911666564236</v>
      </c>
    </row>
    <row r="61" spans="1:21">
      <c r="A61" s="144">
        <v>7511</v>
      </c>
      <c r="B61" s="520" t="str">
        <f>+VLOOKUP($A61,Master!$D$29:$G$225,4,FALSE)</f>
        <v>Domestic Loans and Borrowings</v>
      </c>
      <c r="C61" s="521"/>
      <c r="D61" s="521"/>
      <c r="E61" s="521"/>
      <c r="F61" s="521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8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04" t="str">
        <f>+VLOOKUP($A62,Master!$D$29:$G$225,4,FALSE)</f>
        <v>Foreign Loans and Borrowings</v>
      </c>
      <c r="C62" s="505"/>
      <c r="D62" s="505"/>
      <c r="E62" s="505"/>
      <c r="F62" s="505"/>
      <c r="G62" s="211">
        <v>8076079.9500000002</v>
      </c>
      <c r="H62" s="211">
        <v>4169340.21</v>
      </c>
      <c r="I62" s="211">
        <v>1856107.06</v>
      </c>
      <c r="J62" s="211">
        <v>15210844.41</v>
      </c>
      <c r="K62" s="211">
        <v>3053139.49</v>
      </c>
      <c r="L62" s="211">
        <v>34345894.609999999</v>
      </c>
      <c r="M62" s="488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11624768.539999999</v>
      </c>
      <c r="R62" s="211">
        <v>1658229.03</v>
      </c>
      <c r="S62" s="250">
        <f t="shared" si="4"/>
        <v>106040276.08000001</v>
      </c>
      <c r="T62" s="472">
        <f t="shared" si="3"/>
        <v>2.1723777698563911</v>
      </c>
    </row>
    <row r="63" spans="1:21">
      <c r="A63" s="144">
        <v>72</v>
      </c>
      <c r="B63" s="504" t="str">
        <f>+VLOOKUP($A63,Master!$D$29:$G$225,4,FALSE)</f>
        <v>Revenues from Selling Assets</v>
      </c>
      <c r="C63" s="505"/>
      <c r="D63" s="505"/>
      <c r="E63" s="505"/>
      <c r="F63" s="505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8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2">
        <f t="shared" si="3"/>
        <v>9.1237544096859455E-2</v>
      </c>
    </row>
    <row r="64" spans="1:21" ht="13.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225">
        <f>-G59-SUM(G61:G63)</f>
        <v>53971615.18999999</v>
      </c>
      <c r="H64" s="225">
        <f t="shared" ref="H64:R64" si="14">-H59-SUM(H61:H63)</f>
        <v>74277223.12000002</v>
      </c>
      <c r="I64" s="225">
        <f t="shared" si="14"/>
        <v>247128257.22000003</v>
      </c>
      <c r="J64" s="225">
        <f t="shared" si="14"/>
        <v>57738426.759999983</v>
      </c>
      <c r="K64" s="225">
        <f t="shared" si="14"/>
        <v>32479714.52999999</v>
      </c>
      <c r="L64" s="225">
        <f t="shared" si="14"/>
        <v>-22521260.370000027</v>
      </c>
      <c r="M64" s="225">
        <f t="shared" si="14"/>
        <v>-20734432.319999985</v>
      </c>
      <c r="N64" s="225">
        <f t="shared" si="14"/>
        <v>-53863498.889999993</v>
      </c>
      <c r="O64" s="225">
        <f t="shared" si="14"/>
        <v>10457249.770000018</v>
      </c>
      <c r="P64" s="225">
        <f t="shared" si="14"/>
        <v>-2451078.8800000241</v>
      </c>
      <c r="Q64" s="225">
        <f t="shared" si="14"/>
        <v>19596905.559999987</v>
      </c>
      <c r="R64" s="225">
        <f t="shared" si="14"/>
        <v>31732476.169999998</v>
      </c>
      <c r="S64" s="253">
        <f>+SUM(G64:R64)</f>
        <v>427811597.86000007</v>
      </c>
      <c r="T64" s="476">
        <f t="shared" si="3"/>
        <v>8.7642963526109874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84" t="str">
        <f>+Master!G252</f>
        <v>Planned Budget Execution</v>
      </c>
      <c r="C81" s="585"/>
      <c r="D81" s="585"/>
      <c r="E81" s="585"/>
      <c r="F81" s="585"/>
      <c r="G81" s="592">
        <v>2021</v>
      </c>
      <c r="H81" s="593"/>
      <c r="I81" s="593"/>
      <c r="J81" s="593"/>
      <c r="K81" s="593"/>
      <c r="L81" s="593"/>
      <c r="M81" s="593"/>
      <c r="N81" s="593"/>
      <c r="O81" s="593"/>
      <c r="P81" s="593"/>
      <c r="Q81" s="593"/>
      <c r="R81" s="594"/>
      <c r="S81" s="107" t="str">
        <f>+S7</f>
        <v>GDP</v>
      </c>
      <c r="T81" s="108">
        <v>4636600000</v>
      </c>
    </row>
    <row r="82" spans="1:21" ht="15.75" customHeight="1">
      <c r="B82" s="586"/>
      <c r="C82" s="587"/>
      <c r="D82" s="587"/>
      <c r="E82" s="587"/>
      <c r="F82" s="588"/>
      <c r="G82" s="71" t="str">
        <f t="shared" ref="G82:R82" si="16">+G8</f>
        <v>January</v>
      </c>
      <c r="H82" s="71" t="str">
        <f t="shared" si="16"/>
        <v>February</v>
      </c>
      <c r="I82" s="71" t="str">
        <f t="shared" si="16"/>
        <v>March</v>
      </c>
      <c r="J82" s="71" t="str">
        <f t="shared" si="16"/>
        <v>April</v>
      </c>
      <c r="K82" s="71" t="str">
        <f t="shared" si="16"/>
        <v>May</v>
      </c>
      <c r="L82" s="71" t="str">
        <f t="shared" si="16"/>
        <v>June</v>
      </c>
      <c r="M82" s="71" t="str">
        <f t="shared" si="16"/>
        <v>July</v>
      </c>
      <c r="N82" s="71" t="str">
        <f t="shared" si="16"/>
        <v>August</v>
      </c>
      <c r="O82" s="71" t="str">
        <f t="shared" si="16"/>
        <v>September</v>
      </c>
      <c r="P82" s="71" t="str">
        <f t="shared" si="16"/>
        <v>October</v>
      </c>
      <c r="Q82" s="71" t="str">
        <f t="shared" si="16"/>
        <v>November</v>
      </c>
      <c r="R82" s="71" t="str">
        <f t="shared" si="16"/>
        <v>December</v>
      </c>
      <c r="S82" s="592" t="str">
        <f>+Master!G246</f>
        <v>Jan - Dec</v>
      </c>
      <c r="T82" s="594">
        <f>+T8</f>
        <v>0</v>
      </c>
    </row>
    <row r="83" spans="1:21" ht="13.5" thickBot="1">
      <c r="B83" s="589"/>
      <c r="C83" s="590"/>
      <c r="D83" s="590"/>
      <c r="E83" s="590"/>
      <c r="F83" s="591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GDP</v>
      </c>
    </row>
    <row r="84" spans="1:21" ht="13.5" thickBot="1">
      <c r="A84" s="116" t="str">
        <f t="shared" ref="A84:A115" si="17">+CONCATENATE(A10,"p")</f>
        <v>7p</v>
      </c>
      <c r="B84" s="580" t="str">
        <f>+VLOOKUP(LEFT($A84,LEN(A84)-1)*1,Master!$D$29:$G$225,4,FALSE)</f>
        <v>Total Revenues</v>
      </c>
      <c r="C84" s="581"/>
      <c r="D84" s="581"/>
      <c r="E84" s="581"/>
      <c r="F84" s="581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3">
        <f>+SUM(G84:R84)</f>
        <v>1880205845.3399</v>
      </c>
      <c r="T84" s="477">
        <f>+S84/$T$81*100</f>
        <v>40.551392083421042</v>
      </c>
      <c r="U84" s="257"/>
    </row>
    <row r="85" spans="1:21">
      <c r="A85" s="116" t="str">
        <f t="shared" si="17"/>
        <v>711p</v>
      </c>
      <c r="B85" s="582" t="str">
        <f>+VLOOKUP(LEFT($A85,LEN(A85)-1)*1,Master!$D$29:$G$225,4,FALSE)</f>
        <v>Taxes</v>
      </c>
      <c r="C85" s="583"/>
      <c r="D85" s="583"/>
      <c r="E85" s="583"/>
      <c r="F85" s="583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3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70" t="str">
        <f>+VLOOKUP(LEFT($A86,LEN(A86)-1)*1,Master!$D$29:$G$228,4,FALSE)</f>
        <v>Personal Income Tax</v>
      </c>
      <c r="C86" s="571"/>
      <c r="D86" s="571"/>
      <c r="E86" s="571"/>
      <c r="F86" s="571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4">
        <f t="shared" si="21"/>
        <v>3.342095146967782</v>
      </c>
    </row>
    <row r="87" spans="1:21">
      <c r="A87" s="116" t="str">
        <f t="shared" si="17"/>
        <v>7112p</v>
      </c>
      <c r="B87" s="570" t="str">
        <f>+VLOOKUP(LEFT($A87,LEN(A87)-1)*1,Master!$D$29:$G$228,4,FALSE)</f>
        <v>Corporate Income Tax</v>
      </c>
      <c r="C87" s="571"/>
      <c r="D87" s="571"/>
      <c r="E87" s="571"/>
      <c r="F87" s="571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4">
        <f t="shared" si="21"/>
        <v>1.2943922881014109</v>
      </c>
    </row>
    <row r="88" spans="1:21">
      <c r="A88" s="116" t="str">
        <f t="shared" si="17"/>
        <v>7113p</v>
      </c>
      <c r="B88" s="570" t="str">
        <f>+VLOOKUP(LEFT($A88,LEN(A88)-1)*1,Master!$D$29:$G$228,4,FALSE)</f>
        <v xml:space="preserve">Taxes on Sales of Property </v>
      </c>
      <c r="C88" s="571"/>
      <c r="D88" s="571"/>
      <c r="E88" s="571"/>
      <c r="F88" s="571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4">
        <f t="shared" si="21"/>
        <v>3.4703770606910232E-2</v>
      </c>
    </row>
    <row r="89" spans="1:21">
      <c r="A89" s="116" t="str">
        <f t="shared" si="17"/>
        <v>7114p</v>
      </c>
      <c r="B89" s="570" t="str">
        <f>+VLOOKUP(LEFT($A89,LEN(A89)-1)*1,Master!$D$29:$G$228,4,FALSE)</f>
        <v>Value Added Tax</v>
      </c>
      <c r="C89" s="571"/>
      <c r="D89" s="571"/>
      <c r="E89" s="571"/>
      <c r="F89" s="571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4">
        <f t="shared" si="21"/>
        <v>13.195240452948015</v>
      </c>
    </row>
    <row r="90" spans="1:21">
      <c r="A90" s="116" t="str">
        <f t="shared" si="17"/>
        <v>7115p</v>
      </c>
      <c r="B90" s="570" t="str">
        <f>+VLOOKUP(LEFT($A90,LEN(A90)-1)*1,Master!$D$29:$G$228,4,FALSE)</f>
        <v>Excises</v>
      </c>
      <c r="C90" s="571"/>
      <c r="D90" s="571"/>
      <c r="E90" s="571"/>
      <c r="F90" s="571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4">
        <f t="shared" si="21"/>
        <v>5.1970907056571622</v>
      </c>
    </row>
    <row r="91" spans="1:21">
      <c r="A91" s="116" t="str">
        <f t="shared" si="17"/>
        <v>7116p</v>
      </c>
      <c r="B91" s="570" t="str">
        <f>+VLOOKUP(LEFT($A91,LEN(A91)-1)*1,Master!$D$29:$G$228,4,FALSE)</f>
        <v>Tax on International Trade and Transactions</v>
      </c>
      <c r="C91" s="571"/>
      <c r="D91" s="571"/>
      <c r="E91" s="571"/>
      <c r="F91" s="571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4">
        <f t="shared" si="21"/>
        <v>0.53454626393521121</v>
      </c>
    </row>
    <row r="92" spans="1:21">
      <c r="A92" s="116" t="str">
        <f t="shared" si="17"/>
        <v>7118p</v>
      </c>
      <c r="B92" s="570" t="str">
        <f>+VLOOKUP(LEFT($A92,LEN(A92)-1)*1,Master!$D$29:$G$228,4,FALSE)</f>
        <v>Other Republic Taxes</v>
      </c>
      <c r="C92" s="571"/>
      <c r="D92" s="571"/>
      <c r="E92" s="571"/>
      <c r="F92" s="571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4">
        <f t="shared" si="21"/>
        <v>0.23596029916404263</v>
      </c>
    </row>
    <row r="93" spans="1:21">
      <c r="A93" s="116" t="str">
        <f t="shared" si="17"/>
        <v>712p</v>
      </c>
      <c r="B93" s="578" t="str">
        <f>+VLOOKUP(LEFT($A93,LEN(A93)-1)*1,Master!$D$29:$G$228,4,FALSE)</f>
        <v>Contributions</v>
      </c>
      <c r="C93" s="579"/>
      <c r="D93" s="579"/>
      <c r="E93" s="579"/>
      <c r="F93" s="579"/>
      <c r="G93" s="81">
        <f>+SUM(G94:G97)</f>
        <v>16292817.308185648</v>
      </c>
      <c r="H93" s="81">
        <f t="shared" ref="H93:R93" si="22">+SUM(H94:H97)</f>
        <v>41389656.549846224</v>
      </c>
      <c r="I93" s="480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5">
        <f t="shared" si="21"/>
        <v>12.548878564749469</v>
      </c>
    </row>
    <row r="94" spans="1:21">
      <c r="A94" s="116" t="str">
        <f t="shared" si="17"/>
        <v>7121p</v>
      </c>
      <c r="B94" s="570" t="str">
        <f>+VLOOKUP(LEFT($A94,LEN(A94)-1)*1,Master!$D$29:$G$228,4,FALSE)</f>
        <v>Contributions for Pension and Disability Insurance</v>
      </c>
      <c r="C94" s="571"/>
      <c r="D94" s="571"/>
      <c r="E94" s="571"/>
      <c r="F94" s="571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4">
        <f t="shared" si="21"/>
        <v>7.8081986886007</v>
      </c>
    </row>
    <row r="95" spans="1:21">
      <c r="A95" s="116" t="str">
        <f t="shared" si="17"/>
        <v>7122p</v>
      </c>
      <c r="B95" s="570" t="str">
        <f>+VLOOKUP(LEFT($A95,LEN(A95)-1)*1,Master!$D$29:$G$228,4,FALSE)</f>
        <v>Contributions for Health Insurance</v>
      </c>
      <c r="C95" s="571"/>
      <c r="D95" s="571"/>
      <c r="E95" s="571"/>
      <c r="F95" s="571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4">
        <f t="shared" si="21"/>
        <v>4.0418037813006764</v>
      </c>
    </row>
    <row r="96" spans="1:21">
      <c r="A96" s="116" t="str">
        <f t="shared" si="17"/>
        <v>7123p</v>
      </c>
      <c r="B96" s="570" t="str">
        <f>+VLOOKUP(LEFT($A96,LEN(A96)-1)*1,Master!$D$29:$G$228,4,FALSE)</f>
        <v>Contributions for  Unemployment Insurance</v>
      </c>
      <c r="C96" s="571"/>
      <c r="D96" s="571"/>
      <c r="E96" s="571"/>
      <c r="F96" s="571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4">
        <f t="shared" si="21"/>
        <v>0.37739904074144265</v>
      </c>
    </row>
    <row r="97" spans="1:23">
      <c r="A97" s="116" t="str">
        <f t="shared" si="17"/>
        <v>7124p</v>
      </c>
      <c r="B97" s="570" t="str">
        <f>+VLOOKUP(LEFT($A97,LEN(A97)-1)*1,Master!$D$29:$G$228,4,FALSE)</f>
        <v>Other contributions</v>
      </c>
      <c r="C97" s="571"/>
      <c r="D97" s="571"/>
      <c r="E97" s="571"/>
      <c r="F97" s="571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4">
        <f t="shared" si="21"/>
        <v>0.32147705410665273</v>
      </c>
    </row>
    <row r="98" spans="1:23">
      <c r="A98" s="116" t="str">
        <f t="shared" si="17"/>
        <v>713p</v>
      </c>
      <c r="B98" s="576" t="str">
        <f>+VLOOKUP(LEFT($A98,LEN(A98)-1)*1,Master!$D$29:$G$228,4,FALSE)</f>
        <v>Duties</v>
      </c>
      <c r="C98" s="577"/>
      <c r="D98" s="577"/>
      <c r="E98" s="577"/>
      <c r="F98" s="577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5">
        <f t="shared" si="21"/>
        <v>0.27557339372126122</v>
      </c>
    </row>
    <row r="99" spans="1:23">
      <c r="A99" s="116" t="str">
        <f t="shared" si="17"/>
        <v>714p</v>
      </c>
      <c r="B99" s="576" t="str">
        <f>+VLOOKUP(LEFT($A99,LEN(A99)-1)*1,Master!$D$29:$G$228,4,FALSE)</f>
        <v>Fees</v>
      </c>
      <c r="C99" s="577"/>
      <c r="D99" s="577"/>
      <c r="E99" s="577"/>
      <c r="F99" s="577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5">
        <f t="shared" si="21"/>
        <v>0.87442029964197865</v>
      </c>
    </row>
    <row r="100" spans="1:23">
      <c r="A100" s="116" t="str">
        <f t="shared" si="17"/>
        <v>715p</v>
      </c>
      <c r="B100" s="576" t="str">
        <f>+VLOOKUP(LEFT($A100,LEN(A100)-1)*1,Master!$D$29:$G$228,4,FALSE)</f>
        <v>Other revenues</v>
      </c>
      <c r="C100" s="577"/>
      <c r="D100" s="577"/>
      <c r="E100" s="577"/>
      <c r="F100" s="577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5">
        <f t="shared" si="21"/>
        <v>1.4196769637950202</v>
      </c>
    </row>
    <row r="101" spans="1:23">
      <c r="A101" s="116" t="str">
        <f t="shared" si="17"/>
        <v>73p</v>
      </c>
      <c r="B101" s="576" t="str">
        <f>+VLOOKUP(LEFT($A101,LEN(A101)-1)*1,Master!$D$29:$G$228,4,FALSE)</f>
        <v>Receipts from Repayment of Loans and Funds Carried over from Previous Year</v>
      </c>
      <c r="C101" s="577"/>
      <c r="D101" s="577"/>
      <c r="E101" s="577"/>
      <c r="F101" s="577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5">
        <f t="shared" si="21"/>
        <v>0.19907921041280252</v>
      </c>
    </row>
    <row r="102" spans="1:23" ht="13.5" thickBot="1">
      <c r="A102" s="116" t="str">
        <f t="shared" si="17"/>
        <v>74p</v>
      </c>
      <c r="B102" s="572" t="str">
        <f>+VLOOKUP(LEFT($A102,LEN(A102)-1)*1,Master!$D$29:$G$228,4,FALSE)</f>
        <v>Grants and Transfers</v>
      </c>
      <c r="C102" s="573"/>
      <c r="D102" s="573"/>
      <c r="E102" s="573"/>
      <c r="F102" s="573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6">
        <f t="shared" si="21"/>
        <v>1.3997347237199673</v>
      </c>
    </row>
    <row r="103" spans="1:23" ht="13.5" thickBot="1">
      <c r="A103" s="116" t="str">
        <f t="shared" si="17"/>
        <v>4p</v>
      </c>
      <c r="B103" s="554" t="str">
        <f>+VLOOKUP(LEFT($A103,LEN(A103)-1)*1,Master!$D$29:$G$228,4,FALSE)</f>
        <v>Total Expenditures</v>
      </c>
      <c r="C103" s="555"/>
      <c r="D103" s="555"/>
      <c r="E103" s="555"/>
      <c r="F103" s="555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1">
        <f>+SUM(G103:R103)</f>
        <v>2055535193.0642829</v>
      </c>
      <c r="T103" s="478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74" t="str">
        <f>+VLOOKUP(LEFT($A104,LEN(A104)-1)*1,Master!$D$29:$G$228,4,FALSE)</f>
        <v>Current Expenditures</v>
      </c>
      <c r="C104" s="575"/>
      <c r="D104" s="575"/>
      <c r="E104" s="575"/>
      <c r="F104" s="575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3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70" t="str">
        <f>+VLOOKUP(LEFT($A105,LEN(A105)-1)*1,Master!$D$29:$G$228,4,FALSE)</f>
        <v>Gross Salaries and Contributions</v>
      </c>
      <c r="C105" s="571"/>
      <c r="D105" s="571"/>
      <c r="E105" s="571"/>
      <c r="F105" s="571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4">
        <f t="shared" si="21"/>
        <v>11.278641018850019</v>
      </c>
    </row>
    <row r="106" spans="1:23">
      <c r="A106" s="116" t="str">
        <f t="shared" si="17"/>
        <v>412p</v>
      </c>
      <c r="B106" s="570" t="str">
        <f>+VLOOKUP(LEFT($A106,LEN(A106)-1)*1,Master!$D$29:$G$228,4,FALSE)</f>
        <v>Other Personal Income</v>
      </c>
      <c r="C106" s="571"/>
      <c r="D106" s="571"/>
      <c r="E106" s="571"/>
      <c r="F106" s="571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4">
        <f t="shared" si="21"/>
        <v>0.26959439934434715</v>
      </c>
    </row>
    <row r="107" spans="1:23">
      <c r="A107" s="116" t="str">
        <f t="shared" si="17"/>
        <v>413p</v>
      </c>
      <c r="B107" s="570" t="str">
        <f>+VLOOKUP(LEFT($A107,LEN(A107)-1)*1,Master!$D$29:$G$228,4,FALSE)</f>
        <v>Expenditures for Supplies</v>
      </c>
      <c r="C107" s="571"/>
      <c r="D107" s="571"/>
      <c r="E107" s="571"/>
      <c r="F107" s="571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4">
        <f t="shared" si="21"/>
        <v>0.6893019837812191</v>
      </c>
    </row>
    <row r="108" spans="1:23">
      <c r="A108" s="116" t="str">
        <f t="shared" si="17"/>
        <v>414p</v>
      </c>
      <c r="B108" s="570" t="str">
        <f>+VLOOKUP(LEFT($A108,LEN(A108)-1)*1,Master!$D$29:$G$228,4,FALSE)</f>
        <v>Expenditures for Services</v>
      </c>
      <c r="C108" s="571"/>
      <c r="D108" s="571"/>
      <c r="E108" s="571"/>
      <c r="F108" s="571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4">
        <f t="shared" si="21"/>
        <v>1.3532731210369666</v>
      </c>
    </row>
    <row r="109" spans="1:23">
      <c r="A109" s="116" t="str">
        <f t="shared" si="17"/>
        <v>415p</v>
      </c>
      <c r="B109" s="570" t="str">
        <f>+VLOOKUP(LEFT($A109,LEN(A109)-1)*1,Master!$D$29:$G$228,4,FALSE)</f>
        <v>Current Maintenance</v>
      </c>
      <c r="C109" s="571"/>
      <c r="D109" s="571"/>
      <c r="E109" s="571"/>
      <c r="F109" s="571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4">
        <f t="shared" si="21"/>
        <v>0.50341789889142918</v>
      </c>
    </row>
    <row r="110" spans="1:23">
      <c r="A110" s="116" t="str">
        <f t="shared" si="17"/>
        <v>416p</v>
      </c>
      <c r="B110" s="570" t="str">
        <f>+VLOOKUP(LEFT($A110,LEN(A110)-1)*1,Master!$D$29:$G$228,4,FALSE)</f>
        <v>Interests</v>
      </c>
      <c r="C110" s="571"/>
      <c r="D110" s="571"/>
      <c r="E110" s="571"/>
      <c r="F110" s="571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4">
        <f t="shared" si="21"/>
        <v>2.4387566176569671</v>
      </c>
    </row>
    <row r="111" spans="1:23">
      <c r="A111" s="116" t="str">
        <f t="shared" si="17"/>
        <v>417p</v>
      </c>
      <c r="B111" s="570" t="str">
        <f>+VLOOKUP(LEFT($A111,LEN(A111)-1)*1,Master!$D$29:$G$228,4,FALSE)</f>
        <v>Rent</v>
      </c>
      <c r="C111" s="571"/>
      <c r="D111" s="571"/>
      <c r="E111" s="571"/>
      <c r="F111" s="571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4">
        <f t="shared" si="21"/>
        <v>0.23455438597247985</v>
      </c>
    </row>
    <row r="112" spans="1:23">
      <c r="A112" s="116" t="str">
        <f t="shared" si="17"/>
        <v>418p</v>
      </c>
      <c r="B112" s="570" t="str">
        <f>+VLOOKUP(LEFT($A112,LEN(A112)-1)*1,Master!$D$29:$G$228,4,FALSE)</f>
        <v>Subsidies</v>
      </c>
      <c r="C112" s="571"/>
      <c r="D112" s="571"/>
      <c r="E112" s="571"/>
      <c r="F112" s="571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4">
        <f t="shared" si="21"/>
        <v>1.095014621489885</v>
      </c>
    </row>
    <row r="113" spans="1:22">
      <c r="A113" s="116" t="str">
        <f t="shared" si="17"/>
        <v>419p</v>
      </c>
      <c r="B113" s="570" t="str">
        <f>+VLOOKUP(LEFT($A113,LEN(A113)-1)*1,Master!$D$29:$G$228,4,FALSE)</f>
        <v>Other expenditures</v>
      </c>
      <c r="C113" s="571"/>
      <c r="D113" s="571"/>
      <c r="E113" s="571"/>
      <c r="F113" s="571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4">
        <f t="shared" si="21"/>
        <v>0.97937629944355764</v>
      </c>
    </row>
    <row r="114" spans="1:22">
      <c r="A114" s="116" t="str">
        <f t="shared" si="17"/>
        <v>42p</v>
      </c>
      <c r="B114" s="566" t="str">
        <f>+VLOOKUP(LEFT($A114,LEN(A114)-1)*1,Master!$D$29:$G$228,4,FALSE)</f>
        <v>Social Security Transfers</v>
      </c>
      <c r="C114" s="567"/>
      <c r="D114" s="567"/>
      <c r="E114" s="567"/>
      <c r="F114" s="567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5">
        <f t="shared" si="21"/>
        <v>12.924380405253846</v>
      </c>
    </row>
    <row r="115" spans="1:22">
      <c r="A115" s="116" t="str">
        <f t="shared" si="17"/>
        <v>421p</v>
      </c>
      <c r="B115" s="570" t="str">
        <f>+VLOOKUP(LEFT($A115,LEN(A115)-1)*1,Master!$D$29:$G$228,4,FALSE)</f>
        <v>Social Security</v>
      </c>
      <c r="C115" s="571"/>
      <c r="D115" s="571"/>
      <c r="E115" s="571"/>
      <c r="F115" s="571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4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70" t="str">
        <f>+VLOOKUP(LEFT($A116,LEN(A116)-1)*1,Master!$D$29:$G$228,4,FALSE)</f>
        <v>Funds for redundant labor</v>
      </c>
      <c r="C116" s="571"/>
      <c r="D116" s="571"/>
      <c r="E116" s="571"/>
      <c r="F116" s="571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4">
        <f t="shared" si="21"/>
        <v>0.40028421558900928</v>
      </c>
    </row>
    <row r="117" spans="1:22">
      <c r="A117" s="116" t="str">
        <f t="shared" si="26"/>
        <v>423p</v>
      </c>
      <c r="B117" s="570" t="str">
        <f>+VLOOKUP(LEFT($A117,LEN(A117)-1)*1,Master!$D$29:$G$228,4,FALSE)</f>
        <v>Pension and Disability Insurance</v>
      </c>
      <c r="C117" s="571"/>
      <c r="D117" s="571"/>
      <c r="E117" s="571"/>
      <c r="F117" s="571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4">
        <f t="shared" si="21"/>
        <v>9.6073360637104752</v>
      </c>
    </row>
    <row r="118" spans="1:22">
      <c r="A118" s="116" t="str">
        <f t="shared" si="26"/>
        <v>424p</v>
      </c>
      <c r="B118" s="570" t="str">
        <f>+VLOOKUP(LEFT($A118,LEN(A118)-1)*1,Master!$D$29:$G$228,4,FALSE)</f>
        <v>Other Health Care Transfers</v>
      </c>
      <c r="C118" s="571"/>
      <c r="D118" s="571"/>
      <c r="E118" s="571"/>
      <c r="F118" s="571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4">
        <f t="shared" si="21"/>
        <v>0.32998317732821458</v>
      </c>
    </row>
    <row r="119" spans="1:22">
      <c r="A119" s="116" t="str">
        <f t="shared" si="26"/>
        <v>425p</v>
      </c>
      <c r="B119" s="570" t="str">
        <f>+VLOOKUP(LEFT($A119,LEN(A119)-1)*1,Master!$D$29:$G$228,4,FALSE)</f>
        <v>Other Health Care Insurance</v>
      </c>
      <c r="C119" s="571"/>
      <c r="D119" s="571"/>
      <c r="E119" s="571"/>
      <c r="F119" s="571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4">
        <f t="shared" si="21"/>
        <v>0.24802657119440971</v>
      </c>
    </row>
    <row r="120" spans="1:22">
      <c r="A120" s="116" t="str">
        <f t="shared" si="26"/>
        <v>43p</v>
      </c>
      <c r="B120" s="568" t="str">
        <f>+VLOOKUP(LEFT($A120,LEN(A120)-1)*1,Master!$D$29:$G$228,4,FALSE)</f>
        <v xml:space="preserve">Transfers to Institutions, Individuals, NGO and Public Sector </v>
      </c>
      <c r="C120" s="569"/>
      <c r="D120" s="569"/>
      <c r="E120" s="569"/>
      <c r="F120" s="569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5">
        <f t="shared" si="21"/>
        <v>5.6085441784928598</v>
      </c>
    </row>
    <row r="121" spans="1:22">
      <c r="A121" s="116" t="str">
        <f t="shared" si="26"/>
        <v>44p</v>
      </c>
      <c r="B121" s="568" t="str">
        <f>+VLOOKUP(LEFT($A121,LEN(A121)-1)*1,Master!$D$29:$G$228,4,FALSE)</f>
        <v>Capital Expenditure</v>
      </c>
      <c r="C121" s="569"/>
      <c r="D121" s="569"/>
      <c r="E121" s="569"/>
      <c r="F121" s="569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5">
        <f t="shared" si="21"/>
        <v>5.0803331212526421</v>
      </c>
    </row>
    <row r="122" spans="1:22">
      <c r="A122" s="116" t="str">
        <f t="shared" si="26"/>
        <v>451p</v>
      </c>
      <c r="B122" s="560" t="str">
        <f>+VLOOKUP(LEFT($A122,LEN(A122)-1)*1,Master!$D$29:$G$228,4,FALSE)</f>
        <v>Credits and Borrowings</v>
      </c>
      <c r="C122" s="561"/>
      <c r="D122" s="561"/>
      <c r="E122" s="561"/>
      <c r="F122" s="561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4">
        <f t="shared" si="21"/>
        <v>3.3515959970668155E-2</v>
      </c>
    </row>
    <row r="123" spans="1:22">
      <c r="A123" s="116" t="str">
        <f t="shared" si="26"/>
        <v>47p</v>
      </c>
      <c r="B123" s="560" t="str">
        <f>+VLOOKUP(LEFT($A123,LEN(A123)-1)*1,Master!$D$29:$G$228,4,FALSE)</f>
        <v>Reserves</v>
      </c>
      <c r="C123" s="561"/>
      <c r="D123" s="561"/>
      <c r="E123" s="561"/>
      <c r="F123" s="561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4">
        <f t="shared" si="21"/>
        <v>1.535889466419359</v>
      </c>
    </row>
    <row r="124" spans="1:22">
      <c r="A124" s="116" t="str">
        <f t="shared" si="26"/>
        <v>462p</v>
      </c>
      <c r="B124" s="560" t="str">
        <f>+VLOOKUP(LEFT($A124,LEN(A124)-1)*1,Master!$D$29:$G$228,4,FALSE)</f>
        <v>Repayment of Guarantees</v>
      </c>
      <c r="C124" s="561"/>
      <c r="D124" s="561"/>
      <c r="E124" s="561"/>
      <c r="F124" s="561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4">
        <f t="shared" si="21"/>
        <v>8.3250657809601863E-2</v>
      </c>
    </row>
    <row r="125" spans="1:22">
      <c r="A125" s="117" t="str">
        <f t="shared" si="26"/>
        <v>4630p</v>
      </c>
      <c r="B125" s="560" t="str">
        <f>+VLOOKUP(LEFT($A125,LEN(A125)-1)*1,Master!$D$29:$G$228,4,FALSE)</f>
        <v>Repayments of liabilities form the previous period</v>
      </c>
      <c r="C125" s="561"/>
      <c r="D125" s="561"/>
      <c r="E125" s="561"/>
      <c r="F125" s="561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2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60" t="str">
        <f>+VLOOKUP(LEFT($A126,LEN(A126)-1)*1,Master!$D$29:$G$228,4,FALSE)</f>
        <v>Net increase of liabilities</v>
      </c>
      <c r="C126" s="561"/>
      <c r="D126" s="561"/>
      <c r="E126" s="561"/>
      <c r="F126" s="561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26"/>
        <v>1000p</v>
      </c>
      <c r="B127" s="562" t="str">
        <f>+VLOOKUP(LEFT($A127,LEN(A127)-1)*1,Master!$D$29:$G$225,4,FALSE)</f>
        <v>Surplus / deficit</v>
      </c>
      <c r="C127" s="563"/>
      <c r="D127" s="563"/>
      <c r="E127" s="563"/>
      <c r="F127" s="563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0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564" t="str">
        <f>+VLOOKUP(LEFT($A128,LEN(A128)-1)*1,Master!$D$29:$G$225,4,FALSE)</f>
        <v>Primary surplus/deficit</v>
      </c>
      <c r="C128" s="565"/>
      <c r="D128" s="565"/>
      <c r="E128" s="565"/>
      <c r="F128" s="565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0">
        <f t="shared" si="21"/>
        <v>-1.3426639863283505</v>
      </c>
    </row>
    <row r="129" spans="1:22">
      <c r="A129" s="117" t="str">
        <f t="shared" si="26"/>
        <v>46p</v>
      </c>
      <c r="B129" s="566" t="str">
        <f>+VLOOKUP(LEFT($A129,LEN(A129)-1)*1,Master!$D$29:$G$225,4,FALSE)</f>
        <v>Repayment of Debt</v>
      </c>
      <c r="C129" s="567"/>
      <c r="D129" s="567"/>
      <c r="E129" s="567"/>
      <c r="F129" s="567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6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1">
        <f t="shared" si="21"/>
        <v>9.4014988176105767</v>
      </c>
    </row>
    <row r="130" spans="1:22">
      <c r="A130" s="117" t="str">
        <f t="shared" si="26"/>
        <v>4611p</v>
      </c>
      <c r="B130" s="558" t="str">
        <f>+VLOOKUP(LEFT($A130,LEN(A130)-1)*1,Master!$D$29:$G$225,4,FALSE)</f>
        <v>Repayment of Domestic Debt</v>
      </c>
      <c r="C130" s="559"/>
      <c r="D130" s="559"/>
      <c r="E130" s="559"/>
      <c r="F130" s="559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5">
        <v>294018.01</v>
      </c>
      <c r="N130" s="485">
        <v>1750047.75</v>
      </c>
      <c r="O130" s="485">
        <v>2421267.87</v>
      </c>
      <c r="P130" s="485">
        <v>3875503.62</v>
      </c>
      <c r="Q130" s="485">
        <v>3741551.76</v>
      </c>
      <c r="R130" s="485">
        <v>2536618.6</v>
      </c>
      <c r="S130" s="103">
        <f t="shared" si="20"/>
        <v>85893831.950000018</v>
      </c>
      <c r="T130" s="472">
        <f t="shared" si="21"/>
        <v>1.8525176195919428</v>
      </c>
    </row>
    <row r="131" spans="1:22" ht="13.5" thickBot="1">
      <c r="A131" s="117" t="str">
        <f t="shared" si="26"/>
        <v>4612p</v>
      </c>
      <c r="B131" s="560" t="str">
        <f>+VLOOKUP(LEFT($A131,LEN(A131)-1)*1,Master!$D$29:$G$225,4,FALSE)</f>
        <v>Repayment of Foreign Debt</v>
      </c>
      <c r="C131" s="561"/>
      <c r="D131" s="561"/>
      <c r="E131" s="561"/>
      <c r="F131" s="561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5">
        <v>25464619.924741425</v>
      </c>
      <c r="N131" s="485">
        <v>3126864.3779565003</v>
      </c>
      <c r="O131" s="485">
        <v>11497770.422649164</v>
      </c>
      <c r="P131" s="485">
        <v>3625120.5096505</v>
      </c>
      <c r="Q131" s="485">
        <v>4121213.775667767</v>
      </c>
      <c r="R131" s="485">
        <v>4218746.7266666656</v>
      </c>
      <c r="S131" s="103">
        <f t="shared" si="20"/>
        <v>350016062.22733206</v>
      </c>
      <c r="T131" s="472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54" t="str">
        <f>+VLOOKUP(LEFT($A132,LEN(A132)-1)*1,Master!$D$29:$G$225,4,FALSE)</f>
        <v>Capital Expenditure for Securities</v>
      </c>
      <c r="C132" s="555"/>
      <c r="D132" s="555"/>
      <c r="E132" s="555"/>
      <c r="F132" s="555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9">
        <f t="shared" si="20"/>
        <v>590000</v>
      </c>
      <c r="T132" s="479">
        <f t="shared" si="21"/>
        <v>1.2724841478669716E-2</v>
      </c>
    </row>
    <row r="133" spans="1:22" ht="13.5" thickBot="1">
      <c r="A133" s="117" t="str">
        <f t="shared" si="26"/>
        <v>1002p</v>
      </c>
      <c r="B133" s="556" t="str">
        <f>+VLOOKUP(LEFT($A133,LEN(A133)-1)*1,Master!$D$29:$G$225,4,FALSE)</f>
        <v>Financing needs</v>
      </c>
      <c r="C133" s="557"/>
      <c r="D133" s="557"/>
      <c r="E133" s="557"/>
      <c r="F133" s="557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4">
        <f t="shared" si="21"/>
        <v>-13.195644263074563</v>
      </c>
    </row>
    <row r="134" spans="1:22" ht="13.5" thickBot="1">
      <c r="A134" s="117" t="str">
        <f t="shared" si="26"/>
        <v>1003p</v>
      </c>
      <c r="B134" s="554" t="str">
        <f>+VLOOKUP(LEFT($A134,LEN(A134)-1)*1,Master!$D$29:$G$225,4,FALSE)</f>
        <v>Financing</v>
      </c>
      <c r="C134" s="555"/>
      <c r="D134" s="555"/>
      <c r="E134" s="555"/>
      <c r="F134" s="555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5">
        <f t="shared" si="21"/>
        <v>13.195644263074563</v>
      </c>
    </row>
    <row r="135" spans="1:22">
      <c r="A135" s="117" t="str">
        <f t="shared" si="26"/>
        <v>7511p</v>
      </c>
      <c r="B135" s="558" t="str">
        <f>+VLOOKUP(LEFT($A135,LEN(A135)-1)*1,Master!$D$29:$G$225,4,FALSE)</f>
        <v>Domestic Loans and Borrowings</v>
      </c>
      <c r="C135" s="559"/>
      <c r="D135" s="559"/>
      <c r="E135" s="559"/>
      <c r="F135" s="559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2">
        <f t="shared" si="21"/>
        <v>0</v>
      </c>
    </row>
    <row r="136" spans="1:22">
      <c r="A136" s="117" t="str">
        <f t="shared" si="26"/>
        <v>7512p</v>
      </c>
      <c r="B136" s="560" t="str">
        <f>+VLOOKUP(LEFT($A136,LEN(A136)-1)*1,Master!$D$29:$G$225,4,FALSE)</f>
        <v>Foreign Loans and Borrowings</v>
      </c>
      <c r="C136" s="561"/>
      <c r="D136" s="561"/>
      <c r="E136" s="561"/>
      <c r="F136" s="561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2">
        <f t="shared" si="21"/>
        <v>3.5586421084415303</v>
      </c>
    </row>
    <row r="137" spans="1:22">
      <c r="A137" s="117" t="str">
        <f t="shared" si="26"/>
        <v>72p</v>
      </c>
      <c r="B137" s="560" t="str">
        <f>+VLOOKUP(LEFT($A137,LEN(A137)-1)*1,Master!$D$29:$G$225,4,FALSE)</f>
        <v>Revenues from Selling Assets</v>
      </c>
      <c r="C137" s="561"/>
      <c r="D137" s="561"/>
      <c r="E137" s="561"/>
      <c r="F137" s="561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2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+VLOOKUP(LEFT($A138,LEN(A138)-1)*1,Master!$D$29:$G$225,4,FALSE)</f>
        <v>Increase / decrease of deposits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6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7"/>
    </row>
    <row r="145" spans="19:19">
      <c r="S145" s="311"/>
    </row>
    <row r="146" spans="19:19">
      <c r="S146" s="311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7"/>
  <sheetViews>
    <sheetView zoomScaleNormal="100" workbookViewId="0">
      <pane ySplit="1" topLeftCell="A2" activePane="bottomLeft" state="frozen"/>
      <selection pane="bottomLeft" activeCell="G10" sqref="G10:I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Montenegro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>
        <f>+G10/('2020'!G10+'2020'!H10)*100</f>
        <v>44.039708602045813</v>
      </c>
      <c r="C3" s="126"/>
      <c r="D3" s="126"/>
      <c r="E3" s="129" t="str">
        <f>+Master!G7</f>
        <v>Ministry of Finance and social welfare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Directorate for State Budget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607" t="str">
        <f>+Master!G251</f>
        <v>Budget Execution</v>
      </c>
      <c r="C7" s="507"/>
      <c r="D7" s="507"/>
      <c r="E7" s="507"/>
      <c r="F7" s="507"/>
      <c r="G7" s="515">
        <v>2020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GDP</v>
      </c>
      <c r="T7" s="236">
        <v>4185600000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January</v>
      </c>
      <c r="H8" s="145" t="str">
        <f>+Master!G232</f>
        <v>February</v>
      </c>
      <c r="I8" s="145" t="str">
        <f>+Master!G233</f>
        <v>March</v>
      </c>
      <c r="J8" s="145" t="str">
        <f>+Master!G234</f>
        <v>April</v>
      </c>
      <c r="K8" s="145" t="str">
        <f>+Master!G235</f>
        <v>May</v>
      </c>
      <c r="L8" s="145" t="str">
        <f>+Master!G236</f>
        <v>June</v>
      </c>
      <c r="M8" s="145" t="str">
        <f>+Master!G237</f>
        <v>July</v>
      </c>
      <c r="N8" s="145" t="str">
        <f>+Master!G238</f>
        <v>August</v>
      </c>
      <c r="O8" s="145" t="str">
        <f>+Master!G239</f>
        <v>September</v>
      </c>
      <c r="P8" s="145" t="str">
        <f>+Master!G240</f>
        <v>October</v>
      </c>
      <c r="Q8" s="145" t="str">
        <f>+Master!G241</f>
        <v>November</v>
      </c>
      <c r="R8" s="145" t="str">
        <f>+Master!G242</f>
        <v>December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GDP</v>
      </c>
    </row>
    <row r="10" spans="1:20" ht="13.5" thickBot="1">
      <c r="A10" s="150">
        <v>7</v>
      </c>
      <c r="B10" s="548" t="str">
        <f>+VLOOKUP($A10,Master!$D$29:$G$225,4,FALSE)</f>
        <v>Total Revenues</v>
      </c>
      <c r="C10" s="549"/>
      <c r="D10" s="549"/>
      <c r="E10" s="549"/>
      <c r="F10" s="549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4">
        <f>+S10/$T$7*100</f>
        <v>39.146813852016443</v>
      </c>
    </row>
    <row r="11" spans="1:20">
      <c r="A11" s="150">
        <v>711</v>
      </c>
      <c r="B11" s="550" t="str">
        <f>+VLOOKUP($A11,Master!$D$29:$G$225,4,FALSE)</f>
        <v>Taxes</v>
      </c>
      <c r="C11" s="551"/>
      <c r="D11" s="551"/>
      <c r="E11" s="551"/>
      <c r="F11" s="551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5">
        <f t="shared" ref="T11:T64" si="4">+S11/$T$7*100</f>
        <v>23.081609190558101</v>
      </c>
    </row>
    <row r="12" spans="1:20">
      <c r="A12" s="150">
        <v>7111</v>
      </c>
      <c r="B12" s="536" t="str">
        <f>+VLOOKUP($A12,Master!$D$29:$G$225,4,FALSE)</f>
        <v>Personal Income Tax</v>
      </c>
      <c r="C12" s="537"/>
      <c r="D12" s="537"/>
      <c r="E12" s="537"/>
      <c r="F12" s="537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6">
        <f t="shared" si="4"/>
        <v>2.827361163990826</v>
      </c>
    </row>
    <row r="13" spans="1:20">
      <c r="A13" s="150">
        <v>7112</v>
      </c>
      <c r="B13" s="536" t="str">
        <f>+VLOOKUP($A13,Master!$D$29:$G$225,4,FALSE)</f>
        <v>Corporate Income Tax</v>
      </c>
      <c r="C13" s="537"/>
      <c r="D13" s="537"/>
      <c r="E13" s="537"/>
      <c r="F13" s="537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6">
        <f t="shared" si="4"/>
        <v>1.8736944908734712</v>
      </c>
    </row>
    <row r="14" spans="1:20">
      <c r="A14" s="150">
        <v>7113</v>
      </c>
      <c r="B14" s="536" t="str">
        <f>+VLOOKUP($A14,Master!$D$29:$G$225,4,FALSE)</f>
        <v xml:space="preserve">Taxes on Sales of Property </v>
      </c>
      <c r="C14" s="537"/>
      <c r="D14" s="537"/>
      <c r="E14" s="537"/>
      <c r="F14" s="537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6">
        <f t="shared" si="4"/>
        <v>3.6875256116207955E-2</v>
      </c>
    </row>
    <row r="15" spans="1:20">
      <c r="A15" s="150">
        <v>7114</v>
      </c>
      <c r="B15" s="536" t="str">
        <f>+VLOOKUP($A15,Master!$D$29:$G$225,4,FALSE)</f>
        <v>Value Added Tax</v>
      </c>
      <c r="C15" s="537"/>
      <c r="D15" s="537"/>
      <c r="E15" s="537"/>
      <c r="F15" s="537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6">
        <f t="shared" si="4"/>
        <v>12.657215500525613</v>
      </c>
    </row>
    <row r="16" spans="1:20">
      <c r="A16" s="150">
        <v>7115</v>
      </c>
      <c r="B16" s="536" t="str">
        <f>+VLOOKUP($A16,Master!$D$29:$G$225,4,FALSE)</f>
        <v>Excises</v>
      </c>
      <c r="C16" s="537"/>
      <c r="D16" s="537"/>
      <c r="E16" s="537"/>
      <c r="F16" s="537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6">
        <f t="shared" si="4"/>
        <v>4.9071243733276004</v>
      </c>
    </row>
    <row r="17" spans="1:25">
      <c r="A17" s="150">
        <v>7116</v>
      </c>
      <c r="B17" s="536" t="str">
        <f>+VLOOKUP($A17,Master!$D$29:$G$225,4,FALSE)</f>
        <v>Tax on International Trade and Transactions</v>
      </c>
      <c r="C17" s="537"/>
      <c r="D17" s="537"/>
      <c r="E17" s="537"/>
      <c r="F17" s="537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6">
        <f t="shared" si="4"/>
        <v>0.5408522474675076</v>
      </c>
    </row>
    <row r="18" spans="1:25">
      <c r="A18" s="150">
        <v>7118</v>
      </c>
      <c r="B18" s="536" t="str">
        <f>+VLOOKUP($A18,Master!$D$29:$G$225,4,FALSE)</f>
        <v>Other Republic Taxes</v>
      </c>
      <c r="C18" s="537"/>
      <c r="D18" s="537"/>
      <c r="E18" s="537"/>
      <c r="F18" s="537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6">
        <f t="shared" si="4"/>
        <v>0.23848615825688071</v>
      </c>
    </row>
    <row r="19" spans="1:25">
      <c r="A19" s="150">
        <v>712</v>
      </c>
      <c r="B19" s="546" t="str">
        <f>+VLOOKUP($A19,Master!$D$29:$G$225,4,FALSE)</f>
        <v>Contributions</v>
      </c>
      <c r="C19" s="547"/>
      <c r="D19" s="547"/>
      <c r="E19" s="547"/>
      <c r="F19" s="547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7">
        <f t="shared" si="4"/>
        <v>12.686844691083715</v>
      </c>
    </row>
    <row r="20" spans="1:25">
      <c r="A20" s="150">
        <v>7121</v>
      </c>
      <c r="B20" s="536" t="str">
        <f>+VLOOKUP($A20,Master!$D$29:$G$225,4,FALSE)</f>
        <v>Contributions for Pension and Disability Insurance</v>
      </c>
      <c r="C20" s="537"/>
      <c r="D20" s="537"/>
      <c r="E20" s="537"/>
      <c r="F20" s="537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6">
        <f t="shared" si="4"/>
        <v>7.9034619619648323</v>
      </c>
    </row>
    <row r="21" spans="1:25">
      <c r="A21" s="150">
        <v>7122</v>
      </c>
      <c r="B21" s="536" t="str">
        <f>+VLOOKUP($A21,Master!$D$29:$G$225,4,FALSE)</f>
        <v>Contributions for Health Insurance</v>
      </c>
      <c r="C21" s="537"/>
      <c r="D21" s="537"/>
      <c r="E21" s="537"/>
      <c r="F21" s="537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6">
        <f t="shared" si="4"/>
        <v>4.0988543831230881</v>
      </c>
    </row>
    <row r="22" spans="1:25">
      <c r="A22" s="150">
        <v>7123</v>
      </c>
      <c r="B22" s="536" t="str">
        <f>+VLOOKUP($A22,Master!$D$29:$G$225,4,FALSE)</f>
        <v>Contributions for  Unemployment Insurance</v>
      </c>
      <c r="C22" s="537"/>
      <c r="D22" s="537"/>
      <c r="E22" s="537"/>
      <c r="F22" s="537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6">
        <f t="shared" si="4"/>
        <v>0.3683970890672783</v>
      </c>
    </row>
    <row r="23" spans="1:25">
      <c r="A23" s="150">
        <v>7124</v>
      </c>
      <c r="B23" s="536" t="str">
        <f>+VLOOKUP($A23,Master!$D$29:$G$225,4,FALSE)</f>
        <v>Other contributions</v>
      </c>
      <c r="C23" s="537"/>
      <c r="D23" s="537"/>
      <c r="E23" s="537"/>
      <c r="F23" s="537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6">
        <f t="shared" si="4"/>
        <v>0.31613125692851679</v>
      </c>
      <c r="Y23" s="305"/>
    </row>
    <row r="24" spans="1:25">
      <c r="A24" s="150">
        <v>713</v>
      </c>
      <c r="B24" s="538" t="str">
        <f>+VLOOKUP($A24,Master!$D$29:$G$225,4,FALSE)</f>
        <v>Duties</v>
      </c>
      <c r="C24" s="539"/>
      <c r="D24" s="539"/>
      <c r="E24" s="539"/>
      <c r="F24" s="539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7">
        <f t="shared" si="4"/>
        <v>0.25411990754013764</v>
      </c>
      <c r="Y24" s="305"/>
    </row>
    <row r="25" spans="1:25">
      <c r="A25" s="150">
        <v>714</v>
      </c>
      <c r="B25" s="538" t="str">
        <f>+VLOOKUP($A25,Master!$D$29:$G$225,4,FALSE)</f>
        <v>Fees</v>
      </c>
      <c r="C25" s="539"/>
      <c r="D25" s="539"/>
      <c r="E25" s="539"/>
      <c r="F25" s="539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7">
        <f t="shared" si="4"/>
        <v>0.66463075926987769</v>
      </c>
      <c r="W25" s="292"/>
    </row>
    <row r="26" spans="1:25">
      <c r="A26" s="150">
        <v>715</v>
      </c>
      <c r="B26" s="538" t="str">
        <f>+VLOOKUP($A26,Master!$D$29:$G$225,4,FALSE)</f>
        <v>Other revenues</v>
      </c>
      <c r="C26" s="539"/>
      <c r="D26" s="539"/>
      <c r="E26" s="539"/>
      <c r="F26" s="539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7">
        <f t="shared" si="4"/>
        <v>0.89869098313264495</v>
      </c>
      <c r="W26" s="311"/>
    </row>
    <row r="27" spans="1:25">
      <c r="A27" s="150">
        <v>73</v>
      </c>
      <c r="B27" s="538" t="str">
        <f>+VLOOKUP($A27,Master!$D$29:$G$225,4,FALSE)</f>
        <v>Receipts from Repayment of Loans and Funds Carried over from Previous Year</v>
      </c>
      <c r="C27" s="539"/>
      <c r="D27" s="539"/>
      <c r="E27" s="539"/>
      <c r="F27" s="539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7">
        <f t="shared" si="4"/>
        <v>0.17715297090022936</v>
      </c>
    </row>
    <row r="28" spans="1:25" ht="13.5" thickBot="1">
      <c r="A28" s="150">
        <v>74</v>
      </c>
      <c r="B28" s="540" t="str">
        <f>+VLOOKUP($A28,Master!$D$29:$G$225,4,FALSE)</f>
        <v>Grants and Transfers</v>
      </c>
      <c r="C28" s="541"/>
      <c r="D28" s="541"/>
      <c r="E28" s="541"/>
      <c r="F28" s="541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8">
        <f t="shared" si="4"/>
        <v>1.3837653495317279</v>
      </c>
    </row>
    <row r="29" spans="1:25" ht="13.5" thickBot="1">
      <c r="A29" s="150">
        <v>4</v>
      </c>
      <c r="B29" s="526" t="str">
        <f>+VLOOKUP($A29,Master!$D$29:$G$225,4,FALSE)</f>
        <v>Total Expenditures</v>
      </c>
      <c r="C29" s="527"/>
      <c r="D29" s="527"/>
      <c r="E29" s="527"/>
      <c r="F29" s="527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9">
        <f t="shared" si="4"/>
        <v>49.328204113627663</v>
      </c>
    </row>
    <row r="30" spans="1:25">
      <c r="A30" s="150">
        <v>41</v>
      </c>
      <c r="B30" s="544" t="str">
        <f>+VLOOKUP($A30,Master!$D$29:$G$225,4,FALSE)</f>
        <v>Current Expenditures</v>
      </c>
      <c r="C30" s="545"/>
      <c r="D30" s="545"/>
      <c r="E30" s="545"/>
      <c r="F30" s="545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4">
        <f t="shared" si="3"/>
        <v>858015865.80999994</v>
      </c>
      <c r="T30" s="435">
        <f t="shared" si="4"/>
        <v>20.499232268014143</v>
      </c>
    </row>
    <row r="31" spans="1:25">
      <c r="A31" s="150">
        <v>411</v>
      </c>
      <c r="B31" s="536" t="str">
        <f>+VLOOKUP($A31,Master!$D$29:$G$225,4,FALSE)</f>
        <v>Gross Salaries and Contributions</v>
      </c>
      <c r="C31" s="537"/>
      <c r="D31" s="537"/>
      <c r="E31" s="537"/>
      <c r="F31" s="537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6">
        <f t="shared" si="4"/>
        <v>11.92533854405581</v>
      </c>
    </row>
    <row r="32" spans="1:25">
      <c r="A32" s="150">
        <v>412</v>
      </c>
      <c r="B32" s="536" t="str">
        <f>+VLOOKUP($A32,Master!$D$29:$G$225,4,FALSE)</f>
        <v>Other Personal Income</v>
      </c>
      <c r="C32" s="537"/>
      <c r="D32" s="537"/>
      <c r="E32" s="537"/>
      <c r="F32" s="537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6">
        <f t="shared" si="4"/>
        <v>0.30866892512423549</v>
      </c>
    </row>
    <row r="33" spans="1:23">
      <c r="A33" s="150">
        <v>413</v>
      </c>
      <c r="B33" s="536" t="str">
        <f>+VLOOKUP($A33,Master!$D$29:$G$225,4,FALSE)</f>
        <v>Expenditures for Supplies</v>
      </c>
      <c r="C33" s="537"/>
      <c r="D33" s="537"/>
      <c r="E33" s="537"/>
      <c r="F33" s="537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6">
        <f t="shared" si="4"/>
        <v>0.95395377293577988</v>
      </c>
      <c r="V33" s="291"/>
    </row>
    <row r="34" spans="1:23" s="361" customFormat="1">
      <c r="A34" s="360">
        <v>414</v>
      </c>
      <c r="B34" s="605" t="str">
        <f>+VLOOKUP($A34,Master!$D$29:$G$225,4,FALSE)</f>
        <v>Expenditures for Services</v>
      </c>
      <c r="C34" s="606"/>
      <c r="D34" s="606"/>
      <c r="E34" s="606"/>
      <c r="F34" s="606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6">
        <f t="shared" si="4"/>
        <v>1.7738425862480884</v>
      </c>
      <c r="U34" s="258"/>
    </row>
    <row r="35" spans="1:23">
      <c r="A35" s="150">
        <v>415</v>
      </c>
      <c r="B35" s="536" t="str">
        <f>+VLOOKUP($A35,Master!$D$29:$G$225,4,FALSE)</f>
        <v>Current Maintenance</v>
      </c>
      <c r="C35" s="537"/>
      <c r="D35" s="537"/>
      <c r="E35" s="537"/>
      <c r="F35" s="537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6">
        <f t="shared" si="4"/>
        <v>0.58208342388188083</v>
      </c>
    </row>
    <row r="36" spans="1:23">
      <c r="A36" s="150">
        <v>416</v>
      </c>
      <c r="B36" s="536" t="str">
        <f>+VLOOKUP($A36,Master!$D$29:$G$225,4,FALSE)</f>
        <v>Interests</v>
      </c>
      <c r="C36" s="537"/>
      <c r="D36" s="537"/>
      <c r="E36" s="537"/>
      <c r="F36" s="537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6">
        <f t="shared" si="4"/>
        <v>2.6545515183008415</v>
      </c>
    </row>
    <row r="37" spans="1:23">
      <c r="A37" s="150">
        <v>417</v>
      </c>
      <c r="B37" s="536" t="str">
        <f>+VLOOKUP($A37,Master!$D$29:$G$225,4,FALSE)</f>
        <v>Rent</v>
      </c>
      <c r="C37" s="537"/>
      <c r="D37" s="537"/>
      <c r="E37" s="537"/>
      <c r="F37" s="537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6">
        <f t="shared" si="4"/>
        <v>0.27163620030581043</v>
      </c>
    </row>
    <row r="38" spans="1:23">
      <c r="A38" s="150">
        <v>418</v>
      </c>
      <c r="B38" s="536" t="str">
        <f>+VLOOKUP($A38,Master!$D$29:$G$225,4,FALSE)</f>
        <v>Subsidies</v>
      </c>
      <c r="C38" s="537"/>
      <c r="D38" s="537"/>
      <c r="E38" s="537"/>
      <c r="F38" s="537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6">
        <f t="shared" si="4"/>
        <v>0.86783859709480116</v>
      </c>
    </row>
    <row r="39" spans="1:23" s="361" customFormat="1">
      <c r="A39" s="360">
        <v>419</v>
      </c>
      <c r="B39" s="605" t="str">
        <f>+VLOOKUP($A39,Master!$D$29:$G$225,4,FALSE)</f>
        <v>Other expenditures</v>
      </c>
      <c r="C39" s="606"/>
      <c r="D39" s="606"/>
      <c r="E39" s="606"/>
      <c r="F39" s="606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6">
        <f t="shared" si="4"/>
        <v>1.1613187000668961</v>
      </c>
      <c r="U39" s="258"/>
    </row>
    <row r="40" spans="1:23">
      <c r="A40" s="150">
        <v>42</v>
      </c>
      <c r="B40" s="532" t="str">
        <f>+VLOOKUP($A40,Master!$D$29:$G$225,4,FALSE)</f>
        <v>Social Security Transfers</v>
      </c>
      <c r="C40" s="533"/>
      <c r="D40" s="533"/>
      <c r="E40" s="533"/>
      <c r="F40" s="533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7">
        <f t="shared" si="4"/>
        <v>13.347643551701072</v>
      </c>
      <c r="U40" s="242"/>
      <c r="W40" s="309"/>
    </row>
    <row r="41" spans="1:23">
      <c r="A41" s="150">
        <v>421</v>
      </c>
      <c r="B41" s="536" t="str">
        <f>+VLOOKUP($A41,Master!$D$29:$G$225,4,FALSE)</f>
        <v>Social Security</v>
      </c>
      <c r="C41" s="537"/>
      <c r="D41" s="537"/>
      <c r="E41" s="537"/>
      <c r="F41" s="537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6">
        <f t="shared" si="4"/>
        <v>1.9227658534021408</v>
      </c>
      <c r="U41" s="242"/>
    </row>
    <row r="42" spans="1:23">
      <c r="A42" s="150">
        <v>422</v>
      </c>
      <c r="B42" s="536" t="str">
        <f>+VLOOKUP($A42,Master!$D$29:$G$225,4,FALSE)</f>
        <v>Funds for redundant labor</v>
      </c>
      <c r="C42" s="537"/>
      <c r="D42" s="537"/>
      <c r="E42" s="537"/>
      <c r="F42" s="537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6">
        <f t="shared" si="4"/>
        <v>0.48018163704128441</v>
      </c>
      <c r="U42" s="242"/>
    </row>
    <row r="43" spans="1:23">
      <c r="A43" s="150">
        <v>423</v>
      </c>
      <c r="B43" s="536" t="str">
        <f>+VLOOKUP($A43,Master!$D$29:$G$225,4,FALSE)</f>
        <v>Pension and Disability Insurance</v>
      </c>
      <c r="C43" s="537"/>
      <c r="D43" s="537"/>
      <c r="E43" s="537"/>
      <c r="F43" s="537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6">
        <f t="shared" si="4"/>
        <v>10.22724545775994</v>
      </c>
      <c r="U43" s="242"/>
    </row>
    <row r="44" spans="1:23">
      <c r="A44" s="150">
        <v>424</v>
      </c>
      <c r="B44" s="536" t="str">
        <f>+VLOOKUP($A44,Master!$D$29:$G$225,4,FALSE)</f>
        <v>Other Health Care Transfers</v>
      </c>
      <c r="C44" s="537"/>
      <c r="D44" s="537"/>
      <c r="E44" s="537"/>
      <c r="F44" s="537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6">
        <f t="shared" si="4"/>
        <v>0.48311802370030571</v>
      </c>
      <c r="U44" s="242"/>
    </row>
    <row r="45" spans="1:23" s="361" customFormat="1">
      <c r="A45" s="360">
        <v>425</v>
      </c>
      <c r="B45" s="601" t="str">
        <f>+VLOOKUP($A45,Master!$D$29:$G$225,4,FALSE)</f>
        <v>Other Health Care Insurance</v>
      </c>
      <c r="C45" s="602"/>
      <c r="D45" s="602"/>
      <c r="E45" s="602"/>
      <c r="F45" s="602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6">
        <f t="shared" si="4"/>
        <v>0.23433257979740058</v>
      </c>
      <c r="U45" s="242"/>
    </row>
    <row r="46" spans="1:23">
      <c r="A46" s="150">
        <v>43</v>
      </c>
      <c r="B46" s="534" t="str">
        <f>+VLOOKUP($A46,Master!$D$29:$G$225,4,FALSE)</f>
        <v xml:space="preserve">Transfers to Institutions, Individuals, NGO and Public Sector </v>
      </c>
      <c r="C46" s="535"/>
      <c r="D46" s="535"/>
      <c r="E46" s="535"/>
      <c r="F46" s="535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7">
        <f t="shared" si="4"/>
        <v>6.7194405222668205</v>
      </c>
      <c r="U46" s="242"/>
    </row>
    <row r="47" spans="1:23">
      <c r="A47" s="150">
        <v>44</v>
      </c>
      <c r="B47" s="534" t="str">
        <f>+VLOOKUP($A47,Master!$D$29:$G$225,4,FALSE)</f>
        <v>Capital Expenditure</v>
      </c>
      <c r="C47" s="535"/>
      <c r="D47" s="535"/>
      <c r="E47" s="535"/>
      <c r="F47" s="535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7">
        <f t="shared" si="4"/>
        <v>5.4935233579415135</v>
      </c>
      <c r="U47" s="242"/>
    </row>
    <row r="48" spans="1:23">
      <c r="A48" s="150">
        <v>451</v>
      </c>
      <c r="B48" s="603" t="str">
        <f>+VLOOKUP($A48,Master!$D$29:$G$225,4,FALSE)</f>
        <v>Credits and Borrowings</v>
      </c>
      <c r="C48" s="604"/>
      <c r="D48" s="604"/>
      <c r="E48" s="604"/>
      <c r="F48" s="604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6">
        <f t="shared" si="4"/>
        <v>3.8500262805810398E-2</v>
      </c>
      <c r="U48" s="242"/>
    </row>
    <row r="49" spans="1:22" s="361" customFormat="1">
      <c r="A49" s="360">
        <v>47</v>
      </c>
      <c r="B49" s="595" t="str">
        <f>+VLOOKUP($A49,Master!$D$29:$G$225,4,FALSE)</f>
        <v>Reserves</v>
      </c>
      <c r="C49" s="596"/>
      <c r="D49" s="596"/>
      <c r="E49" s="596"/>
      <c r="F49" s="596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6">
        <f t="shared" si="4"/>
        <v>2.7812908352446479</v>
      </c>
      <c r="U49" s="242"/>
    </row>
    <row r="50" spans="1:22" ht="13.5" thickBot="1">
      <c r="A50" s="150">
        <v>462</v>
      </c>
      <c r="B50" s="522" t="str">
        <f>+VLOOKUP($A50,Master!$D$29:$G$225,4,FALSE)</f>
        <v>Repayment of Guarantees</v>
      </c>
      <c r="C50" s="523"/>
      <c r="D50" s="523"/>
      <c r="E50" s="523"/>
      <c r="F50" s="523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6">
        <f t="shared" si="4"/>
        <v>0</v>
      </c>
      <c r="U50" s="242"/>
      <c r="V50" s="293"/>
    </row>
    <row r="51" spans="1:22" ht="13.5" thickBot="1">
      <c r="A51" s="144">
        <v>4630</v>
      </c>
      <c r="B51" s="597" t="str">
        <f>+VLOOKUP($A51,Master!$D$29:$G$225,4,TRUE)</f>
        <v>Repayments of liabilities form the previous period</v>
      </c>
      <c r="C51" s="598"/>
      <c r="D51" s="598"/>
      <c r="E51" s="598"/>
      <c r="F51" s="598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5">
        <f>+SUM(G51:R51)</f>
        <v>18775484.700000003</v>
      </c>
      <c r="T51" s="440">
        <f t="shared" si="4"/>
        <v>0.44857331565366981</v>
      </c>
      <c r="U51" s="242"/>
    </row>
    <row r="52" spans="1:22" ht="13.5" thickBot="1">
      <c r="A52" s="70">
        <v>1005</v>
      </c>
      <c r="B52" s="599" t="str">
        <f>+VLOOKUP($A52,Master!$D$29:$G$227,4,FALSE)</f>
        <v>Net increase of liabilities</v>
      </c>
      <c r="C52" s="600"/>
      <c r="D52" s="600"/>
      <c r="E52" s="600"/>
      <c r="F52" s="600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1">
        <f t="shared" si="4"/>
        <v>0</v>
      </c>
    </row>
    <row r="53" spans="1:22" ht="13.5" thickBot="1">
      <c r="A53" s="144">
        <v>1000</v>
      </c>
      <c r="B53" s="528" t="str">
        <f>+VLOOKUP($A53,Master!$D$29:$G$225,4,FALSE)</f>
        <v>Surplus / deficit</v>
      </c>
      <c r="C53" s="529"/>
      <c r="D53" s="529"/>
      <c r="E53" s="529"/>
      <c r="F53" s="529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2">
        <f t="shared" si="4"/>
        <v>-10.181390261611241</v>
      </c>
    </row>
    <row r="54" spans="1:22" ht="13.5" thickBot="1">
      <c r="A54" s="144">
        <v>1001</v>
      </c>
      <c r="B54" s="530" t="str">
        <f>+VLOOKUP($A54,Master!$D$29:$G$225,4,FALSE)</f>
        <v>Primary surplus/deficit</v>
      </c>
      <c r="C54" s="531"/>
      <c r="D54" s="531"/>
      <c r="E54" s="531"/>
      <c r="F54" s="531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2">
        <f t="shared" si="4"/>
        <v>-7.5268387433103978</v>
      </c>
    </row>
    <row r="55" spans="1:22">
      <c r="A55" s="144">
        <v>46</v>
      </c>
      <c r="B55" s="552" t="str">
        <f>+VLOOKUP($A55,Master!$D$29:$G$225,4,FALSE)</f>
        <v>Repayment of Debt</v>
      </c>
      <c r="C55" s="553"/>
      <c r="D55" s="553"/>
      <c r="E55" s="553"/>
      <c r="F55" s="553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3">
        <f t="shared" si="4"/>
        <v>15.90801867426414</v>
      </c>
      <c r="V55" s="309"/>
    </row>
    <row r="56" spans="1:22">
      <c r="A56" s="144">
        <v>4611</v>
      </c>
      <c r="B56" s="520" t="str">
        <f>+VLOOKUP($A56,Master!$D$29:$G$225,4,FALSE)</f>
        <v>Repayment of Domestic Debt</v>
      </c>
      <c r="C56" s="521"/>
      <c r="D56" s="521"/>
      <c r="E56" s="521"/>
      <c r="F56" s="521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4">
        <f t="shared" si="4"/>
        <v>5.8341507953459475</v>
      </c>
      <c r="V56" s="353"/>
    </row>
    <row r="57" spans="1:22" ht="13.5" thickBot="1">
      <c r="A57" s="144">
        <v>4612</v>
      </c>
      <c r="B57" s="504" t="str">
        <f>+VLOOKUP($A57,Master!$D$29:$G$225,4,FALSE)</f>
        <v>Repayment of Foreign Debt</v>
      </c>
      <c r="C57" s="505"/>
      <c r="D57" s="505"/>
      <c r="E57" s="505"/>
      <c r="F57" s="505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4">
        <f t="shared" si="4"/>
        <v>10.073867878918195</v>
      </c>
      <c r="V57" s="318"/>
    </row>
    <row r="58" spans="1:22" ht="13.5" thickBot="1">
      <c r="A58" s="144">
        <v>4418</v>
      </c>
      <c r="B58" s="542" t="str">
        <f>+VLOOKUP($A58,Master!$D$29:$G$225,4,FALSE)</f>
        <v>Capital Expenditure for Securities</v>
      </c>
      <c r="C58" s="543"/>
      <c r="D58" s="543"/>
      <c r="E58" s="543"/>
      <c r="F58" s="543"/>
      <c r="G58" s="460">
        <f>+INDEX(DataEx!$1:$1048576,MATCH('2020'!$A58,DataEx!$D:$D,0),MATCH('2020'!G$6,DataEx!$7:$7,0))</f>
        <v>0</v>
      </c>
      <c r="H58" s="460">
        <f>+INDEX(DataEx!$1:$1048576,MATCH('2020'!$A58,DataEx!$D:$D,0),MATCH('2020'!H$6,DataEx!$7:$7,0))</f>
        <v>0</v>
      </c>
      <c r="I58" s="460">
        <f>+INDEX(DataEx!$1:$1048576,MATCH('2020'!$A58,DataEx!$D:$D,0),MATCH('2020'!I$6,DataEx!$7:$7,0))</f>
        <v>0</v>
      </c>
      <c r="J58" s="460">
        <f>+INDEX(DataEx!$1:$1048576,MATCH('2020'!$A58,DataEx!$D:$D,0),MATCH('2020'!J$6,DataEx!$7:$7,0))</f>
        <v>0</v>
      </c>
      <c r="K58" s="460">
        <f>+INDEX(DataEx!$1:$1048576,MATCH('2020'!$A58,DataEx!$D:$D,0),MATCH('2020'!K$6,DataEx!$7:$7,0))</f>
        <v>0</v>
      </c>
      <c r="L58" s="460">
        <f>+INDEX(DataEx!$1:$1048576,MATCH('2020'!$A58,DataEx!$D:$D,0),MATCH('2020'!L$6,DataEx!$7:$7,0))</f>
        <v>0</v>
      </c>
      <c r="M58" s="460">
        <f>+INDEX(DataEx!$1:$1048576,MATCH('2020'!$A58,DataEx!$D:$D,0),MATCH('2020'!M$6,DataEx!$7:$7,0))</f>
        <v>0</v>
      </c>
      <c r="N58" s="460">
        <f>+INDEX(DataEx!$1:$1048576,MATCH('2020'!$A58,DataEx!$D:$D,0),MATCH('2020'!N$6,DataEx!$7:$7,0))</f>
        <v>0</v>
      </c>
      <c r="O58" s="460">
        <f>+INDEX(DataEx!$1:$1048576,MATCH('2020'!$A58,DataEx!$D:$D,0),MATCH('2020'!O$6,DataEx!$7:$7,0))</f>
        <v>940769.61</v>
      </c>
      <c r="P58" s="460">
        <f>+INDEX(DataEx!$1:$1048576,MATCH('2020'!$A58,DataEx!$D:$D,0),MATCH('2020'!P$6,DataEx!$7:$7,0))</f>
        <v>0</v>
      </c>
      <c r="Q58" s="460">
        <f>+INDEX(DataEx!$1:$1048576,MATCH('2020'!$A58,DataEx!$D:$D,0),MATCH('2020'!Q$6,DataEx!$7:$7,0))</f>
        <v>0</v>
      </c>
      <c r="R58" s="461">
        <f>+INDEX(DataEx!$1:$1048576,MATCH('2020'!$A58,DataEx!$D:$D,0),MATCH('2020'!R$6,DataEx!$7:$7,0))</f>
        <v>0</v>
      </c>
      <c r="S58" s="249">
        <f>SUM(G58:R58)</f>
        <v>940769.61</v>
      </c>
      <c r="T58" s="445">
        <f t="shared" si="4"/>
        <v>2.2476338159403669E-2</v>
      </c>
      <c r="V58" s="318"/>
    </row>
    <row r="59" spans="1:22" ht="13.5" thickBot="1">
      <c r="A59" s="144">
        <v>1002</v>
      </c>
      <c r="B59" s="524" t="str">
        <f>+VLOOKUP($A59,Master!$D$29:$G$225,4,FALSE)</f>
        <v>Financing needs</v>
      </c>
      <c r="C59" s="525"/>
      <c r="D59" s="525"/>
      <c r="E59" s="525"/>
      <c r="F59" s="525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6">
        <f t="shared" si="4"/>
        <v>-26.111885274034783</v>
      </c>
    </row>
    <row r="60" spans="1:22" ht="13.5" thickBot="1">
      <c r="A60" s="144">
        <v>1003</v>
      </c>
      <c r="B60" s="526" t="str">
        <f>+VLOOKUP($A60,Master!$D$29:$G$225,4,FALSE)</f>
        <v>Financing</v>
      </c>
      <c r="C60" s="527"/>
      <c r="D60" s="527"/>
      <c r="E60" s="527"/>
      <c r="F60" s="527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7">
        <f t="shared" si="4"/>
        <v>26.111885274034783</v>
      </c>
    </row>
    <row r="61" spans="1:22">
      <c r="A61" s="144">
        <v>7511</v>
      </c>
      <c r="B61" s="520" t="str">
        <f>+VLOOKUP($A61,Master!$D$29:$G$225,4,FALSE)</f>
        <v>Domestic Loans and Borrowings</v>
      </c>
      <c r="C61" s="521"/>
      <c r="D61" s="521"/>
      <c r="E61" s="521"/>
      <c r="F61" s="521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4">
        <f t="shared" si="4"/>
        <v>4.0025816879300455</v>
      </c>
    </row>
    <row r="62" spans="1:22">
      <c r="A62" s="144">
        <v>7512</v>
      </c>
      <c r="B62" s="504" t="str">
        <f>+VLOOKUP($A62,Master!$D$29:$G$225,4,FALSE)</f>
        <v>Foreign Loans and Borrowings</v>
      </c>
      <c r="C62" s="505"/>
      <c r="D62" s="505"/>
      <c r="E62" s="505"/>
      <c r="F62" s="505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4">
        <f t="shared" si="4"/>
        <v>28.329148839353973</v>
      </c>
    </row>
    <row r="63" spans="1:22">
      <c r="A63" s="144">
        <v>72</v>
      </c>
      <c r="B63" s="504" t="str">
        <f>+VLOOKUP($A63,Master!$D$29:$G$225,4,FALSE)</f>
        <v>Revenues from Selling Assets</v>
      </c>
      <c r="C63" s="505"/>
      <c r="D63" s="505"/>
      <c r="E63" s="505"/>
      <c r="F63" s="505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4">
        <f t="shared" si="4"/>
        <v>0.20420611047400611</v>
      </c>
    </row>
    <row r="64" spans="1:22" ht="13.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8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84" t="str">
        <f>+Master!G252</f>
        <v>Planned Budget Execution</v>
      </c>
      <c r="C100" s="585"/>
      <c r="D100" s="585"/>
      <c r="E100" s="585"/>
      <c r="F100" s="585"/>
      <c r="G100" s="592">
        <v>2020</v>
      </c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4"/>
      <c r="S100" s="107" t="str">
        <f>+S7</f>
        <v>GDP</v>
      </c>
      <c r="T100" s="108">
        <v>4607300000</v>
      </c>
    </row>
    <row r="101" spans="1:21" ht="15.75" customHeight="1">
      <c r="B101" s="586"/>
      <c r="C101" s="587"/>
      <c r="D101" s="587"/>
      <c r="E101" s="587"/>
      <c r="F101" s="588"/>
      <c r="G101" s="71" t="str">
        <f t="shared" ref="G101:R101" si="15">+G8</f>
        <v>January</v>
      </c>
      <c r="H101" s="71" t="str">
        <f t="shared" si="15"/>
        <v>February</v>
      </c>
      <c r="I101" s="71" t="str">
        <f t="shared" si="15"/>
        <v>March</v>
      </c>
      <c r="J101" s="71" t="str">
        <f t="shared" si="15"/>
        <v>April</v>
      </c>
      <c r="K101" s="71" t="str">
        <f t="shared" si="15"/>
        <v>May</v>
      </c>
      <c r="L101" s="71" t="str">
        <f t="shared" si="15"/>
        <v>June</v>
      </c>
      <c r="M101" s="71" t="str">
        <f t="shared" si="15"/>
        <v>July</v>
      </c>
      <c r="N101" s="71" t="str">
        <f t="shared" si="15"/>
        <v>August</v>
      </c>
      <c r="O101" s="71" t="str">
        <f t="shared" si="15"/>
        <v>September</v>
      </c>
      <c r="P101" s="71" t="str">
        <f t="shared" si="15"/>
        <v>October</v>
      </c>
      <c r="Q101" s="71" t="str">
        <f t="shared" si="15"/>
        <v>November</v>
      </c>
      <c r="R101" s="71" t="str">
        <f t="shared" si="15"/>
        <v>December</v>
      </c>
      <c r="S101" s="592" t="str">
        <f>+Master!G246</f>
        <v>Jan - Dec</v>
      </c>
      <c r="T101" s="594">
        <f>+T8</f>
        <v>0</v>
      </c>
    </row>
    <row r="102" spans="1:21" ht="13.5" thickBot="1">
      <c r="B102" s="589"/>
      <c r="C102" s="590"/>
      <c r="D102" s="590"/>
      <c r="E102" s="590"/>
      <c r="F102" s="59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GDP</v>
      </c>
    </row>
    <row r="103" spans="1:21" ht="13.5" thickBot="1">
      <c r="A103" s="116" t="str">
        <f t="shared" ref="A103:A144" si="16">+CONCATENATE(A10,"p")</f>
        <v>7p</v>
      </c>
      <c r="B103" s="580" t="str">
        <f>+VLOOKUP(LEFT($A103,LEN(A103)-1)*1,Master!$D$29:$G$225,4,FALSE)</f>
        <v>Total Revenues</v>
      </c>
      <c r="C103" s="581"/>
      <c r="D103" s="581"/>
      <c r="E103" s="581"/>
      <c r="F103" s="581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3">
        <f>+SUM(G103:R103)</f>
        <v>1704989389.157774</v>
      </c>
      <c r="T103" s="454">
        <f>+S103/$T$100*100</f>
        <v>37.006259396127319</v>
      </c>
    </row>
    <row r="104" spans="1:21">
      <c r="A104" s="116" t="str">
        <f t="shared" si="16"/>
        <v>711p</v>
      </c>
      <c r="B104" s="582" t="str">
        <f>+VLOOKUP(LEFT($A104,LEN(A104)-1)*1,Master!$D$29:$G$225,4,FALSE)</f>
        <v>Taxes</v>
      </c>
      <c r="C104" s="583"/>
      <c r="D104" s="583"/>
      <c r="E104" s="583"/>
      <c r="F104" s="583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5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70" t="str">
        <f>+VLOOKUP(LEFT($A105,LEN(A105)-1)*1,Master!$D$29:$G$228,4,FALSE)</f>
        <v>Personal Income Tax</v>
      </c>
      <c r="C105" s="571"/>
      <c r="D105" s="571"/>
      <c r="E105" s="571"/>
      <c r="F105" s="571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6">
        <f t="shared" si="20"/>
        <v>2.4452362067202373</v>
      </c>
    </row>
    <row r="106" spans="1:21">
      <c r="A106" s="116" t="str">
        <f t="shared" si="16"/>
        <v>7112p</v>
      </c>
      <c r="B106" s="570" t="str">
        <f>+VLOOKUP(LEFT($A106,LEN(A106)-1)*1,Master!$D$29:$G$228,4,FALSE)</f>
        <v>Corporate Income Tax</v>
      </c>
      <c r="C106" s="571"/>
      <c r="D106" s="571"/>
      <c r="E106" s="571"/>
      <c r="F106" s="571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6">
        <f t="shared" si="20"/>
        <v>1.4671745812461314</v>
      </c>
    </row>
    <row r="107" spans="1:21">
      <c r="A107" s="116" t="str">
        <f t="shared" si="16"/>
        <v>7113p</v>
      </c>
      <c r="B107" s="570" t="str">
        <f>+VLOOKUP(LEFT($A107,LEN(A107)-1)*1,Master!$D$29:$G$228,4,FALSE)</f>
        <v xml:space="preserve">Taxes on Sales of Property </v>
      </c>
      <c r="C107" s="571"/>
      <c r="D107" s="571"/>
      <c r="E107" s="571"/>
      <c r="F107" s="571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6">
        <f t="shared" si="20"/>
        <v>4.1303611443361622E-2</v>
      </c>
    </row>
    <row r="108" spans="1:21">
      <c r="A108" s="116" t="str">
        <f t="shared" si="16"/>
        <v>7114p</v>
      </c>
      <c r="B108" s="570" t="str">
        <f>+VLOOKUP(LEFT($A108,LEN(A108)-1)*1,Master!$D$29:$G$228,4,FALSE)</f>
        <v>Value Added Tax</v>
      </c>
      <c r="C108" s="571"/>
      <c r="D108" s="571"/>
      <c r="E108" s="571"/>
      <c r="F108" s="571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6">
        <f t="shared" si="20"/>
        <v>13.365384391976216</v>
      </c>
    </row>
    <row r="109" spans="1:21">
      <c r="A109" s="116" t="str">
        <f t="shared" si="16"/>
        <v>7115p</v>
      </c>
      <c r="B109" s="570" t="str">
        <f>+VLOOKUP(LEFT($A109,LEN(A109)-1)*1,Master!$D$29:$G$228,4,FALSE)</f>
        <v>Excises</v>
      </c>
      <c r="C109" s="571"/>
      <c r="D109" s="571"/>
      <c r="E109" s="571"/>
      <c r="F109" s="571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6">
        <f t="shared" si="20"/>
        <v>4.8051517235226715</v>
      </c>
    </row>
    <row r="110" spans="1:21">
      <c r="A110" s="116" t="str">
        <f t="shared" si="16"/>
        <v>7116p</v>
      </c>
      <c r="B110" s="570" t="str">
        <f>+VLOOKUP(LEFT($A110,LEN(A110)-1)*1,Master!$D$29:$G$228,4,FALSE)</f>
        <v>Tax on International Trade and Transactions</v>
      </c>
      <c r="C110" s="571"/>
      <c r="D110" s="571"/>
      <c r="E110" s="571"/>
      <c r="F110" s="571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6">
        <f t="shared" si="20"/>
        <v>0.58139087437023862</v>
      </c>
    </row>
    <row r="111" spans="1:21">
      <c r="A111" s="116" t="str">
        <f t="shared" si="16"/>
        <v>7118p</v>
      </c>
      <c r="B111" s="570" t="str">
        <f>+VLOOKUP(LEFT($A111,LEN(A111)-1)*1,Master!$D$29:$G$228,4,FALSE)</f>
        <v>Other Republic Taxes</v>
      </c>
      <c r="C111" s="571"/>
      <c r="D111" s="571"/>
      <c r="E111" s="571"/>
      <c r="F111" s="571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6">
        <f t="shared" si="20"/>
        <v>0.20229513960237019</v>
      </c>
    </row>
    <row r="112" spans="1:21">
      <c r="A112" s="116" t="str">
        <f t="shared" si="16"/>
        <v>712p</v>
      </c>
      <c r="B112" s="578" t="str">
        <f>+VLOOKUP(LEFT($A112,LEN(A112)-1)*1,Master!$D$29:$G$228,4,FALSE)</f>
        <v>Contributions</v>
      </c>
      <c r="C112" s="579"/>
      <c r="D112" s="579"/>
      <c r="E112" s="579"/>
      <c r="F112" s="579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7">
        <f t="shared" si="20"/>
        <v>10.68956613019113</v>
      </c>
    </row>
    <row r="113" spans="1:20">
      <c r="A113" s="116" t="str">
        <f t="shared" si="16"/>
        <v>7121p</v>
      </c>
      <c r="B113" s="570" t="str">
        <f>+VLOOKUP(LEFT($A113,LEN(A113)-1)*1,Master!$D$29:$G$228,4,FALSE)</f>
        <v>Contributions for Pension and Disability Insurance</v>
      </c>
      <c r="C113" s="571"/>
      <c r="D113" s="571"/>
      <c r="E113" s="571"/>
      <c r="F113" s="571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6">
        <f t="shared" si="20"/>
        <v>6.6171744431734636</v>
      </c>
    </row>
    <row r="114" spans="1:20">
      <c r="A114" s="116" t="str">
        <f t="shared" si="16"/>
        <v>7122p</v>
      </c>
      <c r="B114" s="570" t="str">
        <f>+VLOOKUP(LEFT($A114,LEN(A114)-1)*1,Master!$D$29:$G$228,4,FALSE)</f>
        <v>Contributions for Health Insurance</v>
      </c>
      <c r="C114" s="571"/>
      <c r="D114" s="571"/>
      <c r="E114" s="571"/>
      <c r="F114" s="571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6">
        <f t="shared" si="20"/>
        <v>3.4819631387690197</v>
      </c>
    </row>
    <row r="115" spans="1:20">
      <c r="A115" s="116" t="str">
        <f t="shared" si="16"/>
        <v>7123p</v>
      </c>
      <c r="B115" s="570" t="str">
        <f>+VLOOKUP(LEFT($A115,LEN(A115)-1)*1,Master!$D$29:$G$228,4,FALSE)</f>
        <v>Contributions for  Unemployment Insurance</v>
      </c>
      <c r="C115" s="571"/>
      <c r="D115" s="571"/>
      <c r="E115" s="571"/>
      <c r="F115" s="571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6">
        <f t="shared" si="20"/>
        <v>0.31374529664462025</v>
      </c>
    </row>
    <row r="116" spans="1:20">
      <c r="A116" s="116" t="str">
        <f t="shared" si="16"/>
        <v>7124p</v>
      </c>
      <c r="B116" s="570" t="str">
        <f>+VLOOKUP(LEFT($A116,LEN(A116)-1)*1,Master!$D$29:$G$228,4,FALSE)</f>
        <v>Other contributions</v>
      </c>
      <c r="C116" s="571"/>
      <c r="D116" s="571"/>
      <c r="E116" s="571"/>
      <c r="F116" s="571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6">
        <f t="shared" si="20"/>
        <v>0.2766832516040264</v>
      </c>
    </row>
    <row r="117" spans="1:20">
      <c r="A117" s="116" t="str">
        <f t="shared" si="16"/>
        <v>713p</v>
      </c>
      <c r="B117" s="576" t="str">
        <f>+VLOOKUP(LEFT($A117,LEN(A117)-1)*1,Master!$D$29:$G$228,4,FALSE)</f>
        <v>Duties</v>
      </c>
      <c r="C117" s="577"/>
      <c r="D117" s="577"/>
      <c r="E117" s="577"/>
      <c r="F117" s="577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7">
        <f t="shared" si="20"/>
        <v>0.26451836008573354</v>
      </c>
    </row>
    <row r="118" spans="1:20">
      <c r="A118" s="116" t="str">
        <f t="shared" si="16"/>
        <v>714p</v>
      </c>
      <c r="B118" s="576" t="str">
        <f>+VLOOKUP(LEFT($A118,LEN(A118)-1)*1,Master!$D$29:$G$228,4,FALSE)</f>
        <v>Fees</v>
      </c>
      <c r="C118" s="577"/>
      <c r="D118" s="577"/>
      <c r="E118" s="577"/>
      <c r="F118" s="577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7">
        <f t="shared" si="20"/>
        <v>0.53882429835369972</v>
      </c>
    </row>
    <row r="119" spans="1:20">
      <c r="A119" s="116" t="str">
        <f t="shared" si="16"/>
        <v>715p</v>
      </c>
      <c r="B119" s="576" t="str">
        <f>+VLOOKUP(LEFT($A119,LEN(A119)-1)*1,Master!$D$29:$G$228,4,FALSE)</f>
        <v>Other revenues</v>
      </c>
      <c r="C119" s="577"/>
      <c r="D119" s="577"/>
      <c r="E119" s="577"/>
      <c r="F119" s="577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7">
        <f t="shared" si="20"/>
        <v>1.148755088100482</v>
      </c>
    </row>
    <row r="120" spans="1:20">
      <c r="A120" s="116" t="str">
        <f t="shared" si="16"/>
        <v>73p</v>
      </c>
      <c r="B120" s="576" t="str">
        <f>+VLOOKUP(LEFT($A120,LEN(A120)-1)*1,Master!$D$29:$G$228,4,FALSE)</f>
        <v>Receipts from Repayment of Loans and Funds Carried over from Previous Year</v>
      </c>
      <c r="C120" s="577"/>
      <c r="D120" s="577"/>
      <c r="E120" s="577"/>
      <c r="F120" s="577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7">
        <f t="shared" si="20"/>
        <v>0.37142952358214143</v>
      </c>
    </row>
    <row r="121" spans="1:20" ht="13.5" thickBot="1">
      <c r="A121" s="116" t="str">
        <f t="shared" si="16"/>
        <v>74p</v>
      </c>
      <c r="B121" s="572" t="str">
        <f>+VLOOKUP(LEFT($A121,LEN(A121)-1)*1,Master!$D$29:$G$228,4,FALSE)</f>
        <v>Grants and Transfers</v>
      </c>
      <c r="C121" s="573"/>
      <c r="D121" s="573"/>
      <c r="E121" s="573"/>
      <c r="F121" s="573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8">
        <f t="shared" si="20"/>
        <v>1.0852294669329108</v>
      </c>
    </row>
    <row r="122" spans="1:20" ht="13.5" thickBot="1">
      <c r="A122" s="116" t="str">
        <f t="shared" si="16"/>
        <v>4p</v>
      </c>
      <c r="B122" s="554" t="str">
        <f>+VLOOKUP(LEFT($A122,LEN(A122)-1)*1,Master!$D$29:$G$228,4,FALSE)</f>
        <v>Total Expenditures</v>
      </c>
      <c r="C122" s="555"/>
      <c r="D122" s="555"/>
      <c r="E122" s="555"/>
      <c r="F122" s="555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1">
        <f>+SUM(G122:R122)</f>
        <v>2040879206.795902</v>
      </c>
      <c r="T122" s="452">
        <f t="shared" si="20"/>
        <v>44.296642432572263</v>
      </c>
    </row>
    <row r="123" spans="1:20">
      <c r="A123" s="116" t="str">
        <f t="shared" si="16"/>
        <v>41p</v>
      </c>
      <c r="B123" s="574" t="str">
        <f>+VLOOKUP(LEFT($A123,LEN(A123)-1)*1,Master!$D$29:$G$228,4,FALSE)</f>
        <v>Current Expenditures</v>
      </c>
      <c r="C123" s="575"/>
      <c r="D123" s="575"/>
      <c r="E123" s="575"/>
      <c r="F123" s="575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5">
        <f t="shared" si="20"/>
        <v>18.234006898745513</v>
      </c>
    </row>
    <row r="124" spans="1:20">
      <c r="A124" s="116" t="str">
        <f t="shared" si="16"/>
        <v>411p</v>
      </c>
      <c r="B124" s="570" t="str">
        <f>+VLOOKUP(LEFT($A124,LEN(A124)-1)*1,Master!$D$29:$G$228,4,FALSE)</f>
        <v>Gross Salaries and Contributions</v>
      </c>
      <c r="C124" s="571"/>
      <c r="D124" s="571"/>
      <c r="E124" s="571"/>
      <c r="F124" s="571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6">
        <f t="shared" si="20"/>
        <v>10.81917370889675</v>
      </c>
    </row>
    <row r="125" spans="1:20">
      <c r="A125" s="116" t="str">
        <f t="shared" si="16"/>
        <v>412p</v>
      </c>
      <c r="B125" s="570" t="str">
        <f>+VLOOKUP(LEFT($A125,LEN(A125)-1)*1,Master!$D$29:$G$228,4,FALSE)</f>
        <v>Other Personal Income</v>
      </c>
      <c r="C125" s="571"/>
      <c r="D125" s="571"/>
      <c r="E125" s="571"/>
      <c r="F125" s="571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6">
        <f t="shared" si="20"/>
        <v>0.32417865148785635</v>
      </c>
    </row>
    <row r="126" spans="1:20">
      <c r="A126" s="116" t="str">
        <f t="shared" si="16"/>
        <v>413p</v>
      </c>
      <c r="B126" s="570" t="str">
        <f>+VLOOKUP(LEFT($A126,LEN(A126)-1)*1,Master!$D$29:$G$228,4,FALSE)</f>
        <v>Expenditures for Supplies</v>
      </c>
      <c r="C126" s="571"/>
      <c r="D126" s="571"/>
      <c r="E126" s="571"/>
      <c r="F126" s="571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6">
        <f t="shared" si="20"/>
        <v>0.77555155266429454</v>
      </c>
    </row>
    <row r="127" spans="1:20">
      <c r="A127" s="116" t="str">
        <f t="shared" si="16"/>
        <v>414p</v>
      </c>
      <c r="B127" s="570" t="str">
        <f>+VLOOKUP(LEFT($A127,LEN(A127)-1)*1,Master!$D$29:$G$228,4,FALSE)</f>
        <v>Expenditures for Services</v>
      </c>
      <c r="C127" s="571"/>
      <c r="D127" s="571"/>
      <c r="E127" s="571"/>
      <c r="F127" s="571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6">
        <f t="shared" si="20"/>
        <v>1.3413157254791312</v>
      </c>
    </row>
    <row r="128" spans="1:20">
      <c r="A128" s="116" t="str">
        <f t="shared" si="16"/>
        <v>415p</v>
      </c>
      <c r="B128" s="570" t="str">
        <f>+VLOOKUP(LEFT($A128,LEN(A128)-1)*1,Master!$D$29:$G$228,4,FALSE)</f>
        <v>Current Maintenance</v>
      </c>
      <c r="C128" s="571"/>
      <c r="D128" s="571"/>
      <c r="E128" s="571"/>
      <c r="F128" s="571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6">
        <f t="shared" si="20"/>
        <v>0.56486301651726611</v>
      </c>
    </row>
    <row r="129" spans="1:20">
      <c r="A129" s="116" t="str">
        <f t="shared" si="16"/>
        <v>416p</v>
      </c>
      <c r="B129" s="570" t="str">
        <f>+VLOOKUP(LEFT($A129,LEN(A129)-1)*1,Master!$D$29:$G$228,4,FALSE)</f>
        <v>Interests</v>
      </c>
      <c r="C129" s="571"/>
      <c r="D129" s="571"/>
      <c r="E129" s="571"/>
      <c r="F129" s="571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6">
        <f t="shared" si="20"/>
        <v>2.2430494311201787</v>
      </c>
    </row>
    <row r="130" spans="1:20">
      <c r="A130" s="116" t="str">
        <f t="shared" si="16"/>
        <v>417p</v>
      </c>
      <c r="B130" s="570" t="str">
        <f>+VLOOKUP(LEFT($A130,LEN(A130)-1)*1,Master!$D$29:$G$228,4,FALSE)</f>
        <v>Rent</v>
      </c>
      <c r="C130" s="571"/>
      <c r="D130" s="571"/>
      <c r="E130" s="571"/>
      <c r="F130" s="571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6">
        <f t="shared" si="20"/>
        <v>0.24149152996331913</v>
      </c>
    </row>
    <row r="131" spans="1:20">
      <c r="A131" s="116" t="str">
        <f t="shared" si="16"/>
        <v>418p</v>
      </c>
      <c r="B131" s="570" t="str">
        <f>+VLOOKUP(LEFT($A131,LEN(A131)-1)*1,Master!$D$29:$G$228,4,FALSE)</f>
        <v>Subsidies</v>
      </c>
      <c r="C131" s="571"/>
      <c r="D131" s="571"/>
      <c r="E131" s="571"/>
      <c r="F131" s="571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6">
        <f t="shared" si="20"/>
        <v>0.84831977448831197</v>
      </c>
    </row>
    <row r="132" spans="1:20">
      <c r="A132" s="116" t="str">
        <f t="shared" si="16"/>
        <v>419p</v>
      </c>
      <c r="B132" s="570" t="str">
        <f>+VLOOKUP(LEFT($A132,LEN(A132)-1)*1,Master!$D$29:$G$228,4,FALSE)</f>
        <v>Other expenditures</v>
      </c>
      <c r="C132" s="571"/>
      <c r="D132" s="571"/>
      <c r="E132" s="571"/>
      <c r="F132" s="571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6">
        <f t="shared" si="20"/>
        <v>1.0760635081284049</v>
      </c>
    </row>
    <row r="133" spans="1:20">
      <c r="A133" s="116" t="str">
        <f t="shared" si="16"/>
        <v>42p</v>
      </c>
      <c r="B133" s="566" t="str">
        <f>+VLOOKUP(LEFT($A133,LEN(A133)-1)*1,Master!$D$29:$G$228,4,FALSE)</f>
        <v>Social Security Transfers</v>
      </c>
      <c r="C133" s="567"/>
      <c r="D133" s="567"/>
      <c r="E133" s="567"/>
      <c r="F133" s="567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7">
        <f t="shared" si="20"/>
        <v>12.538545292470646</v>
      </c>
    </row>
    <row r="134" spans="1:20">
      <c r="A134" s="116" t="str">
        <f t="shared" si="16"/>
        <v>421p</v>
      </c>
      <c r="B134" s="570" t="str">
        <f>+VLOOKUP(LEFT($A134,LEN(A134)-1)*1,Master!$D$29:$G$228,4,FALSE)</f>
        <v>Social Security</v>
      </c>
      <c r="C134" s="571"/>
      <c r="D134" s="571"/>
      <c r="E134" s="571"/>
      <c r="F134" s="571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6">
        <f t="shared" si="20"/>
        <v>1.8346971111062882</v>
      </c>
    </row>
    <row r="135" spans="1:20">
      <c r="A135" s="116" t="str">
        <f t="shared" si="16"/>
        <v>422p</v>
      </c>
      <c r="B135" s="570" t="str">
        <f>+VLOOKUP(LEFT($A135,LEN(A135)-1)*1,Master!$D$29:$G$228,4,FALSE)</f>
        <v>Funds for redundant labor</v>
      </c>
      <c r="C135" s="571"/>
      <c r="D135" s="571"/>
      <c r="E135" s="571"/>
      <c r="F135" s="571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6">
        <f t="shared" si="20"/>
        <v>0.44186401406463649</v>
      </c>
    </row>
    <row r="136" spans="1:20">
      <c r="A136" s="116" t="str">
        <f t="shared" si="16"/>
        <v>423p</v>
      </c>
      <c r="B136" s="570" t="str">
        <f>+VLOOKUP(LEFT($A136,LEN(A136)-1)*1,Master!$D$29:$G$228,4,FALSE)</f>
        <v>Pension and Disability Insurance</v>
      </c>
      <c r="C136" s="571"/>
      <c r="D136" s="571"/>
      <c r="E136" s="571"/>
      <c r="F136" s="571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6">
        <f t="shared" si="20"/>
        <v>9.5972781138627852</v>
      </c>
    </row>
    <row r="137" spans="1:20">
      <c r="A137" s="116" t="str">
        <f t="shared" si="16"/>
        <v>424p</v>
      </c>
      <c r="B137" s="570" t="str">
        <f>+VLOOKUP(LEFT($A137,LEN(A137)-1)*1,Master!$D$29:$G$228,4,FALSE)</f>
        <v>Other Health Care Transfers</v>
      </c>
      <c r="C137" s="571"/>
      <c r="D137" s="571"/>
      <c r="E137" s="571"/>
      <c r="F137" s="571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6">
        <f t="shared" si="20"/>
        <v>0.43409374253901412</v>
      </c>
    </row>
    <row r="138" spans="1:20">
      <c r="A138" s="116" t="str">
        <f t="shared" si="16"/>
        <v>425p</v>
      </c>
      <c r="B138" s="570" t="str">
        <f>+VLOOKUP(LEFT($A138,LEN(A138)-1)*1,Master!$D$29:$G$228,4,FALSE)</f>
        <v>Other Health Care Insurance</v>
      </c>
      <c r="C138" s="571"/>
      <c r="D138" s="571"/>
      <c r="E138" s="571"/>
      <c r="F138" s="571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6">
        <f t="shared" si="20"/>
        <v>0.23061231089792286</v>
      </c>
    </row>
    <row r="139" spans="1:20">
      <c r="A139" s="116" t="str">
        <f t="shared" si="16"/>
        <v>43p</v>
      </c>
      <c r="B139" s="568" t="str">
        <f>+VLOOKUP(LEFT($A139,LEN(A139)-1)*1,Master!$D$29:$G$228,4,FALSE)</f>
        <v xml:space="preserve">Transfers to Institutions, Individuals, NGO and Public Sector </v>
      </c>
      <c r="C139" s="569"/>
      <c r="D139" s="569"/>
      <c r="E139" s="569"/>
      <c r="F139" s="569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7">
        <f t="shared" si="20"/>
        <v>6.0063028847698297</v>
      </c>
    </row>
    <row r="140" spans="1:20">
      <c r="A140" s="116" t="str">
        <f t="shared" si="16"/>
        <v>44p</v>
      </c>
      <c r="B140" s="568" t="str">
        <f>+VLOOKUP(LEFT($A140,LEN(A140)-1)*1,Master!$D$29:$G$228,4,FALSE)</f>
        <v>Capital Expenditure</v>
      </c>
      <c r="C140" s="569"/>
      <c r="D140" s="569"/>
      <c r="E140" s="569"/>
      <c r="F140" s="569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7">
        <f t="shared" si="20"/>
        <v>4.229181139713063</v>
      </c>
    </row>
    <row r="141" spans="1:20">
      <c r="A141" s="116" t="str">
        <f t="shared" si="16"/>
        <v>451p</v>
      </c>
      <c r="B141" s="560" t="str">
        <f>+VLOOKUP(LEFT($A141,LEN(A141)-1)*1,Master!$D$29:$G$228,4,FALSE)</f>
        <v>Credits and Borrowings</v>
      </c>
      <c r="C141" s="561"/>
      <c r="D141" s="561"/>
      <c r="E141" s="561"/>
      <c r="F141" s="561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6">
        <f t="shared" si="20"/>
        <v>3.4293447355283994E-2</v>
      </c>
    </row>
    <row r="142" spans="1:20">
      <c r="A142" s="116" t="str">
        <f t="shared" si="16"/>
        <v>47p</v>
      </c>
      <c r="B142" s="560" t="str">
        <f>+VLOOKUP(LEFT($A142,LEN(A142)-1)*1,Master!$D$29:$G$228,4,FALSE)</f>
        <v>Reserves</v>
      </c>
      <c r="C142" s="561"/>
      <c r="D142" s="561"/>
      <c r="E142" s="561"/>
      <c r="F142" s="561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6">
        <f t="shared" si="20"/>
        <v>2.9004080480975842</v>
      </c>
    </row>
    <row r="143" spans="1:20">
      <c r="A143" s="116" t="str">
        <f t="shared" si="16"/>
        <v>462p</v>
      </c>
      <c r="B143" s="560" t="str">
        <f>+VLOOKUP(LEFT($A143,LEN(A143)-1)*1,Master!$D$29:$G$228,4,FALSE)</f>
        <v>Repayment of Guarantees</v>
      </c>
      <c r="C143" s="561"/>
      <c r="D143" s="561"/>
      <c r="E143" s="561"/>
      <c r="F143" s="561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6">
        <f t="shared" si="20"/>
        <v>0</v>
      </c>
    </row>
    <row r="144" spans="1:20">
      <c r="A144" s="117" t="str">
        <f t="shared" si="16"/>
        <v>4630p</v>
      </c>
      <c r="B144" s="560" t="str">
        <f>+VLOOKUP(LEFT($A144,LEN(A144)-1)*1,Master!$D$29:$G$228,4,FALSE)</f>
        <v>Repayments of liabilities form the previous period</v>
      </c>
      <c r="C144" s="561"/>
      <c r="D144" s="561"/>
      <c r="E144" s="561"/>
      <c r="F144" s="561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4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60" t="str">
        <f>+VLOOKUP(LEFT($A145,LEN(A145)-1)*1,Master!$D$29:$G$228,4,FALSE)</f>
        <v>Net increase of liabilities</v>
      </c>
      <c r="C145" s="561"/>
      <c r="D145" s="561"/>
      <c r="E145" s="561"/>
      <c r="F145" s="561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1">
        <f t="shared" si="20"/>
        <v>0</v>
      </c>
    </row>
    <row r="146" spans="1:23" ht="13.5" thickBot="1">
      <c r="A146" s="117" t="str">
        <f t="shared" si="25"/>
        <v>1000p</v>
      </c>
      <c r="B146" s="562" t="str">
        <f>+VLOOKUP(LEFT($A146,LEN(A146)-1)*1,Master!$D$29:$G$225,4,FALSE)</f>
        <v>Surplus / deficit</v>
      </c>
      <c r="C146" s="563"/>
      <c r="D146" s="563"/>
      <c r="E146" s="563"/>
      <c r="F146" s="563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2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64" t="str">
        <f>+VLOOKUP(LEFT($A147,LEN(A147)-1)*1,Master!$D$29:$G$225,4,FALSE)</f>
        <v>Primary surplus/deficit</v>
      </c>
      <c r="C147" s="565"/>
      <c r="D147" s="565"/>
      <c r="E147" s="565"/>
      <c r="F147" s="565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2">
        <f t="shared" si="20"/>
        <v>-5.0473336053247726</v>
      </c>
    </row>
    <row r="148" spans="1:23">
      <c r="A148" s="117" t="str">
        <f t="shared" si="25"/>
        <v>46p</v>
      </c>
      <c r="B148" s="566" t="str">
        <f>+VLOOKUP(LEFT($A148,LEN(A148)-1)*1,Master!$D$29:$G$225,4,FALSE)</f>
        <v>Repayment of Debt</v>
      </c>
      <c r="C148" s="567"/>
      <c r="D148" s="567"/>
      <c r="E148" s="567"/>
      <c r="F148" s="567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3">
        <f t="shared" si="20"/>
        <v>11.711631541249758</v>
      </c>
    </row>
    <row r="149" spans="1:23">
      <c r="A149" s="117" t="str">
        <f t="shared" si="25"/>
        <v>4611p</v>
      </c>
      <c r="B149" s="558" t="str">
        <f>+VLOOKUP(LEFT($A149,LEN(A149)-1)*1,Master!$D$29:$G$225,4,FALSE)</f>
        <v>Repayment of Domestic Debt</v>
      </c>
      <c r="C149" s="559"/>
      <c r="D149" s="559"/>
      <c r="E149" s="559"/>
      <c r="F149" s="559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4">
        <f t="shared" si="20"/>
        <v>2.598267966053871</v>
      </c>
    </row>
    <row r="150" spans="1:23" ht="13.5" thickBot="1">
      <c r="A150" s="117" t="str">
        <f t="shared" si="25"/>
        <v>4612p</v>
      </c>
      <c r="B150" s="560" t="str">
        <f>+VLOOKUP(LEFT($A150,LEN(A150)-1)*1,Master!$D$29:$G$225,4,FALSE)</f>
        <v>Repayment of Foreign Debt</v>
      </c>
      <c r="C150" s="561"/>
      <c r="D150" s="561"/>
      <c r="E150" s="561"/>
      <c r="F150" s="561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4">
        <f t="shared" si="20"/>
        <v>9.1133635751958835</v>
      </c>
    </row>
    <row r="151" spans="1:23" ht="13.5" thickBot="1">
      <c r="A151" s="117" t="str">
        <f t="shared" si="25"/>
        <v>4418p</v>
      </c>
      <c r="B151" s="554" t="str">
        <f>+VLOOKUP(LEFT($A151,LEN(A151)-1)*1,Master!$D$29:$G$225,4,FALSE)</f>
        <v>Capital Expenditure for Securities</v>
      </c>
      <c r="C151" s="555"/>
      <c r="D151" s="555"/>
      <c r="E151" s="555"/>
      <c r="F151" s="555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9">
        <f t="shared" si="19"/>
        <v>2010000</v>
      </c>
      <c r="T151" s="450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56" t="str">
        <f>+VLOOKUP(LEFT($A152,LEN(A152)-1)*1,Master!$D$29:$G$225,4,FALSE)</f>
        <v>Financing needs</v>
      </c>
      <c r="C152" s="557"/>
      <c r="D152" s="557"/>
      <c r="E152" s="557"/>
      <c r="F152" s="557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6">
        <f t="shared" si="20"/>
        <v>-19.045640996638557</v>
      </c>
    </row>
    <row r="153" spans="1:23" ht="13.5" thickBot="1">
      <c r="A153" s="117" t="str">
        <f t="shared" si="29"/>
        <v>1003p</v>
      </c>
      <c r="B153" s="554" t="str">
        <f>+VLOOKUP(LEFT($A153,LEN(A153)-1)*1,Master!$D$29:$G$225,4,FALSE)</f>
        <v>Financing</v>
      </c>
      <c r="C153" s="555"/>
      <c r="D153" s="555"/>
      <c r="E153" s="555"/>
      <c r="F153" s="555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7">
        <f t="shared" si="20"/>
        <v>19.045640996638557</v>
      </c>
    </row>
    <row r="154" spans="1:23">
      <c r="A154" s="117" t="str">
        <f t="shared" si="29"/>
        <v>7511p</v>
      </c>
      <c r="B154" s="558" t="str">
        <f>+VLOOKUP(LEFT($A154,LEN(A154)-1)*1,Master!$D$29:$G$225,4,FALSE)</f>
        <v>Domestic Loans and Borrowings</v>
      </c>
      <c r="C154" s="559"/>
      <c r="D154" s="559"/>
      <c r="E154" s="559"/>
      <c r="F154" s="559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4">
        <f t="shared" si="20"/>
        <v>0</v>
      </c>
    </row>
    <row r="155" spans="1:23">
      <c r="A155" s="117" t="str">
        <f t="shared" si="29"/>
        <v>7512p</v>
      </c>
      <c r="B155" s="560" t="str">
        <f>+VLOOKUP(LEFT($A155,LEN(A155)-1)*1,Master!$D$29:$G$225,4,FALSE)</f>
        <v>Foreign Loans and Borrowings</v>
      </c>
      <c r="C155" s="561"/>
      <c r="D155" s="561"/>
      <c r="E155" s="561"/>
      <c r="F155" s="561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4">
        <f t="shared" si="20"/>
        <v>7.1948775823150264</v>
      </c>
    </row>
    <row r="156" spans="1:23">
      <c r="A156" s="117" t="str">
        <f t="shared" si="29"/>
        <v>72p</v>
      </c>
      <c r="B156" s="560" t="str">
        <f>+VLOOKUP(LEFT($A156,LEN(A156)-1)*1,Master!$D$29:$G$225,4,FALSE)</f>
        <v>Revenues from Selling Assets</v>
      </c>
      <c r="C156" s="561"/>
      <c r="D156" s="561"/>
      <c r="E156" s="561"/>
      <c r="F156" s="561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4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Increase / decrease of deposits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8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Y159"/>
  <sheetViews>
    <sheetView topLeftCell="D1" zoomScaleNormal="100" workbookViewId="0">
      <pane ySplit="1" topLeftCell="A2" activePane="bottomLeft" state="frozen"/>
      <selection pane="bottomLeft" activeCell="G10" sqref="G10:I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607" t="s">
        <v>554</v>
      </c>
      <c r="C7" s="507"/>
      <c r="D7" s="507"/>
      <c r="E7" s="507"/>
      <c r="F7" s="507"/>
      <c r="G7" s="515">
        <v>2019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">
        <v>419</v>
      </c>
      <c r="T7" s="236">
        <v>4951000000</v>
      </c>
    </row>
    <row r="8" spans="1:20" ht="16.5" customHeight="1">
      <c r="A8" s="144"/>
      <c r="B8" s="508"/>
      <c r="C8" s="509"/>
      <c r="D8" s="509"/>
      <c r="E8" s="509"/>
      <c r="F8" s="51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5" t="s">
        <v>809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26" t="s">
        <v>681</v>
      </c>
      <c r="C10" s="527"/>
      <c r="D10" s="527"/>
      <c r="E10" s="527"/>
      <c r="F10" s="527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3">
        <f>+SUM(G10:R10)</f>
        <v>1885212618.1600001</v>
      </c>
      <c r="T10" s="368">
        <f>+S10/$T$7</f>
        <v>0.38077410990910932</v>
      </c>
    </row>
    <row r="11" spans="1:20">
      <c r="A11" s="150">
        <v>711</v>
      </c>
      <c r="B11" s="550" t="s">
        <v>21</v>
      </c>
      <c r="C11" s="551"/>
      <c r="D11" s="551"/>
      <c r="E11" s="551"/>
      <c r="F11" s="551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4">
        <f t="shared" ref="S11:S63" si="3">+SUM(G11:R11)</f>
        <v>1172748653.1199999</v>
      </c>
      <c r="T11" s="369">
        <f t="shared" ref="T11:T64" si="4">+S11/$T$7</f>
        <v>0.23687106708139768</v>
      </c>
    </row>
    <row r="12" spans="1:20">
      <c r="A12" s="150">
        <v>7111</v>
      </c>
      <c r="B12" s="536" t="s">
        <v>23</v>
      </c>
      <c r="C12" s="537"/>
      <c r="D12" s="537"/>
      <c r="E12" s="537"/>
      <c r="F12" s="537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5">
        <f t="shared" si="3"/>
        <v>125000927.16</v>
      </c>
      <c r="T12" s="370">
        <f t="shared" si="4"/>
        <v>2.5247612029892952E-2</v>
      </c>
    </row>
    <row r="13" spans="1:20">
      <c r="A13" s="150">
        <v>7112</v>
      </c>
      <c r="B13" s="536" t="s">
        <v>25</v>
      </c>
      <c r="C13" s="537"/>
      <c r="D13" s="537"/>
      <c r="E13" s="537"/>
      <c r="F13" s="537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5">
        <f t="shared" si="3"/>
        <v>72815973.079999998</v>
      </c>
      <c r="T13" s="370">
        <f t="shared" si="4"/>
        <v>1.4707326414865683E-2</v>
      </c>
    </row>
    <row r="14" spans="1:20">
      <c r="A14" s="150">
        <v>7113</v>
      </c>
      <c r="B14" s="536" t="s">
        <v>27</v>
      </c>
      <c r="C14" s="537"/>
      <c r="D14" s="537"/>
      <c r="E14" s="537"/>
      <c r="F14" s="537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5">
        <f t="shared" si="3"/>
        <v>2037253.77</v>
      </c>
      <c r="T14" s="370">
        <f t="shared" si="4"/>
        <v>4.1148329024439506E-4</v>
      </c>
    </row>
    <row r="15" spans="1:20">
      <c r="A15" s="150">
        <v>7114</v>
      </c>
      <c r="B15" s="536" t="s">
        <v>29</v>
      </c>
      <c r="C15" s="537"/>
      <c r="D15" s="537"/>
      <c r="E15" s="537"/>
      <c r="F15" s="537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5">
        <f t="shared" si="3"/>
        <v>695728953.52999997</v>
      </c>
      <c r="T15" s="370">
        <f t="shared" si="4"/>
        <v>0.14052291527570188</v>
      </c>
    </row>
    <row r="16" spans="1:20">
      <c r="A16" s="150">
        <v>7115</v>
      </c>
      <c r="B16" s="536" t="s">
        <v>31</v>
      </c>
      <c r="C16" s="537"/>
      <c r="D16" s="537"/>
      <c r="E16" s="537"/>
      <c r="F16" s="537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5">
        <f t="shared" si="3"/>
        <v>235518297.74000001</v>
      </c>
      <c r="T16" s="370">
        <f t="shared" si="4"/>
        <v>4.7569844019390024E-2</v>
      </c>
    </row>
    <row r="17" spans="1:25">
      <c r="A17" s="150">
        <v>7116</v>
      </c>
      <c r="B17" s="536" t="s">
        <v>33</v>
      </c>
      <c r="C17" s="537"/>
      <c r="D17" s="537"/>
      <c r="E17" s="537"/>
      <c r="F17" s="537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5">
        <f t="shared" si="3"/>
        <v>28526540.740000002</v>
      </c>
      <c r="T17" s="370">
        <f t="shared" si="4"/>
        <v>5.7617735285800855E-3</v>
      </c>
    </row>
    <row r="18" spans="1:25">
      <c r="A18" s="150">
        <v>7118</v>
      </c>
      <c r="B18" s="536" t="s">
        <v>722</v>
      </c>
      <c r="C18" s="537"/>
      <c r="D18" s="537"/>
      <c r="E18" s="537"/>
      <c r="F18" s="537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5">
        <f t="shared" si="3"/>
        <v>13120707.100000001</v>
      </c>
      <c r="T18" s="370">
        <f t="shared" si="4"/>
        <v>2.6501125227226825E-3</v>
      </c>
    </row>
    <row r="19" spans="1:25">
      <c r="A19" s="150">
        <v>712</v>
      </c>
      <c r="B19" s="546" t="s">
        <v>37</v>
      </c>
      <c r="C19" s="547"/>
      <c r="D19" s="547"/>
      <c r="E19" s="547"/>
      <c r="F19" s="547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6">
        <f t="shared" si="3"/>
        <v>546265768.94000006</v>
      </c>
      <c r="T19" s="371">
        <f t="shared" si="4"/>
        <v>0.11033443121389619</v>
      </c>
    </row>
    <row r="20" spans="1:25">
      <c r="A20" s="150">
        <v>7121</v>
      </c>
      <c r="B20" s="536" t="s">
        <v>39</v>
      </c>
      <c r="C20" s="537"/>
      <c r="D20" s="537"/>
      <c r="E20" s="537"/>
      <c r="F20" s="537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5">
        <f>+SUM(G20:R20)</f>
        <v>329181424.36000001</v>
      </c>
      <c r="T20" s="370">
        <f t="shared" si="4"/>
        <v>6.6487865958392248E-2</v>
      </c>
    </row>
    <row r="21" spans="1:25">
      <c r="A21" s="150">
        <v>7122</v>
      </c>
      <c r="B21" s="536" t="s">
        <v>41</v>
      </c>
      <c r="C21" s="537"/>
      <c r="D21" s="537"/>
      <c r="E21" s="537"/>
      <c r="F21" s="537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5">
        <f t="shared" si="3"/>
        <v>187748508.43000001</v>
      </c>
      <c r="T21" s="370">
        <f t="shared" si="4"/>
        <v>3.7921330727125835E-2</v>
      </c>
    </row>
    <row r="22" spans="1:25">
      <c r="A22" s="150">
        <v>7123</v>
      </c>
      <c r="B22" s="536" t="s">
        <v>43</v>
      </c>
      <c r="C22" s="537"/>
      <c r="D22" s="537"/>
      <c r="E22" s="537"/>
      <c r="F22" s="537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5">
        <f t="shared" si="3"/>
        <v>15122153.449999999</v>
      </c>
      <c r="T22" s="370">
        <f t="shared" si="4"/>
        <v>3.0543634518279132E-3</v>
      </c>
    </row>
    <row r="23" spans="1:25">
      <c r="A23" s="150">
        <v>7124</v>
      </c>
      <c r="B23" s="536" t="s">
        <v>45</v>
      </c>
      <c r="C23" s="537"/>
      <c r="D23" s="537"/>
      <c r="E23" s="537"/>
      <c r="F23" s="537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5">
        <f t="shared" si="3"/>
        <v>14213682.699999999</v>
      </c>
      <c r="T23" s="370">
        <f t="shared" si="4"/>
        <v>2.8708710765501916E-3</v>
      </c>
      <c r="Y23" s="305"/>
    </row>
    <row r="24" spans="1:25">
      <c r="A24" s="150">
        <v>713</v>
      </c>
      <c r="B24" s="538" t="s">
        <v>47</v>
      </c>
      <c r="C24" s="539"/>
      <c r="D24" s="539"/>
      <c r="E24" s="539"/>
      <c r="F24" s="539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6">
        <f t="shared" si="3"/>
        <v>15661588.439999998</v>
      </c>
      <c r="T24" s="371">
        <f t="shared" si="4"/>
        <v>3.1633182064229443E-3</v>
      </c>
      <c r="Y24" s="305"/>
    </row>
    <row r="25" spans="1:25">
      <c r="A25" s="150">
        <v>714</v>
      </c>
      <c r="B25" s="538" t="s">
        <v>61</v>
      </c>
      <c r="C25" s="539"/>
      <c r="D25" s="539"/>
      <c r="E25" s="539"/>
      <c r="F25" s="539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6">
        <f t="shared" si="3"/>
        <v>28237754.950000003</v>
      </c>
      <c r="T25" s="371">
        <f t="shared" si="4"/>
        <v>5.7034447485356504E-3</v>
      </c>
      <c r="W25" s="292"/>
    </row>
    <row r="26" spans="1:25">
      <c r="A26" s="150">
        <v>715</v>
      </c>
      <c r="B26" s="538" t="s">
        <v>81</v>
      </c>
      <c r="C26" s="539"/>
      <c r="D26" s="539"/>
      <c r="E26" s="539"/>
      <c r="F26" s="539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6">
        <f t="shared" si="3"/>
        <v>75820963.530000001</v>
      </c>
      <c r="T26" s="371">
        <f t="shared" si="4"/>
        <v>1.5314272577257121E-2</v>
      </c>
      <c r="W26" s="311"/>
    </row>
    <row r="27" spans="1:25">
      <c r="A27" s="150">
        <v>73</v>
      </c>
      <c r="B27" s="538" t="s">
        <v>99</v>
      </c>
      <c r="C27" s="539"/>
      <c r="D27" s="539"/>
      <c r="E27" s="539"/>
      <c r="F27" s="539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6">
        <f t="shared" si="3"/>
        <v>8269563.3099999996</v>
      </c>
      <c r="T27" s="371">
        <f t="shared" si="4"/>
        <v>1.6702814199151686E-3</v>
      </c>
    </row>
    <row r="28" spans="1:25" ht="13.5" thickBot="1">
      <c r="A28" s="150">
        <v>74</v>
      </c>
      <c r="B28" s="540" t="s">
        <v>105</v>
      </c>
      <c r="C28" s="541"/>
      <c r="D28" s="541"/>
      <c r="E28" s="541"/>
      <c r="F28" s="541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6">
        <f t="shared" si="3"/>
        <v>38208325.869999997</v>
      </c>
      <c r="T28" s="372">
        <f t="shared" si="4"/>
        <v>7.7172946616845079E-3</v>
      </c>
    </row>
    <row r="29" spans="1:25" ht="13.5" thickBot="1">
      <c r="A29" s="150">
        <v>4</v>
      </c>
      <c r="B29" s="526" t="s">
        <v>802</v>
      </c>
      <c r="C29" s="527"/>
      <c r="D29" s="527"/>
      <c r="E29" s="527"/>
      <c r="F29" s="527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7">
        <f t="shared" si="3"/>
        <v>2028496341.4899998</v>
      </c>
      <c r="T29" s="373">
        <f t="shared" si="4"/>
        <v>0.40971447010502926</v>
      </c>
    </row>
    <row r="30" spans="1:25" ht="13.5" thickBot="1">
      <c r="A30" s="150">
        <v>40</v>
      </c>
      <c r="B30" s="542" t="s">
        <v>120</v>
      </c>
      <c r="C30" s="543"/>
      <c r="D30" s="543"/>
      <c r="E30" s="543"/>
      <c r="F30" s="543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8">
        <f t="shared" si="3"/>
        <v>822772770.01999998</v>
      </c>
      <c r="T30" s="374">
        <f t="shared" si="4"/>
        <v>0.16618314886285598</v>
      </c>
      <c r="U30" s="242"/>
    </row>
    <row r="31" spans="1:25">
      <c r="A31" s="150">
        <v>411</v>
      </c>
      <c r="B31" s="536" t="s">
        <v>122</v>
      </c>
      <c r="C31" s="537"/>
      <c r="D31" s="537"/>
      <c r="E31" s="537"/>
      <c r="F31" s="537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5">
        <f>+SUM(G31:R31)</f>
        <v>472853876.71000004</v>
      </c>
      <c r="T31" s="370">
        <f t="shared" si="4"/>
        <v>9.5506741407796414E-2</v>
      </c>
      <c r="U31" s="457"/>
      <c r="W31" s="257"/>
    </row>
    <row r="32" spans="1:25">
      <c r="A32" s="150">
        <v>412</v>
      </c>
      <c r="B32" s="536" t="s">
        <v>133</v>
      </c>
      <c r="C32" s="537"/>
      <c r="D32" s="537"/>
      <c r="E32" s="537"/>
      <c r="F32" s="537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5">
        <f t="shared" si="3"/>
        <v>15228326.93</v>
      </c>
      <c r="T32" s="370">
        <f t="shared" si="4"/>
        <v>3.0758083074126437E-3</v>
      </c>
    </row>
    <row r="33" spans="1:23">
      <c r="A33" s="150">
        <v>413</v>
      </c>
      <c r="B33" s="536" t="s">
        <v>148</v>
      </c>
      <c r="C33" s="537"/>
      <c r="D33" s="537"/>
      <c r="E33" s="537"/>
      <c r="F33" s="537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5">
        <f t="shared" si="3"/>
        <v>33231725.990000002</v>
      </c>
      <c r="T33" s="370">
        <f t="shared" si="4"/>
        <v>6.7121240133306403E-3</v>
      </c>
      <c r="U33" s="293"/>
    </row>
    <row r="34" spans="1:23">
      <c r="A34" s="360">
        <v>414</v>
      </c>
      <c r="B34" s="536" t="s">
        <v>162</v>
      </c>
      <c r="C34" s="537"/>
      <c r="D34" s="537"/>
      <c r="E34" s="537"/>
      <c r="F34" s="537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5">
        <f t="shared" si="3"/>
        <v>77664645.890000001</v>
      </c>
      <c r="T34" s="370">
        <f t="shared" si="4"/>
        <v>1.5686658430620077E-2</v>
      </c>
      <c r="U34" s="311"/>
      <c r="V34" s="291"/>
    </row>
    <row r="35" spans="1:23" s="361" customFormat="1">
      <c r="A35" s="150">
        <v>415</v>
      </c>
      <c r="B35" s="605" t="s">
        <v>182</v>
      </c>
      <c r="C35" s="606"/>
      <c r="D35" s="606"/>
      <c r="E35" s="606"/>
      <c r="F35" s="606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5">
        <f t="shared" si="3"/>
        <v>22511706.030000001</v>
      </c>
      <c r="T35" s="370">
        <f t="shared" si="4"/>
        <v>4.5469008341749145E-3</v>
      </c>
      <c r="U35" s="311"/>
    </row>
    <row r="36" spans="1:23">
      <c r="A36" s="150">
        <v>416</v>
      </c>
      <c r="B36" s="536" t="s">
        <v>190</v>
      </c>
      <c r="C36" s="537"/>
      <c r="D36" s="537"/>
      <c r="E36" s="537"/>
      <c r="F36" s="537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5">
        <f t="shared" si="3"/>
        <v>105803340.84999999</v>
      </c>
      <c r="T36" s="370">
        <f t="shared" si="4"/>
        <v>2.1370095101999595E-2</v>
      </c>
      <c r="U36" s="311"/>
    </row>
    <row r="37" spans="1:23">
      <c r="A37" s="150">
        <v>417</v>
      </c>
      <c r="B37" s="536" t="s">
        <v>196</v>
      </c>
      <c r="C37" s="537"/>
      <c r="D37" s="537"/>
      <c r="E37" s="537"/>
      <c r="F37" s="537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5">
        <f>+SUM(G37:R37)</f>
        <v>10953661.65</v>
      </c>
      <c r="T37" s="370">
        <f t="shared" si="4"/>
        <v>2.2124139870733188E-3</v>
      </c>
      <c r="U37" s="311"/>
    </row>
    <row r="38" spans="1:23">
      <c r="A38" s="150">
        <v>418</v>
      </c>
      <c r="B38" s="536" t="s">
        <v>204</v>
      </c>
      <c r="C38" s="537"/>
      <c r="D38" s="537"/>
      <c r="E38" s="537"/>
      <c r="F38" s="537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5">
        <f t="shared" si="3"/>
        <v>34566147.960000001</v>
      </c>
      <c r="T38" s="370">
        <f t="shared" si="4"/>
        <v>6.9816497596445161E-3</v>
      </c>
      <c r="U38" s="311"/>
    </row>
    <row r="39" spans="1:23">
      <c r="A39" s="360">
        <v>419</v>
      </c>
      <c r="B39" s="536" t="s">
        <v>212</v>
      </c>
      <c r="C39" s="537"/>
      <c r="D39" s="537"/>
      <c r="E39" s="537"/>
      <c r="F39" s="537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5">
        <f t="shared" si="3"/>
        <v>49959338.009999998</v>
      </c>
      <c r="T39" s="370">
        <f t="shared" si="4"/>
        <v>1.0090757020803878E-2</v>
      </c>
      <c r="U39" s="311"/>
    </row>
    <row r="40" spans="1:23" s="361" customFormat="1">
      <c r="A40" s="150">
        <v>42</v>
      </c>
      <c r="B40" s="532" t="s">
        <v>230</v>
      </c>
      <c r="C40" s="533"/>
      <c r="D40" s="533"/>
      <c r="E40" s="533"/>
      <c r="F40" s="533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6">
        <f t="shared" si="3"/>
        <v>554348899.89999998</v>
      </c>
      <c r="T40" s="371">
        <f t="shared" si="4"/>
        <v>0.11196705713997172</v>
      </c>
      <c r="U40" s="311"/>
    </row>
    <row r="41" spans="1:23">
      <c r="A41" s="150">
        <v>421</v>
      </c>
      <c r="B41" s="536" t="s">
        <v>232</v>
      </c>
      <c r="C41" s="537"/>
      <c r="D41" s="537"/>
      <c r="E41" s="537"/>
      <c r="F41" s="537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5">
        <f t="shared" si="3"/>
        <v>79857118.899999991</v>
      </c>
      <c r="T41" s="370">
        <f t="shared" si="4"/>
        <v>1.6129492809533425E-2</v>
      </c>
      <c r="W41" s="309"/>
    </row>
    <row r="42" spans="1:23">
      <c r="A42" s="150">
        <v>422</v>
      </c>
      <c r="B42" s="536" t="s">
        <v>248</v>
      </c>
      <c r="C42" s="537"/>
      <c r="D42" s="537"/>
      <c r="E42" s="537"/>
      <c r="F42" s="537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5">
        <f t="shared" si="3"/>
        <v>20398152.109999999</v>
      </c>
      <c r="T42" s="370">
        <f t="shared" si="4"/>
        <v>4.1200064855584726E-3</v>
      </c>
    </row>
    <row r="43" spans="1:23">
      <c r="A43" s="150">
        <v>423</v>
      </c>
      <c r="B43" s="536" t="s">
        <v>259</v>
      </c>
      <c r="C43" s="537"/>
      <c r="D43" s="537"/>
      <c r="E43" s="537"/>
      <c r="F43" s="537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5">
        <f t="shared" si="3"/>
        <v>420870901.67999995</v>
      </c>
      <c r="T43" s="370">
        <f t="shared" si="4"/>
        <v>8.5007251399717224E-2</v>
      </c>
      <c r="V43" s="291"/>
    </row>
    <row r="44" spans="1:23">
      <c r="A44" s="150">
        <v>424</v>
      </c>
      <c r="B44" s="536" t="s">
        <v>274</v>
      </c>
      <c r="C44" s="537"/>
      <c r="D44" s="537"/>
      <c r="E44" s="537"/>
      <c r="F44" s="537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5">
        <f t="shared" si="3"/>
        <v>21699290.620000005</v>
      </c>
      <c r="T44" s="370">
        <f t="shared" si="4"/>
        <v>4.3828096586548178E-3</v>
      </c>
    </row>
    <row r="45" spans="1:23">
      <c r="A45" s="360">
        <v>425</v>
      </c>
      <c r="B45" s="536" t="s">
        <v>278</v>
      </c>
      <c r="C45" s="537"/>
      <c r="D45" s="537"/>
      <c r="E45" s="537"/>
      <c r="F45" s="537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5">
        <f t="shared" si="3"/>
        <v>11523436.590000002</v>
      </c>
      <c r="T45" s="370">
        <f t="shared" si="4"/>
        <v>2.3274967865077765E-3</v>
      </c>
      <c r="U45" s="353"/>
    </row>
    <row r="46" spans="1:23" s="361" customFormat="1">
      <c r="A46" s="150">
        <v>43</v>
      </c>
      <c r="B46" s="534" t="s">
        <v>286</v>
      </c>
      <c r="C46" s="535"/>
      <c r="D46" s="535"/>
      <c r="E46" s="535"/>
      <c r="F46" s="535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6">
        <f t="shared" si="3"/>
        <v>219689949.60999998</v>
      </c>
      <c r="T46" s="371">
        <f t="shared" si="4"/>
        <v>4.4372843791153298E-2</v>
      </c>
    </row>
    <row r="47" spans="1:23">
      <c r="A47" s="150">
        <v>44</v>
      </c>
      <c r="B47" s="534" t="s">
        <v>320</v>
      </c>
      <c r="C47" s="535"/>
      <c r="D47" s="535"/>
      <c r="E47" s="535"/>
      <c r="F47" s="535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6">
        <f t="shared" si="3"/>
        <v>344885621.69999993</v>
      </c>
      <c r="T47" s="371">
        <f t="shared" si="4"/>
        <v>6.965979028479094E-2</v>
      </c>
      <c r="U47" s="291"/>
    </row>
    <row r="48" spans="1:23">
      <c r="A48" s="150">
        <v>451</v>
      </c>
      <c r="B48" s="603" t="s">
        <v>113</v>
      </c>
      <c r="C48" s="604"/>
      <c r="D48" s="604"/>
      <c r="E48" s="604"/>
      <c r="F48" s="604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5">
        <f t="shared" si="3"/>
        <v>3176935.98</v>
      </c>
      <c r="T48" s="370">
        <f t="shared" si="4"/>
        <v>6.416756170470612E-4</v>
      </c>
    </row>
    <row r="49" spans="1:22" s="361" customFormat="1">
      <c r="A49" s="360">
        <v>47</v>
      </c>
      <c r="B49" s="595" t="s">
        <v>366</v>
      </c>
      <c r="C49" s="596"/>
      <c r="D49" s="596"/>
      <c r="E49" s="596"/>
      <c r="F49" s="596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5">
        <f t="shared" si="3"/>
        <v>24296455.589999996</v>
      </c>
      <c r="T49" s="370">
        <f t="shared" si="4"/>
        <v>4.9073834760654409E-3</v>
      </c>
    </row>
    <row r="50" spans="1:22" ht="13.5" thickBot="1">
      <c r="A50" s="150">
        <v>462</v>
      </c>
      <c r="B50" s="522" t="s">
        <v>359</v>
      </c>
      <c r="C50" s="523"/>
      <c r="D50" s="523"/>
      <c r="E50" s="523"/>
      <c r="F50" s="523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5">
        <f t="shared" si="3"/>
        <v>38684699.409999996</v>
      </c>
      <c r="T50" s="375">
        <f t="shared" si="4"/>
        <v>7.8135123025651378E-3</v>
      </c>
      <c r="U50" s="292"/>
      <c r="V50" s="293"/>
    </row>
    <row r="51" spans="1:22" ht="13.5" thickBot="1">
      <c r="A51" s="144">
        <v>4630</v>
      </c>
      <c r="B51" s="597" t="s">
        <v>795</v>
      </c>
      <c r="C51" s="598"/>
      <c r="D51" s="598"/>
      <c r="E51" s="598"/>
      <c r="F51" s="598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0">
        <f>+SUM(G51:R51)</f>
        <v>20641009.280000001</v>
      </c>
      <c r="T51" s="375">
        <f>+S51/$T$7</f>
        <v>4.1690586305796811E-3</v>
      </c>
    </row>
    <row r="52" spans="1:22" ht="13.5" thickBot="1">
      <c r="A52" s="70">
        <v>1005</v>
      </c>
      <c r="B52" s="599" t="s">
        <v>685</v>
      </c>
      <c r="C52" s="600"/>
      <c r="D52" s="600"/>
      <c r="E52" s="600"/>
      <c r="F52" s="600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1">
        <f>+SUM(G52:R52)</f>
        <v>0</v>
      </c>
      <c r="T52" s="376">
        <f>+S52/$T$7</f>
        <v>0</v>
      </c>
    </row>
    <row r="53" spans="1:22" ht="13.5" thickBot="1">
      <c r="A53" s="144">
        <v>1000</v>
      </c>
      <c r="B53" s="528" t="s">
        <v>545</v>
      </c>
      <c r="C53" s="529"/>
      <c r="D53" s="529"/>
      <c r="E53" s="529"/>
      <c r="F53" s="529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2">
        <f t="shared" si="3"/>
        <v>-143283723.32999992</v>
      </c>
      <c r="T53" s="377">
        <f t="shared" si="4"/>
        <v>-2.8940360195920001E-2</v>
      </c>
    </row>
    <row r="54" spans="1:22" ht="13.5" thickBot="1">
      <c r="A54" s="144">
        <v>1001</v>
      </c>
      <c r="B54" s="530" t="s">
        <v>793</v>
      </c>
      <c r="C54" s="531"/>
      <c r="D54" s="531"/>
      <c r="E54" s="531"/>
      <c r="F54" s="531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2">
        <f t="shared" si="3"/>
        <v>-37480382.479999945</v>
      </c>
      <c r="T54" s="377">
        <f t="shared" si="4"/>
        <v>-7.5702650939204093E-3</v>
      </c>
    </row>
    <row r="55" spans="1:22">
      <c r="A55" s="144">
        <v>46</v>
      </c>
      <c r="B55" s="552" t="s">
        <v>352</v>
      </c>
      <c r="C55" s="553"/>
      <c r="D55" s="553"/>
      <c r="E55" s="553"/>
      <c r="F55" s="553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3">
        <f t="shared" si="3"/>
        <v>507341253.08999997</v>
      </c>
      <c r="T55" s="378">
        <f t="shared" si="4"/>
        <v>0.10247248093112502</v>
      </c>
      <c r="V55" s="309"/>
    </row>
    <row r="56" spans="1:22">
      <c r="A56" s="144">
        <v>4611</v>
      </c>
      <c r="B56" s="520" t="s">
        <v>355</v>
      </c>
      <c r="C56" s="521"/>
      <c r="D56" s="521"/>
      <c r="E56" s="521"/>
      <c r="F56" s="521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4">
        <f t="shared" si="3"/>
        <v>178415558.27999997</v>
      </c>
      <c r="T56" s="379">
        <f t="shared" si="4"/>
        <v>3.6036267073318515E-2</v>
      </c>
      <c r="V56" s="353"/>
    </row>
    <row r="57" spans="1:22">
      <c r="A57" s="144">
        <v>4612</v>
      </c>
      <c r="B57" s="504" t="s">
        <v>357</v>
      </c>
      <c r="C57" s="505"/>
      <c r="D57" s="505"/>
      <c r="E57" s="505"/>
      <c r="F57" s="505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4">
        <f t="shared" si="3"/>
        <v>328925694.81</v>
      </c>
      <c r="T57" s="379">
        <f t="shared" si="4"/>
        <v>6.64362138578065E-2</v>
      </c>
      <c r="V57" s="318"/>
    </row>
    <row r="58" spans="1:22" ht="13.5" thickBot="1">
      <c r="A58" s="144">
        <v>4418</v>
      </c>
      <c r="B58" s="608" t="s">
        <v>336</v>
      </c>
      <c r="C58" s="609"/>
      <c r="D58" s="609"/>
      <c r="E58" s="609"/>
      <c r="F58" s="609"/>
      <c r="G58" s="497">
        <f>DataEx!FF167</f>
        <v>0</v>
      </c>
      <c r="H58" s="497">
        <f>DataEx!FG167</f>
        <v>35272.089999999997</v>
      </c>
      <c r="I58" s="497">
        <f>DataEx!FH167</f>
        <v>0</v>
      </c>
      <c r="J58" s="497">
        <f>DataEx!FI167</f>
        <v>39948396.369999997</v>
      </c>
      <c r="K58" s="497">
        <f>DataEx!FJ167</f>
        <v>0</v>
      </c>
      <c r="L58" s="497">
        <f>DataEx!FK167</f>
        <v>0</v>
      </c>
      <c r="M58" s="497">
        <f>DataEx!FL167</f>
        <v>0</v>
      </c>
      <c r="N58" s="497">
        <f>DataEx!FM167</f>
        <v>0</v>
      </c>
      <c r="O58" s="497">
        <f>DataEx!FN167</f>
        <v>0</v>
      </c>
      <c r="P58" s="497">
        <f>DataEx!FO167</f>
        <v>0</v>
      </c>
      <c r="Q58" s="497">
        <f>DataEx!FP167</f>
        <v>14495201.140000001</v>
      </c>
      <c r="R58" s="497">
        <f>DataEx!FQ167</f>
        <v>2849828.78</v>
      </c>
      <c r="S58" s="498">
        <f>SUM(G58:R58)</f>
        <v>57328698.380000003</v>
      </c>
      <c r="T58" s="499">
        <f>+S58/$T$7</f>
        <v>1.1579215992728742E-2</v>
      </c>
      <c r="V58" s="318"/>
    </row>
    <row r="59" spans="1:22" ht="13.5" thickBot="1">
      <c r="A59" s="144">
        <v>1002</v>
      </c>
      <c r="B59" s="524" t="s">
        <v>543</v>
      </c>
      <c r="C59" s="525"/>
      <c r="D59" s="525"/>
      <c r="E59" s="525"/>
      <c r="F59" s="525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5">
        <f t="shared" si="3"/>
        <v>-707953674.79999995</v>
      </c>
      <c r="T59" s="380">
        <f t="shared" si="4"/>
        <v>-0.14299205711977378</v>
      </c>
    </row>
    <row r="60" spans="1:22" ht="13.5" thickBot="1">
      <c r="A60" s="144">
        <v>1003</v>
      </c>
      <c r="B60" s="526" t="s">
        <v>544</v>
      </c>
      <c r="C60" s="527"/>
      <c r="D60" s="527"/>
      <c r="E60" s="527"/>
      <c r="F60" s="527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6">
        <f t="shared" si="3"/>
        <v>707953674.79999995</v>
      </c>
      <c r="T60" s="381">
        <f t="shared" si="4"/>
        <v>0.14299205711977378</v>
      </c>
    </row>
    <row r="61" spans="1:22">
      <c r="A61" s="144">
        <v>7511</v>
      </c>
      <c r="B61" s="520" t="s">
        <v>114</v>
      </c>
      <c r="C61" s="521"/>
      <c r="D61" s="521"/>
      <c r="E61" s="521"/>
      <c r="F61" s="521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4">
        <f t="shared" si="3"/>
        <v>363438000</v>
      </c>
      <c r="T61" s="379">
        <f t="shared" si="4"/>
        <v>7.3406988487174307E-2</v>
      </c>
    </row>
    <row r="62" spans="1:22">
      <c r="A62" s="144">
        <v>7512</v>
      </c>
      <c r="B62" s="504" t="s">
        <v>116</v>
      </c>
      <c r="C62" s="505"/>
      <c r="D62" s="505"/>
      <c r="E62" s="505"/>
      <c r="F62" s="505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4">
        <f t="shared" si="3"/>
        <v>651580293.42999995</v>
      </c>
      <c r="T62" s="379">
        <f t="shared" si="4"/>
        <v>0.13160579548172086</v>
      </c>
    </row>
    <row r="63" spans="1:22">
      <c r="A63" s="144">
        <v>72</v>
      </c>
      <c r="B63" s="504" t="s">
        <v>93</v>
      </c>
      <c r="C63" s="505"/>
      <c r="D63" s="505"/>
      <c r="E63" s="505"/>
      <c r="F63" s="505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4">
        <f t="shared" si="3"/>
        <v>4278082.92</v>
      </c>
      <c r="T63" s="379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7">
        <f>+SUM(G64:R64)</f>
        <v>-311342701.55000001</v>
      </c>
      <c r="T64" s="382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84" t="s">
        <v>552</v>
      </c>
      <c r="C100" s="585"/>
      <c r="D100" s="585"/>
      <c r="E100" s="585"/>
      <c r="F100" s="585"/>
      <c r="G100" s="592">
        <v>2019</v>
      </c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4"/>
      <c r="S100" s="107" t="str">
        <f>+S7</f>
        <v>BDP</v>
      </c>
      <c r="T100" s="108">
        <f>+T7</f>
        <v>4951000000</v>
      </c>
    </row>
    <row r="101" spans="1:21" ht="15.75" customHeight="1">
      <c r="B101" s="586"/>
      <c r="C101" s="587"/>
      <c r="D101" s="587"/>
      <c r="E101" s="587"/>
      <c r="F101" s="588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92" t="s">
        <v>809</v>
      </c>
      <c r="T101" s="594">
        <f>+T8</f>
        <v>0</v>
      </c>
    </row>
    <row r="102" spans="1:21" ht="13.5" thickBot="1">
      <c r="B102" s="589"/>
      <c r="C102" s="590"/>
      <c r="D102" s="590"/>
      <c r="E102" s="590"/>
      <c r="F102" s="59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80" t="s">
        <v>681</v>
      </c>
      <c r="C103" s="581"/>
      <c r="D103" s="581"/>
      <c r="E103" s="581"/>
      <c r="F103" s="581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8">
        <f>+SUM(G103:R103)</f>
        <v>1834032913.7635608</v>
      </c>
      <c r="T103" s="411">
        <f>+S103/$T$7</f>
        <v>0.37043686402010922</v>
      </c>
    </row>
    <row r="104" spans="1:21">
      <c r="A104" s="116" t="str">
        <f t="shared" si="16"/>
        <v>711p</v>
      </c>
      <c r="B104" s="582" t="s">
        <v>21</v>
      </c>
      <c r="C104" s="583"/>
      <c r="D104" s="583"/>
      <c r="E104" s="583"/>
      <c r="F104" s="583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399">
        <f t="shared" ref="S104:S159" si="19">+SUM(G104:R104)</f>
        <v>1122669950.9867301</v>
      </c>
      <c r="T104" s="412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70" t="s">
        <v>23</v>
      </c>
      <c r="C105" s="571"/>
      <c r="D105" s="571"/>
      <c r="E105" s="571"/>
      <c r="F105" s="571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0">
        <f t="shared" si="19"/>
        <v>120237518.04497004</v>
      </c>
      <c r="T105" s="413">
        <f t="shared" si="20"/>
        <v>2.4285501523928506E-2</v>
      </c>
    </row>
    <row r="106" spans="1:21">
      <c r="A106" s="116" t="str">
        <f t="shared" si="16"/>
        <v>7112p</v>
      </c>
      <c r="B106" s="570" t="s">
        <v>25</v>
      </c>
      <c r="C106" s="571"/>
      <c r="D106" s="571"/>
      <c r="E106" s="571"/>
      <c r="F106" s="571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0">
        <f t="shared" si="19"/>
        <v>71194860.131909981</v>
      </c>
      <c r="T106" s="413">
        <f t="shared" si="20"/>
        <v>1.4379894997356086E-2</v>
      </c>
    </row>
    <row r="107" spans="1:21">
      <c r="A107" s="116" t="str">
        <f t="shared" si="16"/>
        <v>7113p</v>
      </c>
      <c r="B107" s="570" t="s">
        <v>27</v>
      </c>
      <c r="C107" s="571"/>
      <c r="D107" s="571"/>
      <c r="E107" s="571"/>
      <c r="F107" s="571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0">
        <f t="shared" si="19"/>
        <v>1862816.4104000002</v>
      </c>
      <c r="T107" s="413">
        <f t="shared" si="20"/>
        <v>3.7625053734599074E-4</v>
      </c>
    </row>
    <row r="108" spans="1:21">
      <c r="A108" s="116" t="str">
        <f t="shared" si="16"/>
        <v>7114p</v>
      </c>
      <c r="B108" s="570" t="s">
        <v>29</v>
      </c>
      <c r="C108" s="571"/>
      <c r="D108" s="571"/>
      <c r="E108" s="571"/>
      <c r="F108" s="571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0">
        <f t="shared" si="19"/>
        <v>657905657.67184997</v>
      </c>
      <c r="T108" s="413">
        <f t="shared" si="20"/>
        <v>0.1328833887440618</v>
      </c>
    </row>
    <row r="109" spans="1:21">
      <c r="A109" s="116" t="str">
        <f t="shared" si="16"/>
        <v>7115p</v>
      </c>
      <c r="B109" s="570" t="s">
        <v>31</v>
      </c>
      <c r="C109" s="571"/>
      <c r="D109" s="571"/>
      <c r="E109" s="571"/>
      <c r="F109" s="571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0">
        <f t="shared" si="19"/>
        <v>234801605.29820004</v>
      </c>
      <c r="T109" s="413">
        <f t="shared" si="20"/>
        <v>4.7425086911371449E-2</v>
      </c>
    </row>
    <row r="110" spans="1:21">
      <c r="A110" s="116" t="str">
        <f t="shared" si="16"/>
        <v>7116p</v>
      </c>
      <c r="B110" s="570" t="s">
        <v>33</v>
      </c>
      <c r="C110" s="571"/>
      <c r="D110" s="571"/>
      <c r="E110" s="571"/>
      <c r="F110" s="571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0">
        <f t="shared" si="19"/>
        <v>27167589.829800002</v>
      </c>
      <c r="T110" s="413">
        <f t="shared" si="20"/>
        <v>5.4872934416885484E-3</v>
      </c>
    </row>
    <row r="111" spans="1:21">
      <c r="A111" s="116" t="str">
        <f t="shared" si="16"/>
        <v>7118p</v>
      </c>
      <c r="B111" s="570" t="s">
        <v>722</v>
      </c>
      <c r="C111" s="571"/>
      <c r="D111" s="571"/>
      <c r="E111" s="571"/>
      <c r="F111" s="571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0">
        <f t="shared" si="19"/>
        <v>9499903.5996000003</v>
      </c>
      <c r="T111" s="413">
        <f t="shared" si="20"/>
        <v>1.918784811068471E-3</v>
      </c>
    </row>
    <row r="112" spans="1:21">
      <c r="A112" s="116" t="str">
        <f t="shared" si="16"/>
        <v>712p</v>
      </c>
      <c r="B112" s="578" t="s">
        <v>37</v>
      </c>
      <c r="C112" s="579"/>
      <c r="D112" s="579"/>
      <c r="E112" s="579"/>
      <c r="F112" s="579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1">
        <f t="shared" si="19"/>
        <v>534213514.07533062</v>
      </c>
      <c r="T112" s="414">
        <f t="shared" si="20"/>
        <v>0.10790012403056566</v>
      </c>
    </row>
    <row r="113" spans="1:20">
      <c r="A113" s="116" t="str">
        <f t="shared" si="16"/>
        <v>7121p</v>
      </c>
      <c r="B113" s="570" t="s">
        <v>39</v>
      </c>
      <c r="C113" s="571"/>
      <c r="D113" s="571"/>
      <c r="E113" s="571"/>
      <c r="F113" s="571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0">
        <f t="shared" si="19"/>
        <v>327876749.17454183</v>
      </c>
      <c r="T113" s="413">
        <f t="shared" si="20"/>
        <v>6.6224348449715573E-2</v>
      </c>
    </row>
    <row r="114" spans="1:20">
      <c r="A114" s="116" t="str">
        <f t="shared" si="16"/>
        <v>7122p</v>
      </c>
      <c r="B114" s="570" t="s">
        <v>41</v>
      </c>
      <c r="C114" s="571"/>
      <c r="D114" s="571"/>
      <c r="E114" s="571"/>
      <c r="F114" s="571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0">
        <f t="shared" si="19"/>
        <v>178851341.72447601</v>
      </c>
      <c r="T114" s="413">
        <f t="shared" si="20"/>
        <v>3.6124286351136341E-2</v>
      </c>
    </row>
    <row r="115" spans="1:20">
      <c r="A115" s="116" t="str">
        <f t="shared" si="16"/>
        <v>7123p</v>
      </c>
      <c r="B115" s="570" t="s">
        <v>43</v>
      </c>
      <c r="C115" s="571"/>
      <c r="D115" s="571"/>
      <c r="E115" s="571"/>
      <c r="F115" s="571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0">
        <f t="shared" si="19"/>
        <v>14950709.439620741</v>
      </c>
      <c r="T115" s="413">
        <f t="shared" si="20"/>
        <v>3.0197352938034216E-3</v>
      </c>
    </row>
    <row r="116" spans="1:20">
      <c r="A116" s="116" t="str">
        <f t="shared" si="16"/>
        <v>7124p</v>
      </c>
      <c r="B116" s="570" t="s">
        <v>45</v>
      </c>
      <c r="C116" s="571"/>
      <c r="D116" s="571"/>
      <c r="E116" s="571"/>
      <c r="F116" s="571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0">
        <f t="shared" si="19"/>
        <v>12534713.736692008</v>
      </c>
      <c r="T116" s="413">
        <f t="shared" si="20"/>
        <v>2.5317539359103226E-3</v>
      </c>
    </row>
    <row r="117" spans="1:20">
      <c r="A117" s="116" t="str">
        <f t="shared" si="16"/>
        <v>713p</v>
      </c>
      <c r="B117" s="576" t="s">
        <v>47</v>
      </c>
      <c r="C117" s="577"/>
      <c r="D117" s="577"/>
      <c r="E117" s="577"/>
      <c r="F117" s="577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1">
        <f t="shared" si="19"/>
        <v>15318488.925500004</v>
      </c>
      <c r="T117" s="414">
        <f t="shared" si="20"/>
        <v>3.0940191729953554E-3</v>
      </c>
    </row>
    <row r="118" spans="1:20">
      <c r="A118" s="116" t="str">
        <f t="shared" si="16"/>
        <v>714p</v>
      </c>
      <c r="B118" s="576" t="s">
        <v>61</v>
      </c>
      <c r="C118" s="577"/>
      <c r="D118" s="577"/>
      <c r="E118" s="577"/>
      <c r="F118" s="577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1">
        <f t="shared" si="19"/>
        <v>31390844.861600004</v>
      </c>
      <c r="T118" s="414">
        <f t="shared" si="20"/>
        <v>6.3403039510401948E-3</v>
      </c>
    </row>
    <row r="119" spans="1:20">
      <c r="A119" s="116" t="str">
        <f t="shared" si="16"/>
        <v>715p</v>
      </c>
      <c r="B119" s="576" t="s">
        <v>81</v>
      </c>
      <c r="C119" s="577"/>
      <c r="D119" s="577"/>
      <c r="E119" s="577"/>
      <c r="F119" s="577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1">
        <f t="shared" si="19"/>
        <v>77448450.912399963</v>
      </c>
      <c r="T119" s="414">
        <f t="shared" si="20"/>
        <v>1.5642991499171876E-2</v>
      </c>
    </row>
    <row r="120" spans="1:20">
      <c r="A120" s="116" t="str">
        <f t="shared" si="16"/>
        <v>73p</v>
      </c>
      <c r="B120" s="576" t="s">
        <v>99</v>
      </c>
      <c r="C120" s="577"/>
      <c r="D120" s="577"/>
      <c r="E120" s="577"/>
      <c r="F120" s="577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1">
        <f t="shared" si="19"/>
        <v>8511664.0019999985</v>
      </c>
      <c r="T120" s="414">
        <f t="shared" si="20"/>
        <v>1.7191807719652591E-3</v>
      </c>
    </row>
    <row r="121" spans="1:20" ht="13.5" thickBot="1">
      <c r="A121" s="116" t="str">
        <f t="shared" si="16"/>
        <v>74p</v>
      </c>
      <c r="B121" s="572" t="s">
        <v>105</v>
      </c>
      <c r="C121" s="573"/>
      <c r="D121" s="573"/>
      <c r="E121" s="573"/>
      <c r="F121" s="573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2">
        <f t="shared" si="19"/>
        <v>44480000</v>
      </c>
      <c r="T121" s="415">
        <f t="shared" si="20"/>
        <v>8.98404362754999E-3</v>
      </c>
    </row>
    <row r="122" spans="1:20" ht="13.5" thickBot="1">
      <c r="A122" s="116" t="str">
        <f t="shared" si="16"/>
        <v>4p</v>
      </c>
      <c r="B122" s="554" t="s">
        <v>811</v>
      </c>
      <c r="C122" s="555"/>
      <c r="D122" s="555"/>
      <c r="E122" s="555"/>
      <c r="F122" s="555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3">
        <f>+SUM(G122:R122)</f>
        <v>1976630978.4000001</v>
      </c>
      <c r="T122" s="416">
        <f t="shared" si="20"/>
        <v>0.39923873528580089</v>
      </c>
    </row>
    <row r="123" spans="1:20" ht="13.5" thickBot="1">
      <c r="A123" s="116" t="str">
        <f t="shared" si="16"/>
        <v>40p</v>
      </c>
      <c r="B123" s="612" t="s">
        <v>774</v>
      </c>
      <c r="C123" s="613"/>
      <c r="D123" s="613"/>
      <c r="E123" s="613"/>
      <c r="F123" s="613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4">
        <f t="shared" si="19"/>
        <v>1680705978.4000001</v>
      </c>
      <c r="T123" s="417">
        <f t="shared" si="20"/>
        <v>0.33946798190264593</v>
      </c>
    </row>
    <row r="124" spans="1:20">
      <c r="A124" s="116" t="e">
        <f>+CONCATENATE(#REF!,"p")</f>
        <v>#REF!</v>
      </c>
      <c r="B124" s="574" t="e">
        <v>#REF!</v>
      </c>
      <c r="C124" s="575"/>
      <c r="D124" s="575"/>
      <c r="E124" s="575"/>
      <c r="F124" s="575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399">
        <f t="shared" si="19"/>
        <v>846670934.61000013</v>
      </c>
      <c r="T124" s="412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70" t="s">
        <v>122</v>
      </c>
      <c r="C125" s="571"/>
      <c r="D125" s="571"/>
      <c r="E125" s="571"/>
      <c r="F125" s="571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0">
        <f t="shared" si="19"/>
        <v>472054247.1500001</v>
      </c>
      <c r="T125" s="413">
        <f t="shared" si="20"/>
        <v>9.5345232710563541E-2</v>
      </c>
    </row>
    <row r="126" spans="1:20">
      <c r="A126" s="116" t="str">
        <f t="shared" si="25"/>
        <v>412p</v>
      </c>
      <c r="B126" s="570" t="s">
        <v>133</v>
      </c>
      <c r="C126" s="571"/>
      <c r="D126" s="571"/>
      <c r="E126" s="571"/>
      <c r="F126" s="571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0">
        <f t="shared" si="19"/>
        <v>15077125.449999996</v>
      </c>
      <c r="T126" s="413">
        <f t="shared" si="20"/>
        <v>3.0452687234902029E-3</v>
      </c>
    </row>
    <row r="127" spans="1:20">
      <c r="A127" s="116" t="str">
        <f t="shared" si="25"/>
        <v>413p</v>
      </c>
      <c r="B127" s="570" t="s">
        <v>148</v>
      </c>
      <c r="C127" s="571"/>
      <c r="D127" s="571"/>
      <c r="E127" s="571"/>
      <c r="F127" s="571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0">
        <f t="shared" si="19"/>
        <v>36652827.660000004</v>
      </c>
      <c r="T127" s="413">
        <f t="shared" si="20"/>
        <v>7.4031160694809136E-3</v>
      </c>
    </row>
    <row r="128" spans="1:20">
      <c r="A128" s="116" t="str">
        <f t="shared" si="25"/>
        <v>414p</v>
      </c>
      <c r="B128" s="570" t="s">
        <v>162</v>
      </c>
      <c r="C128" s="571"/>
      <c r="D128" s="571"/>
      <c r="E128" s="571"/>
      <c r="F128" s="571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0">
        <f t="shared" si="19"/>
        <v>63127045.969999991</v>
      </c>
      <c r="T128" s="413">
        <f t="shared" si="20"/>
        <v>1.2750362748939606E-2</v>
      </c>
    </row>
    <row r="129" spans="1:20">
      <c r="A129" s="116" t="str">
        <f t="shared" si="25"/>
        <v>415p</v>
      </c>
      <c r="B129" s="570" t="s">
        <v>182</v>
      </c>
      <c r="C129" s="571"/>
      <c r="D129" s="571"/>
      <c r="E129" s="571"/>
      <c r="F129" s="571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0">
        <f t="shared" si="19"/>
        <v>23117903.600000001</v>
      </c>
      <c r="T129" s="413">
        <f t="shared" si="20"/>
        <v>4.6693402544940423E-3</v>
      </c>
    </row>
    <row r="130" spans="1:20">
      <c r="A130" s="116" t="str">
        <f t="shared" si="25"/>
        <v>416p</v>
      </c>
      <c r="B130" s="570" t="s">
        <v>190</v>
      </c>
      <c r="C130" s="571"/>
      <c r="D130" s="571"/>
      <c r="E130" s="571"/>
      <c r="F130" s="571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0">
        <f t="shared" si="19"/>
        <v>95752699.999999985</v>
      </c>
      <c r="T130" s="413">
        <f t="shared" si="20"/>
        <v>1.9340072712583315E-2</v>
      </c>
    </row>
    <row r="131" spans="1:20">
      <c r="A131" s="116" t="str">
        <f t="shared" si="25"/>
        <v>417p</v>
      </c>
      <c r="B131" s="570" t="s">
        <v>196</v>
      </c>
      <c r="C131" s="571"/>
      <c r="D131" s="571"/>
      <c r="E131" s="571"/>
      <c r="F131" s="571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0">
        <f t="shared" si="19"/>
        <v>9821101.7599999998</v>
      </c>
      <c r="T131" s="413">
        <f t="shared" si="20"/>
        <v>1.9836602221773377E-3</v>
      </c>
    </row>
    <row r="132" spans="1:20">
      <c r="A132" s="116" t="str">
        <f t="shared" si="25"/>
        <v>418p</v>
      </c>
      <c r="B132" s="570" t="s">
        <v>204</v>
      </c>
      <c r="C132" s="571"/>
      <c r="D132" s="571"/>
      <c r="E132" s="571"/>
      <c r="F132" s="571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0">
        <f t="shared" si="19"/>
        <v>30814599.999999993</v>
      </c>
      <c r="T132" s="413">
        <f t="shared" si="20"/>
        <v>6.2239143607352035E-3</v>
      </c>
    </row>
    <row r="133" spans="1:20">
      <c r="A133" s="116" t="str">
        <f t="shared" si="25"/>
        <v>419p</v>
      </c>
      <c r="B133" s="570" t="s">
        <v>212</v>
      </c>
      <c r="C133" s="571"/>
      <c r="D133" s="571"/>
      <c r="E133" s="571"/>
      <c r="F133" s="571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0">
        <f t="shared" si="19"/>
        <v>41196323.400000006</v>
      </c>
      <c r="T133" s="413">
        <f t="shared" si="20"/>
        <v>8.3208086043223602E-3</v>
      </c>
    </row>
    <row r="134" spans="1:20">
      <c r="A134" s="116" t="e">
        <f>+CONCATENATE(#REF!,"p")</f>
        <v>#REF!</v>
      </c>
      <c r="B134" s="570" t="e">
        <v>#REF!</v>
      </c>
      <c r="C134" s="571"/>
      <c r="D134" s="571"/>
      <c r="E134" s="571"/>
      <c r="F134" s="571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0">
        <f t="shared" si="19"/>
        <v>59057059.620000012</v>
      </c>
      <c r="T134" s="413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66" t="s">
        <v>230</v>
      </c>
      <c r="C135" s="567"/>
      <c r="D135" s="567"/>
      <c r="E135" s="567"/>
      <c r="F135" s="567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1">
        <f t="shared" si="19"/>
        <v>557842584.41999996</v>
      </c>
      <c r="T135" s="414">
        <f t="shared" si="20"/>
        <v>0.11267270943647748</v>
      </c>
    </row>
    <row r="136" spans="1:20">
      <c r="A136" s="116" t="str">
        <f t="shared" si="26"/>
        <v>421p</v>
      </c>
      <c r="B136" s="570" t="s">
        <v>232</v>
      </c>
      <c r="C136" s="571"/>
      <c r="D136" s="571"/>
      <c r="E136" s="571"/>
      <c r="F136" s="571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0">
        <f t="shared" si="19"/>
        <v>80990000.000000015</v>
      </c>
      <c r="T136" s="413">
        <f t="shared" si="20"/>
        <v>1.6358311452231874E-2</v>
      </c>
    </row>
    <row r="137" spans="1:20">
      <c r="A137" s="116" t="str">
        <f t="shared" si="26"/>
        <v>422p</v>
      </c>
      <c r="B137" s="570" t="s">
        <v>248</v>
      </c>
      <c r="C137" s="571"/>
      <c r="D137" s="571"/>
      <c r="E137" s="571"/>
      <c r="F137" s="571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0">
        <f t="shared" si="19"/>
        <v>18202468.969999999</v>
      </c>
      <c r="T137" s="413">
        <f t="shared" si="20"/>
        <v>3.6765237265198947E-3</v>
      </c>
    </row>
    <row r="138" spans="1:20">
      <c r="A138" s="116" t="str">
        <f t="shared" si="26"/>
        <v>423p</v>
      </c>
      <c r="B138" s="570" t="s">
        <v>259</v>
      </c>
      <c r="C138" s="571"/>
      <c r="D138" s="571"/>
      <c r="E138" s="571"/>
      <c r="F138" s="571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0">
        <f t="shared" si="19"/>
        <v>429025014.44999993</v>
      </c>
      <c r="T138" s="413">
        <f t="shared" si="20"/>
        <v>8.6654214189052697E-2</v>
      </c>
    </row>
    <row r="139" spans="1:20">
      <c r="A139" s="116" t="str">
        <f t="shared" si="26"/>
        <v>424p</v>
      </c>
      <c r="B139" s="570" t="s">
        <v>274</v>
      </c>
      <c r="C139" s="571"/>
      <c r="D139" s="571"/>
      <c r="E139" s="571"/>
      <c r="F139" s="571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0">
        <f t="shared" si="19"/>
        <v>19000100</v>
      </c>
      <c r="T139" s="413">
        <f t="shared" si="20"/>
        <v>3.8376287618662897E-3</v>
      </c>
    </row>
    <row r="140" spans="1:20">
      <c r="A140" s="116" t="str">
        <f t="shared" si="26"/>
        <v>425p</v>
      </c>
      <c r="B140" s="570" t="s">
        <v>278</v>
      </c>
      <c r="C140" s="571"/>
      <c r="D140" s="571"/>
      <c r="E140" s="571"/>
      <c r="F140" s="571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0">
        <f t="shared" si="19"/>
        <v>10625001</v>
      </c>
      <c r="T140" s="413">
        <f t="shared" si="20"/>
        <v>2.1460313068067055E-3</v>
      </c>
    </row>
    <row r="141" spans="1:20">
      <c r="A141" s="116" t="str">
        <f t="shared" si="26"/>
        <v>43p</v>
      </c>
      <c r="B141" s="568" t="s">
        <v>286</v>
      </c>
      <c r="C141" s="569"/>
      <c r="D141" s="569"/>
      <c r="E141" s="569"/>
      <c r="F141" s="569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1">
        <f>+SUM(G141:R141)</f>
        <v>220947786.96000001</v>
      </c>
      <c r="T141" s="414">
        <f t="shared" si="20"/>
        <v>4.4626901022015754E-2</v>
      </c>
    </row>
    <row r="142" spans="1:20">
      <c r="A142" s="116" t="str">
        <f t="shared" si="26"/>
        <v>44p</v>
      </c>
      <c r="B142" s="568" t="s">
        <v>812</v>
      </c>
      <c r="C142" s="569"/>
      <c r="D142" s="569"/>
      <c r="E142" s="569"/>
      <c r="F142" s="569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1">
        <f t="shared" si="19"/>
        <v>295925000</v>
      </c>
      <c r="T142" s="414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60" t="s">
        <v>113</v>
      </c>
      <c r="C143" s="561"/>
      <c r="D143" s="561"/>
      <c r="E143" s="561"/>
      <c r="F143" s="561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0">
        <f t="shared" si="19"/>
        <v>2280000.9999999995</v>
      </c>
      <c r="T143" s="413">
        <f t="shared" si="20"/>
        <v>4.6051322965057553E-4</v>
      </c>
    </row>
    <row r="144" spans="1:20">
      <c r="A144" s="116" t="str">
        <f t="shared" si="28"/>
        <v>47p</v>
      </c>
      <c r="B144" s="560" t="s">
        <v>366</v>
      </c>
      <c r="C144" s="561"/>
      <c r="D144" s="561"/>
      <c r="E144" s="561"/>
      <c r="F144" s="561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0">
        <f t="shared" si="19"/>
        <v>24999999.999999996</v>
      </c>
      <c r="T144" s="413">
        <f t="shared" si="20"/>
        <v>5.0494849525348409E-3</v>
      </c>
    </row>
    <row r="145" spans="1:20">
      <c r="A145" s="116" t="str">
        <f t="shared" si="28"/>
        <v>462p</v>
      </c>
      <c r="B145" s="560" t="s">
        <v>359</v>
      </c>
      <c r="C145" s="561"/>
      <c r="D145" s="561"/>
      <c r="E145" s="561"/>
      <c r="F145" s="561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0">
        <f t="shared" si="19"/>
        <v>9434672.4100000001</v>
      </c>
      <c r="T145" s="413">
        <f t="shared" si="20"/>
        <v>1.9056094546556252E-3</v>
      </c>
    </row>
    <row r="146" spans="1:20">
      <c r="A146" s="117" t="str">
        <f>+CONCATENATE(A51,"p")</f>
        <v>4630p</v>
      </c>
      <c r="B146" s="560" t="s">
        <v>365</v>
      </c>
      <c r="C146" s="561"/>
      <c r="D146" s="561"/>
      <c r="E146" s="561"/>
      <c r="F146" s="561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5">
        <f>+SUM(G146:R146)</f>
        <v>18529999</v>
      </c>
      <c r="T146" s="418">
        <f>+S146/$T$7</f>
        <v>3.7426780448394266E-3</v>
      </c>
    </row>
    <row r="147" spans="1:20" ht="13.5" thickBot="1">
      <c r="A147" s="116"/>
      <c r="B147" s="610" t="s">
        <v>686</v>
      </c>
      <c r="C147" s="611"/>
      <c r="D147" s="611"/>
      <c r="E147" s="611"/>
      <c r="F147" s="611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1">
        <f>SUM(G147:R147)</f>
        <v>0</v>
      </c>
      <c r="T147" s="376">
        <f t="shared" si="20"/>
        <v>0</v>
      </c>
    </row>
    <row r="148" spans="1:20" ht="13.5" thickBot="1">
      <c r="A148" s="117" t="str">
        <f>+CONCATENATE(A53,"p")</f>
        <v>1000p</v>
      </c>
      <c r="B148" s="562" t="s">
        <v>545</v>
      </c>
      <c r="C148" s="563"/>
      <c r="D148" s="563"/>
      <c r="E148" s="563"/>
      <c r="F148" s="563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6">
        <f t="shared" si="19"/>
        <v>-142598064.63643947</v>
      </c>
      <c r="T148" s="419">
        <f t="shared" si="20"/>
        <v>-2.8801871265691673E-2</v>
      </c>
    </row>
    <row r="149" spans="1:20" ht="13.5" thickBot="1">
      <c r="A149" s="117" t="str">
        <f>+CONCATENATE(A54,"p")</f>
        <v>1001p</v>
      </c>
      <c r="B149" s="564" t="s">
        <v>813</v>
      </c>
      <c r="C149" s="565"/>
      <c r="D149" s="565"/>
      <c r="E149" s="565"/>
      <c r="F149" s="565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6">
        <f t="shared" si="19"/>
        <v>-46845364.63643948</v>
      </c>
      <c r="T149" s="419">
        <f t="shared" si="20"/>
        <v>-9.4617985531083582E-3</v>
      </c>
    </row>
    <row r="150" spans="1:20">
      <c r="A150" s="117" t="str">
        <f>+CONCATENATE(A55,"p")</f>
        <v>46p</v>
      </c>
      <c r="B150" s="566" t="s">
        <v>352</v>
      </c>
      <c r="C150" s="567"/>
      <c r="D150" s="567"/>
      <c r="E150" s="567"/>
      <c r="F150" s="567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7">
        <f t="shared" si="19"/>
        <v>373600000</v>
      </c>
      <c r="T150" s="420">
        <f t="shared" si="20"/>
        <v>7.5459503130680672E-2</v>
      </c>
    </row>
    <row r="151" spans="1:20">
      <c r="A151" s="117" t="str">
        <f>+CONCATENATE(A56,"p")</f>
        <v>4611p</v>
      </c>
      <c r="B151" s="558" t="s">
        <v>355</v>
      </c>
      <c r="C151" s="559"/>
      <c r="D151" s="559"/>
      <c r="E151" s="559"/>
      <c r="F151" s="559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5">
        <f t="shared" si="19"/>
        <v>44100000.039999999</v>
      </c>
      <c r="T151" s="418">
        <f t="shared" si="20"/>
        <v>8.9072914643506355E-3</v>
      </c>
    </row>
    <row r="152" spans="1:20">
      <c r="A152" s="117" t="str">
        <f>+CONCATENATE(A57,"p")</f>
        <v>4612p</v>
      </c>
      <c r="B152" s="560" t="s">
        <v>357</v>
      </c>
      <c r="C152" s="561"/>
      <c r="D152" s="561"/>
      <c r="E152" s="561"/>
      <c r="F152" s="561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5">
        <f t="shared" si="19"/>
        <v>329499999.95999998</v>
      </c>
      <c r="T152" s="418">
        <f t="shared" si="20"/>
        <v>6.6552211666330033E-2</v>
      </c>
    </row>
    <row r="153" spans="1:20" ht="13.5" thickBot="1">
      <c r="A153" s="117"/>
      <c r="B153" s="608" t="s">
        <v>336</v>
      </c>
      <c r="C153" s="609"/>
      <c r="D153" s="609"/>
      <c r="E153" s="609"/>
      <c r="F153" s="609"/>
      <c r="G153" s="494">
        <v>26666.67</v>
      </c>
      <c r="H153" s="494">
        <v>26666.67</v>
      </c>
      <c r="I153" s="494">
        <v>26666.67</v>
      </c>
      <c r="J153" s="494">
        <v>39926666.670000002</v>
      </c>
      <c r="K153" s="494">
        <v>26666.67</v>
      </c>
      <c r="L153" s="494">
        <v>26666.67</v>
      </c>
      <c r="M153" s="494">
        <v>26666.67</v>
      </c>
      <c r="N153" s="494">
        <v>26666.67</v>
      </c>
      <c r="O153" s="494">
        <v>26666.67</v>
      </c>
      <c r="P153" s="494">
        <v>26666.67</v>
      </c>
      <c r="Q153" s="494">
        <v>26666.67</v>
      </c>
      <c r="R153" s="494">
        <v>26666.63</v>
      </c>
      <c r="S153" s="495">
        <f t="shared" si="19"/>
        <v>40220000.000000015</v>
      </c>
      <c r="T153" s="496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56" t="s">
        <v>543</v>
      </c>
      <c r="C154" s="557"/>
      <c r="D154" s="557"/>
      <c r="E154" s="557"/>
      <c r="F154" s="557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8">
        <f t="shared" si="19"/>
        <v>-556418064.63643956</v>
      </c>
      <c r="T154" s="421">
        <f t="shared" si="20"/>
        <v>-0.11238498578801041</v>
      </c>
    </row>
    <row r="155" spans="1:20" ht="13.5" thickBot="1">
      <c r="A155" s="117" t="str">
        <f t="shared" si="32"/>
        <v>1003p</v>
      </c>
      <c r="B155" s="554" t="s">
        <v>544</v>
      </c>
      <c r="C155" s="555"/>
      <c r="D155" s="555"/>
      <c r="E155" s="555"/>
      <c r="F155" s="555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09">
        <f t="shared" si="19"/>
        <v>556418064.63643956</v>
      </c>
      <c r="T155" s="422">
        <f t="shared" si="20"/>
        <v>0.11238498578801041</v>
      </c>
    </row>
    <row r="156" spans="1:20">
      <c r="A156" s="117" t="str">
        <f t="shared" si="32"/>
        <v>7511p</v>
      </c>
      <c r="B156" s="558" t="s">
        <v>114</v>
      </c>
      <c r="C156" s="559"/>
      <c r="D156" s="559"/>
      <c r="E156" s="559"/>
      <c r="F156" s="559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5">
        <f t="shared" si="19"/>
        <v>190000000</v>
      </c>
      <c r="T156" s="418">
        <f t="shared" si="20"/>
        <v>3.8376085639264798E-2</v>
      </c>
    </row>
    <row r="157" spans="1:20">
      <c r="A157" s="117" t="str">
        <f t="shared" si="32"/>
        <v>7512p</v>
      </c>
      <c r="B157" s="560" t="s">
        <v>116</v>
      </c>
      <c r="C157" s="561"/>
      <c r="D157" s="561"/>
      <c r="E157" s="561"/>
      <c r="F157" s="561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5">
        <f t="shared" si="19"/>
        <v>180405268.74155378</v>
      </c>
      <c r="T157" s="418">
        <f t="shared" si="20"/>
        <v>3.6438147594739199E-2</v>
      </c>
    </row>
    <row r="158" spans="1:20">
      <c r="A158" s="117" t="str">
        <f t="shared" si="32"/>
        <v>72p</v>
      </c>
      <c r="B158" s="560" t="s">
        <v>93</v>
      </c>
      <c r="C158" s="561"/>
      <c r="D158" s="561"/>
      <c r="E158" s="561"/>
      <c r="F158" s="561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5">
        <f t="shared" si="19"/>
        <v>6000000</v>
      </c>
      <c r="T158" s="418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0">
        <f t="shared" si="19"/>
        <v>180012795.89488566</v>
      </c>
      <c r="T159" s="423">
        <f t="shared" si="20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Y162"/>
  <sheetViews>
    <sheetView zoomScaleNormal="100" workbookViewId="0">
      <pane ySplit="1" topLeftCell="A44" activePane="bottomLeft" state="frozen"/>
      <selection pane="bottomLeft" activeCell="P55" sqref="P55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607" t="s">
        <v>554</v>
      </c>
      <c r="C7" s="507"/>
      <c r="D7" s="507"/>
      <c r="E7" s="507"/>
      <c r="F7" s="507"/>
      <c r="G7" s="515">
        <v>2018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">
        <v>419</v>
      </c>
      <c r="T7" s="236">
        <v>4663130000</v>
      </c>
    </row>
    <row r="8" spans="1:20" ht="16.5" customHeight="1">
      <c r="A8" s="144"/>
      <c r="B8" s="508"/>
      <c r="C8" s="509"/>
      <c r="D8" s="509"/>
      <c r="E8" s="509"/>
      <c r="F8" s="51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5" t="s">
        <v>809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48" t="s">
        <v>681</v>
      </c>
      <c r="C10" s="549"/>
      <c r="D10" s="549"/>
      <c r="E10" s="549"/>
      <c r="F10" s="549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3">
        <f>+SUM(G10:R10)</f>
        <v>1746018287.1400003</v>
      </c>
      <c r="T10" s="368">
        <f>+S10/$T$7</f>
        <v>0.3744305406754691</v>
      </c>
    </row>
    <row r="11" spans="1:20">
      <c r="A11" s="150">
        <v>711</v>
      </c>
      <c r="B11" s="550" t="s">
        <v>21</v>
      </c>
      <c r="C11" s="551"/>
      <c r="D11" s="551"/>
      <c r="E11" s="551"/>
      <c r="F11" s="551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4">
        <f t="shared" ref="S11:S66" si="3">+SUM(G11:R11)</f>
        <v>1068947201.3</v>
      </c>
      <c r="T11" s="369">
        <f t="shared" ref="T11:T67" si="4">+S11/$T$7</f>
        <v>0.22923384106812375</v>
      </c>
    </row>
    <row r="12" spans="1:20">
      <c r="A12" s="150">
        <v>7111</v>
      </c>
      <c r="B12" s="536" t="s">
        <v>23</v>
      </c>
      <c r="C12" s="537"/>
      <c r="D12" s="537"/>
      <c r="E12" s="537"/>
      <c r="F12" s="537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5">
        <f t="shared" si="3"/>
        <v>124898382.06000002</v>
      </c>
      <c r="T12" s="370">
        <f t="shared" si="4"/>
        <v>2.6784237638667593E-2</v>
      </c>
    </row>
    <row r="13" spans="1:20">
      <c r="A13" s="150">
        <v>7112</v>
      </c>
      <c r="B13" s="536" t="s">
        <v>25</v>
      </c>
      <c r="C13" s="537"/>
      <c r="D13" s="537"/>
      <c r="E13" s="537"/>
      <c r="F13" s="537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5">
        <f t="shared" si="3"/>
        <v>68172478.429999992</v>
      </c>
      <c r="T13" s="370">
        <f t="shared" si="4"/>
        <v>1.4619467703023505E-2</v>
      </c>
    </row>
    <row r="14" spans="1:20">
      <c r="A14" s="150">
        <v>7113</v>
      </c>
      <c r="B14" s="536" t="s">
        <v>27</v>
      </c>
      <c r="C14" s="537"/>
      <c r="D14" s="537"/>
      <c r="E14" s="537"/>
      <c r="F14" s="537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5">
        <f t="shared" si="3"/>
        <v>1836094.52</v>
      </c>
      <c r="T14" s="370">
        <f t="shared" si="4"/>
        <v>3.9374722986491905E-4</v>
      </c>
    </row>
    <row r="15" spans="1:20">
      <c r="A15" s="150">
        <v>7114</v>
      </c>
      <c r="B15" s="536" t="s">
        <v>29</v>
      </c>
      <c r="C15" s="537"/>
      <c r="D15" s="537"/>
      <c r="E15" s="537"/>
      <c r="F15" s="537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5">
        <f t="shared" si="3"/>
        <v>616913678.91000009</v>
      </c>
      <c r="T15" s="370">
        <f t="shared" si="4"/>
        <v>0.13229604984420337</v>
      </c>
    </row>
    <row r="16" spans="1:20">
      <c r="A16" s="150">
        <v>7115</v>
      </c>
      <c r="B16" s="536" t="s">
        <v>31</v>
      </c>
      <c r="C16" s="537"/>
      <c r="D16" s="537"/>
      <c r="E16" s="537"/>
      <c r="F16" s="537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5">
        <f t="shared" si="3"/>
        <v>221178044.41</v>
      </c>
      <c r="T16" s="370">
        <f t="shared" si="4"/>
        <v>4.7431241335755166E-2</v>
      </c>
    </row>
    <row r="17" spans="1:25">
      <c r="A17" s="150">
        <v>7116</v>
      </c>
      <c r="B17" s="536" t="s">
        <v>33</v>
      </c>
      <c r="C17" s="537"/>
      <c r="D17" s="537"/>
      <c r="E17" s="537"/>
      <c r="F17" s="537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5">
        <f t="shared" si="3"/>
        <v>26634891.989999998</v>
      </c>
      <c r="T17" s="370">
        <f t="shared" si="4"/>
        <v>5.7118055876632214E-3</v>
      </c>
    </row>
    <row r="18" spans="1:25">
      <c r="A18" s="150">
        <v>7118</v>
      </c>
      <c r="B18" s="536" t="s">
        <v>722</v>
      </c>
      <c r="C18" s="537"/>
      <c r="D18" s="537"/>
      <c r="E18" s="537"/>
      <c r="F18" s="537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5">
        <f t="shared" si="3"/>
        <v>9313630.9799999986</v>
      </c>
      <c r="T18" s="370">
        <f t="shared" si="4"/>
        <v>1.9972917289460082E-3</v>
      </c>
    </row>
    <row r="19" spans="1:25">
      <c r="A19" s="150">
        <v>712</v>
      </c>
      <c r="B19" s="546" t="s">
        <v>37</v>
      </c>
      <c r="C19" s="547"/>
      <c r="D19" s="547"/>
      <c r="E19" s="547"/>
      <c r="F19" s="547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6">
        <f t="shared" si="3"/>
        <v>524440114.39999998</v>
      </c>
      <c r="T19" s="371">
        <f t="shared" si="4"/>
        <v>0.11246525711271184</v>
      </c>
    </row>
    <row r="20" spans="1:25">
      <c r="A20" s="150">
        <v>7121</v>
      </c>
      <c r="B20" s="536" t="s">
        <v>39</v>
      </c>
      <c r="C20" s="537"/>
      <c r="D20" s="537"/>
      <c r="E20" s="537"/>
      <c r="F20" s="537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5">
        <f t="shared" si="3"/>
        <v>316982958.28000003</v>
      </c>
      <c r="T20" s="370">
        <f t="shared" si="4"/>
        <v>6.7976436059041898E-2</v>
      </c>
    </row>
    <row r="21" spans="1:25">
      <c r="A21" s="150">
        <v>7122</v>
      </c>
      <c r="B21" s="536" t="s">
        <v>41</v>
      </c>
      <c r="C21" s="537"/>
      <c r="D21" s="537"/>
      <c r="E21" s="537"/>
      <c r="F21" s="537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5">
        <f t="shared" si="3"/>
        <v>182045765.34999999</v>
      </c>
      <c r="T21" s="370">
        <f t="shared" si="4"/>
        <v>3.9039393143661019E-2</v>
      </c>
    </row>
    <row r="22" spans="1:25">
      <c r="A22" s="150">
        <v>7123</v>
      </c>
      <c r="B22" s="536" t="s">
        <v>43</v>
      </c>
      <c r="C22" s="537"/>
      <c r="D22" s="537"/>
      <c r="E22" s="537"/>
      <c r="F22" s="537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5">
        <f t="shared" si="3"/>
        <v>13590597.370000001</v>
      </c>
      <c r="T22" s="370">
        <f t="shared" si="4"/>
        <v>2.9144796242009125E-3</v>
      </c>
    </row>
    <row r="23" spans="1:25">
      <c r="A23" s="150">
        <v>7124</v>
      </c>
      <c r="B23" s="536" t="s">
        <v>45</v>
      </c>
      <c r="C23" s="537"/>
      <c r="D23" s="537"/>
      <c r="E23" s="537"/>
      <c r="F23" s="537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5">
        <f t="shared" si="3"/>
        <v>11820793.4</v>
      </c>
      <c r="T23" s="370">
        <f t="shared" si="4"/>
        <v>2.5349482858080304E-3</v>
      </c>
      <c r="Y23" s="305"/>
    </row>
    <row r="24" spans="1:25">
      <c r="A24" s="150">
        <v>713</v>
      </c>
      <c r="B24" s="538" t="s">
        <v>47</v>
      </c>
      <c r="C24" s="539"/>
      <c r="D24" s="539"/>
      <c r="E24" s="539"/>
      <c r="F24" s="539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6">
        <f t="shared" si="3"/>
        <v>16901007.650000002</v>
      </c>
      <c r="T24" s="371">
        <f t="shared" si="4"/>
        <v>3.6243912672389582E-3</v>
      </c>
      <c r="Y24" s="305"/>
    </row>
    <row r="25" spans="1:25">
      <c r="A25" s="150">
        <v>714</v>
      </c>
      <c r="B25" s="538" t="s">
        <v>61</v>
      </c>
      <c r="C25" s="539"/>
      <c r="D25" s="539"/>
      <c r="E25" s="539"/>
      <c r="F25" s="539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6">
        <f t="shared" si="3"/>
        <v>26419539.080000002</v>
      </c>
      <c r="T25" s="371">
        <f t="shared" si="4"/>
        <v>5.6656235361227337E-3</v>
      </c>
      <c r="W25" s="292"/>
    </row>
    <row r="26" spans="1:25">
      <c r="A26" s="150">
        <v>715</v>
      </c>
      <c r="B26" s="538" t="s">
        <v>81</v>
      </c>
      <c r="C26" s="539"/>
      <c r="D26" s="539"/>
      <c r="E26" s="539"/>
      <c r="F26" s="539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6">
        <f t="shared" si="3"/>
        <v>71315064.620000005</v>
      </c>
      <c r="T26" s="371">
        <f t="shared" si="4"/>
        <v>1.529338976610131E-2</v>
      </c>
    </row>
    <row r="27" spans="1:25">
      <c r="A27" s="150">
        <v>73</v>
      </c>
      <c r="B27" s="538" t="s">
        <v>99</v>
      </c>
      <c r="C27" s="539"/>
      <c r="D27" s="539"/>
      <c r="E27" s="539"/>
      <c r="F27" s="539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6">
        <f t="shared" si="3"/>
        <v>11285945.1</v>
      </c>
      <c r="T27" s="371">
        <f t="shared" si="4"/>
        <v>2.4202510116595505E-3</v>
      </c>
    </row>
    <row r="28" spans="1:25" ht="13.5" thickBot="1">
      <c r="A28" s="150">
        <v>74</v>
      </c>
      <c r="B28" s="540" t="s">
        <v>105</v>
      </c>
      <c r="C28" s="541"/>
      <c r="D28" s="541"/>
      <c r="E28" s="541"/>
      <c r="F28" s="541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6">
        <f t="shared" si="3"/>
        <v>26709414.990000006</v>
      </c>
      <c r="T28" s="372">
        <f t="shared" si="4"/>
        <v>5.7277869135108836E-3</v>
      </c>
    </row>
    <row r="29" spans="1:25" ht="13.5" thickBot="1">
      <c r="A29" s="150">
        <v>4</v>
      </c>
      <c r="B29" s="526" t="s">
        <v>802</v>
      </c>
      <c r="C29" s="527"/>
      <c r="D29" s="527"/>
      <c r="E29" s="527"/>
      <c r="F29" s="527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7">
        <f t="shared" si="3"/>
        <v>1914918461.6599998</v>
      </c>
      <c r="T29" s="373">
        <f t="shared" si="4"/>
        <v>0.41065088506217923</v>
      </c>
    </row>
    <row r="30" spans="1:25" ht="13.5" thickBot="1">
      <c r="A30" s="150">
        <v>40</v>
      </c>
      <c r="B30" s="542" t="s">
        <v>774</v>
      </c>
      <c r="C30" s="543"/>
      <c r="D30" s="543"/>
      <c r="E30" s="543"/>
      <c r="F30" s="543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8">
        <f t="shared" si="3"/>
        <v>1671556011.4800003</v>
      </c>
      <c r="T30" s="374">
        <f t="shared" si="4"/>
        <v>0.35846223705536845</v>
      </c>
    </row>
    <row r="31" spans="1:25">
      <c r="A31" s="150">
        <v>41</v>
      </c>
      <c r="B31" s="544" t="s">
        <v>120</v>
      </c>
      <c r="C31" s="545"/>
      <c r="D31" s="545"/>
      <c r="E31" s="545"/>
      <c r="F31" s="545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9">
        <f t="shared" si="3"/>
        <v>866631492.57999992</v>
      </c>
      <c r="T31" s="369">
        <f t="shared" si="4"/>
        <v>0.185847594336851</v>
      </c>
    </row>
    <row r="32" spans="1:25">
      <c r="A32" s="150">
        <v>411</v>
      </c>
      <c r="B32" s="536" t="s">
        <v>122</v>
      </c>
      <c r="C32" s="537"/>
      <c r="D32" s="537"/>
      <c r="E32" s="537"/>
      <c r="F32" s="537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5">
        <f t="shared" si="3"/>
        <v>459796234.55000001</v>
      </c>
      <c r="T32" s="370">
        <f t="shared" si="4"/>
        <v>9.860249114864908E-2</v>
      </c>
    </row>
    <row r="33" spans="1:22">
      <c r="A33" s="150">
        <v>412</v>
      </c>
      <c r="B33" s="536" t="s">
        <v>133</v>
      </c>
      <c r="C33" s="537"/>
      <c r="D33" s="537"/>
      <c r="E33" s="537"/>
      <c r="F33" s="537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5">
        <f t="shared" si="3"/>
        <v>13212940.209999999</v>
      </c>
      <c r="T33" s="370">
        <f t="shared" si="4"/>
        <v>2.8334917126479424E-3</v>
      </c>
      <c r="U33" s="293"/>
    </row>
    <row r="34" spans="1:22">
      <c r="A34" s="150">
        <v>413</v>
      </c>
      <c r="B34" s="536" t="s">
        <v>148</v>
      </c>
      <c r="C34" s="537"/>
      <c r="D34" s="537"/>
      <c r="E34" s="537"/>
      <c r="F34" s="537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5">
        <f t="shared" si="3"/>
        <v>36731134.720000006</v>
      </c>
      <c r="T34" s="370">
        <f t="shared" si="4"/>
        <v>7.8769270254099733E-3</v>
      </c>
      <c r="U34" s="311"/>
      <c r="V34" s="291"/>
    </row>
    <row r="35" spans="1:22">
      <c r="A35" s="150">
        <v>414</v>
      </c>
      <c r="B35" s="536" t="s">
        <v>162</v>
      </c>
      <c r="C35" s="537"/>
      <c r="D35" s="537"/>
      <c r="E35" s="537"/>
      <c r="F35" s="537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5">
        <f t="shared" si="3"/>
        <v>75138922.689999998</v>
      </c>
      <c r="T35" s="370">
        <f t="shared" si="4"/>
        <v>1.6113409381681404E-2</v>
      </c>
    </row>
    <row r="36" spans="1:22">
      <c r="A36" s="150">
        <v>415</v>
      </c>
      <c r="B36" s="536" t="s">
        <v>182</v>
      </c>
      <c r="C36" s="537"/>
      <c r="D36" s="537"/>
      <c r="E36" s="537"/>
      <c r="F36" s="537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5">
        <f t="shared" si="3"/>
        <v>20973232.77</v>
      </c>
      <c r="T36" s="370">
        <f t="shared" si="4"/>
        <v>4.4976727584262076E-3</v>
      </c>
    </row>
    <row r="37" spans="1:22">
      <c r="A37" s="150">
        <v>416</v>
      </c>
      <c r="B37" s="536" t="s">
        <v>190</v>
      </c>
      <c r="C37" s="537"/>
      <c r="D37" s="537"/>
      <c r="E37" s="537"/>
      <c r="F37" s="537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5">
        <f>+SUM(G37:R37)</f>
        <v>97597309.48999998</v>
      </c>
      <c r="T37" s="370">
        <f t="shared" si="4"/>
        <v>2.0929570801157159E-2</v>
      </c>
    </row>
    <row r="38" spans="1:22">
      <c r="A38" s="150">
        <v>417</v>
      </c>
      <c r="B38" s="536" t="s">
        <v>196</v>
      </c>
      <c r="C38" s="537"/>
      <c r="D38" s="537"/>
      <c r="E38" s="537"/>
      <c r="F38" s="537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5">
        <f t="shared" si="3"/>
        <v>10693128.550000001</v>
      </c>
      <c r="T38" s="370">
        <f t="shared" si="4"/>
        <v>2.2931225485886093E-3</v>
      </c>
    </row>
    <row r="39" spans="1:22">
      <c r="A39" s="150">
        <v>418</v>
      </c>
      <c r="B39" s="536" t="s">
        <v>204</v>
      </c>
      <c r="C39" s="537"/>
      <c r="D39" s="537"/>
      <c r="E39" s="537"/>
      <c r="F39" s="537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5">
        <f t="shared" si="3"/>
        <v>30560884.969999999</v>
      </c>
      <c r="T39" s="370">
        <f t="shared" si="4"/>
        <v>6.5537278544668493E-3</v>
      </c>
    </row>
    <row r="40" spans="1:22">
      <c r="A40" s="150">
        <v>419</v>
      </c>
      <c r="B40" s="536" t="s">
        <v>212</v>
      </c>
      <c r="C40" s="537"/>
      <c r="D40" s="537"/>
      <c r="E40" s="537"/>
      <c r="F40" s="537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5">
        <f t="shared" si="3"/>
        <v>43556427.669999994</v>
      </c>
      <c r="T40" s="370">
        <f t="shared" si="4"/>
        <v>9.3405990547121773E-3</v>
      </c>
    </row>
    <row r="41" spans="1:22">
      <c r="A41" s="150">
        <v>440</v>
      </c>
      <c r="B41" s="536" t="s">
        <v>803</v>
      </c>
      <c r="C41" s="537"/>
      <c r="D41" s="537"/>
      <c r="E41" s="537"/>
      <c r="F41" s="537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5">
        <f t="shared" si="3"/>
        <v>78371276.960000008</v>
      </c>
      <c r="T41" s="370">
        <f t="shared" si="4"/>
        <v>1.6806582051111595E-2</v>
      </c>
    </row>
    <row r="42" spans="1:22">
      <c r="A42" s="150">
        <v>42</v>
      </c>
      <c r="B42" s="532" t="s">
        <v>230</v>
      </c>
      <c r="C42" s="533"/>
      <c r="D42" s="533"/>
      <c r="E42" s="533"/>
      <c r="F42" s="533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6">
        <f t="shared" si="3"/>
        <v>544485571.48000002</v>
      </c>
      <c r="T42" s="371">
        <f t="shared" si="4"/>
        <v>0.11676397001155876</v>
      </c>
    </row>
    <row r="43" spans="1:22">
      <c r="A43" s="150">
        <v>421</v>
      </c>
      <c r="B43" s="536" t="s">
        <v>232</v>
      </c>
      <c r="C43" s="537"/>
      <c r="D43" s="537"/>
      <c r="E43" s="537"/>
      <c r="F43" s="537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5">
        <f t="shared" si="3"/>
        <v>82294784.480000004</v>
      </c>
      <c r="T43" s="370">
        <f t="shared" si="4"/>
        <v>1.7647971315404031E-2</v>
      </c>
    </row>
    <row r="44" spans="1:22">
      <c r="A44" s="150">
        <v>422</v>
      </c>
      <c r="B44" s="536" t="s">
        <v>248</v>
      </c>
      <c r="C44" s="537"/>
      <c r="D44" s="537"/>
      <c r="E44" s="537"/>
      <c r="F44" s="537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5">
        <f t="shared" si="3"/>
        <v>14196791.939999998</v>
      </c>
      <c r="T44" s="370">
        <f t="shared" si="4"/>
        <v>3.0444769800541693E-3</v>
      </c>
    </row>
    <row r="45" spans="1:22">
      <c r="A45" s="150">
        <v>423</v>
      </c>
      <c r="B45" s="536" t="s">
        <v>259</v>
      </c>
      <c r="C45" s="537"/>
      <c r="D45" s="537"/>
      <c r="E45" s="537"/>
      <c r="F45" s="537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5">
        <f t="shared" si="3"/>
        <v>414750265.80000001</v>
      </c>
      <c r="T45" s="370">
        <f t="shared" si="4"/>
        <v>8.8942462637756181E-2</v>
      </c>
    </row>
    <row r="46" spans="1:22">
      <c r="A46" s="150">
        <v>424</v>
      </c>
      <c r="B46" s="536" t="s">
        <v>274</v>
      </c>
      <c r="C46" s="537"/>
      <c r="D46" s="537"/>
      <c r="E46" s="537"/>
      <c r="F46" s="537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5">
        <f t="shared" si="3"/>
        <v>20004829.280000001</v>
      </c>
      <c r="T46" s="370">
        <f t="shared" si="4"/>
        <v>4.2900003388282124E-3</v>
      </c>
    </row>
    <row r="47" spans="1:22">
      <c r="A47" s="150">
        <v>425</v>
      </c>
      <c r="B47" s="616" t="s">
        <v>278</v>
      </c>
      <c r="C47" s="617"/>
      <c r="D47" s="617"/>
      <c r="E47" s="617"/>
      <c r="F47" s="617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5">
        <f t="shared" si="3"/>
        <v>13238899.98</v>
      </c>
      <c r="T47" s="370">
        <f t="shared" si="4"/>
        <v>2.8390587395161621E-3</v>
      </c>
    </row>
    <row r="48" spans="1:22">
      <c r="A48" s="150">
        <v>43</v>
      </c>
      <c r="B48" s="534" t="s">
        <v>286</v>
      </c>
      <c r="C48" s="535"/>
      <c r="D48" s="535"/>
      <c r="E48" s="535"/>
      <c r="F48" s="535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6">
        <f t="shared" si="3"/>
        <v>208726710.33999997</v>
      </c>
      <c r="T48" s="371">
        <f t="shared" si="4"/>
        <v>4.4761074715909697E-2</v>
      </c>
    </row>
    <row r="49" spans="1:22">
      <c r="A49" s="150">
        <v>44</v>
      </c>
      <c r="B49" s="534" t="s">
        <v>320</v>
      </c>
      <c r="C49" s="535"/>
      <c r="D49" s="535"/>
      <c r="E49" s="535"/>
      <c r="F49" s="535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6">
        <f t="shared" si="3"/>
        <v>243362450.18000001</v>
      </c>
      <c r="T49" s="371">
        <f t="shared" si="4"/>
        <v>5.2188648006810875E-2</v>
      </c>
    </row>
    <row r="50" spans="1:22">
      <c r="A50" s="150">
        <v>451</v>
      </c>
      <c r="B50" s="603" t="s">
        <v>113</v>
      </c>
      <c r="C50" s="604"/>
      <c r="D50" s="604"/>
      <c r="E50" s="604"/>
      <c r="F50" s="604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5">
        <f t="shared" si="3"/>
        <v>4596369</v>
      </c>
      <c r="T50" s="370">
        <f t="shared" si="4"/>
        <v>9.8568322135561309E-4</v>
      </c>
    </row>
    <row r="51" spans="1:22">
      <c r="A51" s="150">
        <v>47</v>
      </c>
      <c r="B51" s="504" t="s">
        <v>366</v>
      </c>
      <c r="C51" s="505"/>
      <c r="D51" s="505"/>
      <c r="E51" s="505"/>
      <c r="F51" s="505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5">
        <f t="shared" si="3"/>
        <v>23887500.050000001</v>
      </c>
      <c r="T51" s="370">
        <f t="shared" si="4"/>
        <v>5.1226322341431617E-3</v>
      </c>
      <c r="U51" s="353"/>
    </row>
    <row r="52" spans="1:22" ht="13.5" thickBot="1">
      <c r="A52" s="150">
        <v>462</v>
      </c>
      <c r="B52" s="522" t="s">
        <v>359</v>
      </c>
      <c r="C52" s="523"/>
      <c r="D52" s="523"/>
      <c r="E52" s="523"/>
      <c r="F52" s="523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5">
        <f t="shared" si="3"/>
        <v>0</v>
      </c>
      <c r="T52" s="375">
        <f t="shared" si="4"/>
        <v>0</v>
      </c>
      <c r="U52" s="292"/>
    </row>
    <row r="53" spans="1:22" ht="13.5" thickBot="1">
      <c r="A53" s="144">
        <v>4630</v>
      </c>
      <c r="B53" s="597" t="s">
        <v>795</v>
      </c>
      <c r="C53" s="598"/>
      <c r="D53" s="598"/>
      <c r="E53" s="598"/>
      <c r="F53" s="598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0">
        <f>+SUM(G53:R53)</f>
        <v>23228368.030000001</v>
      </c>
      <c r="T53" s="375">
        <f>+S53/$T$7</f>
        <v>4.9812825355501564E-3</v>
      </c>
    </row>
    <row r="54" spans="1:22" ht="13.5" thickBot="1">
      <c r="A54" s="70">
        <v>1005</v>
      </c>
      <c r="B54" s="599" t="s">
        <v>685</v>
      </c>
      <c r="C54" s="600"/>
      <c r="D54" s="600"/>
      <c r="E54" s="600"/>
      <c r="F54" s="600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1">
        <f>+SUM(G54:R54)</f>
        <v>28097590.27</v>
      </c>
      <c r="T54" s="376">
        <f>+S54/$T$7</f>
        <v>6.0254786527504057E-3</v>
      </c>
    </row>
    <row r="55" spans="1:22" ht="13.5" thickBot="1">
      <c r="A55" s="144">
        <v>1000</v>
      </c>
      <c r="B55" s="528" t="s">
        <v>545</v>
      </c>
      <c r="C55" s="529"/>
      <c r="D55" s="529"/>
      <c r="E55" s="529"/>
      <c r="F55" s="529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2">
        <f t="shared" si="3"/>
        <v>-168900174.51999998</v>
      </c>
      <c r="T55" s="377">
        <f t="shared" si="4"/>
        <v>-3.6220344386710207E-2</v>
      </c>
    </row>
    <row r="56" spans="1:22" ht="13.5" thickBot="1">
      <c r="A56" s="144"/>
      <c r="B56" s="364" t="s">
        <v>804</v>
      </c>
      <c r="C56" s="365"/>
      <c r="D56" s="365"/>
      <c r="E56" s="365"/>
      <c r="F56" s="365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2">
        <f t="shared" si="3"/>
        <v>-196997764.78999999</v>
      </c>
      <c r="T56" s="377">
        <f t="shared" si="4"/>
        <v>-4.2245823039460617E-2</v>
      </c>
    </row>
    <row r="57" spans="1:22" ht="13.5" thickBot="1">
      <c r="A57" s="144">
        <v>1001</v>
      </c>
      <c r="B57" s="530" t="s">
        <v>794</v>
      </c>
      <c r="C57" s="531"/>
      <c r="D57" s="531"/>
      <c r="E57" s="531"/>
      <c r="F57" s="531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2">
        <f t="shared" si="3"/>
        <v>-99400455.299999982</v>
      </c>
      <c r="T57" s="377">
        <f t="shared" si="4"/>
        <v>-2.1316252238303454E-2</v>
      </c>
    </row>
    <row r="58" spans="1:22">
      <c r="A58" s="144">
        <v>46</v>
      </c>
      <c r="B58" s="552" t="s">
        <v>352</v>
      </c>
      <c r="C58" s="553"/>
      <c r="D58" s="553"/>
      <c r="E58" s="553"/>
      <c r="F58" s="553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3">
        <f t="shared" si="3"/>
        <v>696281459.90999997</v>
      </c>
      <c r="T58" s="378">
        <f t="shared" si="4"/>
        <v>0.14931633042827455</v>
      </c>
      <c r="V58" s="309"/>
    </row>
    <row r="59" spans="1:22">
      <c r="A59" s="144">
        <v>4611</v>
      </c>
      <c r="B59" s="520" t="s">
        <v>355</v>
      </c>
      <c r="C59" s="521"/>
      <c r="D59" s="521"/>
      <c r="E59" s="521"/>
      <c r="F59" s="521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4">
        <f t="shared" si="3"/>
        <v>234823593.10000002</v>
      </c>
      <c r="T59" s="379">
        <f t="shared" si="4"/>
        <v>5.0357505173563681E-2</v>
      </c>
    </row>
    <row r="60" spans="1:22" ht="13.5" thickBot="1">
      <c r="A60" s="144">
        <v>4612</v>
      </c>
      <c r="B60" s="504" t="s">
        <v>357</v>
      </c>
      <c r="C60" s="505"/>
      <c r="D60" s="505"/>
      <c r="E60" s="505"/>
      <c r="F60" s="505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4">
        <f t="shared" si="3"/>
        <v>461457866.81</v>
      </c>
      <c r="T60" s="379">
        <f t="shared" si="4"/>
        <v>9.8958825254710892E-2</v>
      </c>
      <c r="V60" s="318"/>
    </row>
    <row r="61" spans="1:22" ht="13.5" thickBot="1">
      <c r="A61" s="144">
        <v>4418</v>
      </c>
      <c r="B61" s="614" t="s">
        <v>336</v>
      </c>
      <c r="C61" s="615"/>
      <c r="D61" s="615"/>
      <c r="E61" s="615"/>
      <c r="F61" s="615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3">
        <f>SUM(G61:R61)</f>
        <v>69245296.659999996</v>
      </c>
      <c r="T61" s="378">
        <f>+S61/$T$7</f>
        <v>1.4849531679365575E-2</v>
      </c>
      <c r="V61" s="318"/>
    </row>
    <row r="62" spans="1:22" ht="13.5" thickBot="1">
      <c r="A62" s="144">
        <v>1002</v>
      </c>
      <c r="B62" s="524" t="s">
        <v>543</v>
      </c>
      <c r="C62" s="525"/>
      <c r="D62" s="525"/>
      <c r="E62" s="525"/>
      <c r="F62" s="525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5">
        <f t="shared" si="3"/>
        <v>-962524521.35999966</v>
      </c>
      <c r="T62" s="380">
        <f t="shared" si="4"/>
        <v>-0.2064116851471007</v>
      </c>
    </row>
    <row r="63" spans="1:22" ht="13.5" thickBot="1">
      <c r="A63" s="144">
        <v>1003</v>
      </c>
      <c r="B63" s="526" t="s">
        <v>544</v>
      </c>
      <c r="C63" s="527"/>
      <c r="D63" s="527"/>
      <c r="E63" s="527"/>
      <c r="F63" s="527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6">
        <f t="shared" si="3"/>
        <v>962524521.35999966</v>
      </c>
      <c r="T63" s="381">
        <f t="shared" si="4"/>
        <v>0.2064116851471007</v>
      </c>
    </row>
    <row r="64" spans="1:22">
      <c r="A64" s="144">
        <v>7511</v>
      </c>
      <c r="B64" s="520" t="s">
        <v>114</v>
      </c>
      <c r="C64" s="521"/>
      <c r="D64" s="521"/>
      <c r="E64" s="521"/>
      <c r="F64" s="521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4">
        <f t="shared" si="3"/>
        <v>213600000</v>
      </c>
      <c r="T64" s="379">
        <f t="shared" si="4"/>
        <v>4.5806143084151631E-2</v>
      </c>
    </row>
    <row r="65" spans="1:20">
      <c r="A65" s="144">
        <v>7512</v>
      </c>
      <c r="B65" s="504" t="s">
        <v>116</v>
      </c>
      <c r="C65" s="505"/>
      <c r="D65" s="505"/>
      <c r="E65" s="505"/>
      <c r="F65" s="505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4">
        <f t="shared" si="3"/>
        <v>909773438.82000017</v>
      </c>
      <c r="T65" s="379">
        <f t="shared" si="4"/>
        <v>0.19509930858028837</v>
      </c>
    </row>
    <row r="66" spans="1:20">
      <c r="A66" s="144">
        <v>72</v>
      </c>
      <c r="B66" s="504" t="s">
        <v>93</v>
      </c>
      <c r="C66" s="505"/>
      <c r="D66" s="505"/>
      <c r="E66" s="505"/>
      <c r="F66" s="505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4">
        <f t="shared" si="3"/>
        <v>15749081.709999999</v>
      </c>
      <c r="T66" s="379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7">
        <f>+SUM(G67:R67)</f>
        <v>-176597999.17000002</v>
      </c>
      <c r="T67" s="382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84" t="s">
        <v>552</v>
      </c>
      <c r="C103" s="585"/>
      <c r="D103" s="585"/>
      <c r="E103" s="585"/>
      <c r="F103" s="585"/>
      <c r="G103" s="592">
        <v>2018</v>
      </c>
      <c r="H103" s="593"/>
      <c r="I103" s="593"/>
      <c r="J103" s="593"/>
      <c r="K103" s="593"/>
      <c r="L103" s="593"/>
      <c r="M103" s="593"/>
      <c r="N103" s="593"/>
      <c r="O103" s="593"/>
      <c r="P103" s="593"/>
      <c r="Q103" s="593"/>
      <c r="R103" s="594"/>
      <c r="S103" s="107" t="str">
        <f>+S7</f>
        <v>BDP</v>
      </c>
      <c r="T103" s="108">
        <f>+T7</f>
        <v>4663130000</v>
      </c>
    </row>
    <row r="104" spans="1:21" ht="15.75" customHeight="1">
      <c r="B104" s="586"/>
      <c r="C104" s="587"/>
      <c r="D104" s="587"/>
      <c r="E104" s="587"/>
      <c r="F104" s="588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92" t="s">
        <v>809</v>
      </c>
      <c r="T104" s="594">
        <f>+T8</f>
        <v>0</v>
      </c>
    </row>
    <row r="105" spans="1:21" ht="13.5" thickBot="1">
      <c r="B105" s="589"/>
      <c r="C105" s="590"/>
      <c r="D105" s="590"/>
      <c r="E105" s="590"/>
      <c r="F105" s="591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80" t="s">
        <v>681</v>
      </c>
      <c r="C106" s="581"/>
      <c r="D106" s="581"/>
      <c r="E106" s="581"/>
      <c r="F106" s="581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8">
        <f>+SUM(G106:R106)</f>
        <v>1757003221.1342125</v>
      </c>
      <c r="T106" s="411">
        <f>+S106/$T$7</f>
        <v>0.37678624038665287</v>
      </c>
    </row>
    <row r="107" spans="1:21">
      <c r="A107" s="116" t="str">
        <f t="shared" si="18"/>
        <v>711p</v>
      </c>
      <c r="B107" s="582" t="s">
        <v>21</v>
      </c>
      <c r="C107" s="583"/>
      <c r="D107" s="583"/>
      <c r="E107" s="583"/>
      <c r="F107" s="583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9">
        <f t="shared" ref="S107:S162" si="21">+SUM(G107:R107)</f>
        <v>1078397189.3971882</v>
      </c>
      <c r="T107" s="412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70" t="s">
        <v>23</v>
      </c>
      <c r="C108" s="571"/>
      <c r="D108" s="571"/>
      <c r="E108" s="571"/>
      <c r="F108" s="571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0">
        <f t="shared" si="21"/>
        <v>121359662.16838756</v>
      </c>
      <c r="T108" s="413">
        <f t="shared" si="22"/>
        <v>2.60253654022915E-2</v>
      </c>
    </row>
    <row r="109" spans="1:21">
      <c r="A109" s="116" t="str">
        <f t="shared" si="18"/>
        <v>7112p</v>
      </c>
      <c r="B109" s="570" t="s">
        <v>25</v>
      </c>
      <c r="C109" s="571"/>
      <c r="D109" s="571"/>
      <c r="E109" s="571"/>
      <c r="F109" s="571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0">
        <f t="shared" si="21"/>
        <v>61678365.370406665</v>
      </c>
      <c r="T109" s="413">
        <f t="shared" si="22"/>
        <v>1.3226816616823178E-2</v>
      </c>
    </row>
    <row r="110" spans="1:21">
      <c r="A110" s="116" t="str">
        <f t="shared" si="18"/>
        <v>7113p</v>
      </c>
      <c r="B110" s="570" t="s">
        <v>27</v>
      </c>
      <c r="C110" s="571"/>
      <c r="D110" s="571"/>
      <c r="E110" s="571"/>
      <c r="F110" s="571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0">
        <f t="shared" si="21"/>
        <v>1854898.1305385595</v>
      </c>
      <c r="T110" s="413">
        <f t="shared" si="22"/>
        <v>3.9777963096430068E-4</v>
      </c>
    </row>
    <row r="111" spans="1:21">
      <c r="A111" s="116" t="str">
        <f t="shared" si="18"/>
        <v>7114p</v>
      </c>
      <c r="B111" s="570" t="s">
        <v>29</v>
      </c>
      <c r="C111" s="571"/>
      <c r="D111" s="571"/>
      <c r="E111" s="571"/>
      <c r="F111" s="571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0">
        <f t="shared" si="21"/>
        <v>624391782.02119482</v>
      </c>
      <c r="T111" s="413">
        <f t="shared" si="22"/>
        <v>0.13389971586063326</v>
      </c>
    </row>
    <row r="112" spans="1:21">
      <c r="A112" s="116" t="str">
        <f t="shared" si="18"/>
        <v>7115p</v>
      </c>
      <c r="B112" s="570" t="s">
        <v>31</v>
      </c>
      <c r="C112" s="571"/>
      <c r="D112" s="571"/>
      <c r="E112" s="571"/>
      <c r="F112" s="571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0">
        <f t="shared" si="21"/>
        <v>232697830.94442701</v>
      </c>
      <c r="T112" s="413">
        <f t="shared" si="22"/>
        <v>4.9901639230393965E-2</v>
      </c>
    </row>
    <row r="113" spans="1:20">
      <c r="A113" s="116" t="str">
        <f t="shared" si="18"/>
        <v>7116p</v>
      </c>
      <c r="B113" s="570" t="s">
        <v>33</v>
      </c>
      <c r="C113" s="571"/>
      <c r="D113" s="571"/>
      <c r="E113" s="571"/>
      <c r="F113" s="571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0">
        <f t="shared" si="21"/>
        <v>26860004.877748117</v>
      </c>
      <c r="T113" s="413">
        <f t="shared" si="22"/>
        <v>5.7600806492094613E-3</v>
      </c>
    </row>
    <row r="114" spans="1:20">
      <c r="A114" s="116" t="str">
        <f t="shared" si="18"/>
        <v>7118p</v>
      </c>
      <c r="B114" s="570" t="s">
        <v>722</v>
      </c>
      <c r="C114" s="571"/>
      <c r="D114" s="571"/>
      <c r="E114" s="571"/>
      <c r="F114" s="571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0">
        <f t="shared" si="21"/>
        <v>9554645.8844855782</v>
      </c>
      <c r="T114" s="413">
        <f t="shared" si="22"/>
        <v>2.0489769499210998E-3</v>
      </c>
    </row>
    <row r="115" spans="1:20">
      <c r="A115" s="116" t="str">
        <f t="shared" si="18"/>
        <v>712p</v>
      </c>
      <c r="B115" s="578" t="s">
        <v>37</v>
      </c>
      <c r="C115" s="579"/>
      <c r="D115" s="579"/>
      <c r="E115" s="579"/>
      <c r="F115" s="579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1">
        <f t="shared" si="21"/>
        <v>522253828.92039472</v>
      </c>
      <c r="T115" s="414">
        <f t="shared" si="22"/>
        <v>0.1119964120495021</v>
      </c>
    </row>
    <row r="116" spans="1:20">
      <c r="A116" s="116" t="str">
        <f t="shared" si="18"/>
        <v>7121p</v>
      </c>
      <c r="B116" s="570" t="s">
        <v>39</v>
      </c>
      <c r="C116" s="571"/>
      <c r="D116" s="571"/>
      <c r="E116" s="571"/>
      <c r="F116" s="571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0">
        <f t="shared" si="21"/>
        <v>314496114.9625507</v>
      </c>
      <c r="T116" s="413">
        <f t="shared" si="22"/>
        <v>6.7443136897867031E-2</v>
      </c>
    </row>
    <row r="117" spans="1:20">
      <c r="A117" s="116" t="str">
        <f t="shared" si="18"/>
        <v>7122p</v>
      </c>
      <c r="B117" s="570" t="s">
        <v>41</v>
      </c>
      <c r="C117" s="571"/>
      <c r="D117" s="571"/>
      <c r="E117" s="571"/>
      <c r="F117" s="571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0">
        <f t="shared" si="21"/>
        <v>180896074.44659218</v>
      </c>
      <c r="T117" s="413">
        <f t="shared" si="22"/>
        <v>3.8792843958155181E-2</v>
      </c>
    </row>
    <row r="118" spans="1:20">
      <c r="A118" s="116" t="str">
        <f t="shared" si="18"/>
        <v>7123p</v>
      </c>
      <c r="B118" s="570" t="s">
        <v>43</v>
      </c>
      <c r="C118" s="571"/>
      <c r="D118" s="571"/>
      <c r="E118" s="571"/>
      <c r="F118" s="571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0">
        <f t="shared" si="21"/>
        <v>14149151.623339836</v>
      </c>
      <c r="T118" s="413">
        <f t="shared" si="22"/>
        <v>3.0342605982118954E-3</v>
      </c>
    </row>
    <row r="119" spans="1:20">
      <c r="A119" s="116" t="str">
        <f t="shared" si="18"/>
        <v>7124p</v>
      </c>
      <c r="B119" s="570" t="s">
        <v>45</v>
      </c>
      <c r="C119" s="571"/>
      <c r="D119" s="571"/>
      <c r="E119" s="571"/>
      <c r="F119" s="571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0">
        <f t="shared" si="21"/>
        <v>12712487.887912013</v>
      </c>
      <c r="T119" s="413">
        <f t="shared" si="22"/>
        <v>2.7261705952679881E-3</v>
      </c>
    </row>
    <row r="120" spans="1:20">
      <c r="A120" s="116" t="str">
        <f t="shared" si="18"/>
        <v>713p</v>
      </c>
      <c r="B120" s="576" t="s">
        <v>47</v>
      </c>
      <c r="C120" s="577"/>
      <c r="D120" s="577"/>
      <c r="E120" s="577"/>
      <c r="F120" s="577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1">
        <f t="shared" si="21"/>
        <v>17700468.388223864</v>
      </c>
      <c r="T120" s="414">
        <f t="shared" si="22"/>
        <v>3.7958342118327958E-3</v>
      </c>
    </row>
    <row r="121" spans="1:20">
      <c r="A121" s="116" t="str">
        <f t="shared" si="18"/>
        <v>714p</v>
      </c>
      <c r="B121" s="576" t="s">
        <v>61</v>
      </c>
      <c r="C121" s="577"/>
      <c r="D121" s="577"/>
      <c r="E121" s="577"/>
      <c r="F121" s="577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1">
        <f t="shared" si="21"/>
        <v>28128126.097135291</v>
      </c>
      <c r="T121" s="414">
        <f t="shared" si="22"/>
        <v>6.0320270069964361E-3</v>
      </c>
    </row>
    <row r="122" spans="1:20">
      <c r="A122" s="116" t="str">
        <f t="shared" si="18"/>
        <v>715p</v>
      </c>
      <c r="B122" s="576" t="s">
        <v>81</v>
      </c>
      <c r="C122" s="577"/>
      <c r="D122" s="577"/>
      <c r="E122" s="577"/>
      <c r="F122" s="577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1">
        <f t="shared" si="21"/>
        <v>71732904.669780642</v>
      </c>
      <c r="T122" s="414">
        <f t="shared" si="22"/>
        <v>1.5382994827461522E-2</v>
      </c>
    </row>
    <row r="123" spans="1:20">
      <c r="A123" s="116" t="str">
        <f t="shared" si="18"/>
        <v>73p</v>
      </c>
      <c r="B123" s="576" t="s">
        <v>99</v>
      </c>
      <c r="C123" s="577"/>
      <c r="D123" s="577"/>
      <c r="E123" s="577"/>
      <c r="F123" s="577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1">
        <f t="shared" si="21"/>
        <v>7262314.2406375092</v>
      </c>
      <c r="T123" s="414">
        <f t="shared" si="22"/>
        <v>1.5573904739171992E-3</v>
      </c>
    </row>
    <row r="124" spans="1:20" ht="13.5" thickBot="1">
      <c r="A124" s="116" t="str">
        <f t="shared" si="18"/>
        <v>74p</v>
      </c>
      <c r="B124" s="572" t="s">
        <v>105</v>
      </c>
      <c r="C124" s="573"/>
      <c r="D124" s="573"/>
      <c r="E124" s="573"/>
      <c r="F124" s="573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2">
        <f t="shared" si="21"/>
        <v>31528389.420852099</v>
      </c>
      <c r="T124" s="415">
        <f t="shared" si="22"/>
        <v>6.7612074767060106E-3</v>
      </c>
    </row>
    <row r="125" spans="1:20" ht="13.5" thickBot="1">
      <c r="A125" s="116" t="str">
        <f t="shared" si="18"/>
        <v>4p</v>
      </c>
      <c r="B125" s="554" t="s">
        <v>811</v>
      </c>
      <c r="C125" s="555"/>
      <c r="D125" s="555"/>
      <c r="E125" s="555"/>
      <c r="F125" s="555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3">
        <f>+SUM(G125:R125)</f>
        <v>1899843074.6966665</v>
      </c>
      <c r="T125" s="416">
        <f t="shared" si="22"/>
        <v>0.40741799492972885</v>
      </c>
    </row>
    <row r="126" spans="1:20" ht="13.5" thickBot="1">
      <c r="A126" s="116" t="str">
        <f t="shared" si="18"/>
        <v>40p</v>
      </c>
      <c r="B126" s="612" t="s">
        <v>774</v>
      </c>
      <c r="C126" s="613"/>
      <c r="D126" s="613"/>
      <c r="E126" s="613"/>
      <c r="F126" s="613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4">
        <f t="shared" si="21"/>
        <v>1610768074.6999998</v>
      </c>
      <c r="T126" s="417">
        <f t="shared" si="22"/>
        <v>0.34542637127851888</v>
      </c>
    </row>
    <row r="127" spans="1:20">
      <c r="A127" s="116" t="str">
        <f t="shared" si="18"/>
        <v>41p</v>
      </c>
      <c r="B127" s="574" t="s">
        <v>120</v>
      </c>
      <c r="C127" s="575"/>
      <c r="D127" s="575"/>
      <c r="E127" s="575"/>
      <c r="F127" s="575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9">
        <f t="shared" si="21"/>
        <v>812630572.90999997</v>
      </c>
      <c r="T127" s="412">
        <f t="shared" si="22"/>
        <v>0.17426719240295679</v>
      </c>
    </row>
    <row r="128" spans="1:20">
      <c r="A128" s="116" t="str">
        <f t="shared" si="18"/>
        <v>411p</v>
      </c>
      <c r="B128" s="570" t="s">
        <v>122</v>
      </c>
      <c r="C128" s="571"/>
      <c r="D128" s="571"/>
      <c r="E128" s="571"/>
      <c r="F128" s="571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0">
        <f t="shared" si="21"/>
        <v>461973796.46999985</v>
      </c>
      <c r="T128" s="413">
        <f t="shared" si="22"/>
        <v>9.9069465459894937E-2</v>
      </c>
    </row>
    <row r="129" spans="1:20">
      <c r="A129" s="116" t="str">
        <f t="shared" si="18"/>
        <v>412p</v>
      </c>
      <c r="B129" s="570" t="s">
        <v>133</v>
      </c>
      <c r="C129" s="571"/>
      <c r="D129" s="571"/>
      <c r="E129" s="571"/>
      <c r="F129" s="571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0">
        <f t="shared" si="21"/>
        <v>13262623.179999996</v>
      </c>
      <c r="T129" s="413">
        <f t="shared" si="22"/>
        <v>2.8441461378945036E-3</v>
      </c>
    </row>
    <row r="130" spans="1:20">
      <c r="A130" s="116" t="str">
        <f t="shared" si="18"/>
        <v>413p</v>
      </c>
      <c r="B130" s="570" t="s">
        <v>148</v>
      </c>
      <c r="C130" s="571"/>
      <c r="D130" s="571"/>
      <c r="E130" s="571"/>
      <c r="F130" s="571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0">
        <f t="shared" si="21"/>
        <v>39682213.5</v>
      </c>
      <c r="T130" s="413">
        <f t="shared" si="22"/>
        <v>8.5097806623448194E-3</v>
      </c>
    </row>
    <row r="131" spans="1:20">
      <c r="A131" s="116" t="str">
        <f t="shared" si="18"/>
        <v>414p</v>
      </c>
      <c r="B131" s="570" t="s">
        <v>162</v>
      </c>
      <c r="C131" s="571"/>
      <c r="D131" s="571"/>
      <c r="E131" s="571"/>
      <c r="F131" s="571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0">
        <f t="shared" si="21"/>
        <v>58741932.939999998</v>
      </c>
      <c r="T131" s="413">
        <f t="shared" si="22"/>
        <v>1.2597103863713857E-2</v>
      </c>
    </row>
    <row r="132" spans="1:20">
      <c r="A132" s="116" t="str">
        <f t="shared" si="18"/>
        <v>415p</v>
      </c>
      <c r="B132" s="570" t="s">
        <v>182</v>
      </c>
      <c r="C132" s="571"/>
      <c r="D132" s="571"/>
      <c r="E132" s="571"/>
      <c r="F132" s="571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0">
        <f t="shared" si="21"/>
        <v>22285486.810000002</v>
      </c>
      <c r="T132" s="413">
        <f t="shared" si="22"/>
        <v>4.7790833217173879E-3</v>
      </c>
    </row>
    <row r="133" spans="1:20">
      <c r="A133" s="116" t="str">
        <f t="shared" si="18"/>
        <v>416p</v>
      </c>
      <c r="B133" s="570" t="s">
        <v>190</v>
      </c>
      <c r="C133" s="571"/>
      <c r="D133" s="571"/>
      <c r="E133" s="571"/>
      <c r="F133" s="571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0">
        <f t="shared" si="21"/>
        <v>87442700</v>
      </c>
      <c r="T133" s="413">
        <f t="shared" si="22"/>
        <v>1.8751932714721656E-2</v>
      </c>
    </row>
    <row r="134" spans="1:20">
      <c r="A134" s="116" t="str">
        <f t="shared" si="18"/>
        <v>417p</v>
      </c>
      <c r="B134" s="570" t="s">
        <v>196</v>
      </c>
      <c r="C134" s="571"/>
      <c r="D134" s="571"/>
      <c r="E134" s="571"/>
      <c r="F134" s="571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0">
        <f t="shared" si="21"/>
        <v>10344524.66</v>
      </c>
      <c r="T134" s="413">
        <f t="shared" si="22"/>
        <v>2.2183650595201079E-3</v>
      </c>
    </row>
    <row r="135" spans="1:20">
      <c r="A135" s="116" t="str">
        <f t="shared" si="18"/>
        <v>418p</v>
      </c>
      <c r="B135" s="570" t="s">
        <v>204</v>
      </c>
      <c r="C135" s="571"/>
      <c r="D135" s="571"/>
      <c r="E135" s="571"/>
      <c r="F135" s="571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0">
        <f t="shared" si="21"/>
        <v>26731800.000000011</v>
      </c>
      <c r="T135" s="413">
        <f t="shared" si="22"/>
        <v>5.7325873394050804E-3</v>
      </c>
    </row>
    <row r="136" spans="1:20">
      <c r="A136" s="116" t="str">
        <f t="shared" si="18"/>
        <v>419p</v>
      </c>
      <c r="B136" s="570" t="s">
        <v>212</v>
      </c>
      <c r="C136" s="571"/>
      <c r="D136" s="571"/>
      <c r="E136" s="571"/>
      <c r="F136" s="571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0">
        <f t="shared" si="21"/>
        <v>39317929.93</v>
      </c>
      <c r="T136" s="413">
        <f t="shared" si="22"/>
        <v>8.4316606935684827E-3</v>
      </c>
    </row>
    <row r="137" spans="1:20">
      <c r="A137" s="116" t="str">
        <f t="shared" si="18"/>
        <v>440p</v>
      </c>
      <c r="B137" s="570" t="s">
        <v>803</v>
      </c>
      <c r="C137" s="571"/>
      <c r="D137" s="571"/>
      <c r="E137" s="571"/>
      <c r="F137" s="571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0">
        <f t="shared" si="21"/>
        <v>52847565.419999987</v>
      </c>
      <c r="T137" s="413">
        <f t="shared" si="22"/>
        <v>1.1333067150175952E-2</v>
      </c>
    </row>
    <row r="138" spans="1:20">
      <c r="A138" s="116" t="str">
        <f t="shared" si="18"/>
        <v>42p</v>
      </c>
      <c r="B138" s="566" t="s">
        <v>230</v>
      </c>
      <c r="C138" s="567"/>
      <c r="D138" s="567"/>
      <c r="E138" s="567"/>
      <c r="F138" s="567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1">
        <f t="shared" si="21"/>
        <v>558932773.86000013</v>
      </c>
      <c r="T138" s="414">
        <f t="shared" si="22"/>
        <v>0.11986214706859988</v>
      </c>
    </row>
    <row r="139" spans="1:20">
      <c r="A139" s="116" t="str">
        <f t="shared" si="18"/>
        <v>421p</v>
      </c>
      <c r="B139" s="570" t="s">
        <v>232</v>
      </c>
      <c r="C139" s="571"/>
      <c r="D139" s="571"/>
      <c r="E139" s="571"/>
      <c r="F139" s="571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0">
        <f t="shared" si="21"/>
        <v>82786083.909999996</v>
      </c>
      <c r="T139" s="413">
        <f t="shared" si="22"/>
        <v>1.7753329611226793E-2</v>
      </c>
    </row>
    <row r="140" spans="1:20">
      <c r="A140" s="116" t="str">
        <f t="shared" si="18"/>
        <v>422p</v>
      </c>
      <c r="B140" s="570" t="s">
        <v>248</v>
      </c>
      <c r="C140" s="571"/>
      <c r="D140" s="571"/>
      <c r="E140" s="571"/>
      <c r="F140" s="571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0">
        <f t="shared" si="21"/>
        <v>17298799.519999992</v>
      </c>
      <c r="T140" s="413">
        <f t="shared" si="22"/>
        <v>3.7096970318219718E-3</v>
      </c>
    </row>
    <row r="141" spans="1:20">
      <c r="A141" s="116" t="str">
        <f t="shared" si="18"/>
        <v>423p</v>
      </c>
      <c r="B141" s="570" t="s">
        <v>259</v>
      </c>
      <c r="C141" s="571"/>
      <c r="D141" s="571"/>
      <c r="E141" s="571"/>
      <c r="F141" s="571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0">
        <f t="shared" si="21"/>
        <v>425672790.43000013</v>
      </c>
      <c r="T141" s="413">
        <f t="shared" si="22"/>
        <v>9.1284778770911415E-2</v>
      </c>
    </row>
    <row r="142" spans="1:20">
      <c r="A142" s="116" t="str">
        <f t="shared" si="18"/>
        <v>424p</v>
      </c>
      <c r="B142" s="570" t="s">
        <v>274</v>
      </c>
      <c r="C142" s="571"/>
      <c r="D142" s="571"/>
      <c r="E142" s="571"/>
      <c r="F142" s="571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0">
        <f t="shared" si="21"/>
        <v>19000099.999999996</v>
      </c>
      <c r="T142" s="413">
        <f t="shared" si="22"/>
        <v>4.0745379176647433E-3</v>
      </c>
    </row>
    <row r="143" spans="1:20">
      <c r="A143" s="116" t="str">
        <f t="shared" si="18"/>
        <v>425p</v>
      </c>
      <c r="B143" s="570" t="s">
        <v>278</v>
      </c>
      <c r="C143" s="571"/>
      <c r="D143" s="571"/>
      <c r="E143" s="571"/>
      <c r="F143" s="571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0">
        <f t="shared" si="21"/>
        <v>14175000.000000002</v>
      </c>
      <c r="T143" s="413">
        <f t="shared" si="22"/>
        <v>3.0398037369749509E-3</v>
      </c>
    </row>
    <row r="144" spans="1:20">
      <c r="A144" s="116" t="str">
        <f t="shared" si="18"/>
        <v>43p</v>
      </c>
      <c r="B144" s="568" t="s">
        <v>286</v>
      </c>
      <c r="C144" s="569"/>
      <c r="D144" s="569"/>
      <c r="E144" s="569"/>
      <c r="F144" s="569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1">
        <f>+SUM(G144:R144)</f>
        <v>206684238.69</v>
      </c>
      <c r="T144" s="414">
        <f t="shared" si="22"/>
        <v>4.4323070274686745E-2</v>
      </c>
    </row>
    <row r="145" spans="1:20">
      <c r="A145" s="116" t="str">
        <f t="shared" si="18"/>
        <v>44p</v>
      </c>
      <c r="B145" s="568" t="s">
        <v>812</v>
      </c>
      <c r="C145" s="569"/>
      <c r="D145" s="569"/>
      <c r="E145" s="569"/>
      <c r="F145" s="569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1">
        <f t="shared" si="21"/>
        <v>289074999.99666673</v>
      </c>
      <c r="T145" s="414">
        <f t="shared" si="22"/>
        <v>6.1991623651209964E-2</v>
      </c>
    </row>
    <row r="146" spans="1:20">
      <c r="A146" s="116" t="str">
        <f t="shared" si="18"/>
        <v>451p</v>
      </c>
      <c r="B146" s="560" t="s">
        <v>113</v>
      </c>
      <c r="C146" s="561"/>
      <c r="D146" s="561"/>
      <c r="E146" s="561"/>
      <c r="F146" s="561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0">
        <f t="shared" si="21"/>
        <v>2875000.9999999995</v>
      </c>
      <c r="T146" s="413">
        <f t="shared" si="22"/>
        <v>6.1653889125973314E-4</v>
      </c>
    </row>
    <row r="147" spans="1:20">
      <c r="A147" s="116" t="str">
        <f t="shared" si="18"/>
        <v>47p</v>
      </c>
      <c r="B147" s="560" t="s">
        <v>366</v>
      </c>
      <c r="C147" s="561"/>
      <c r="D147" s="561"/>
      <c r="E147" s="561"/>
      <c r="F147" s="561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0">
        <f t="shared" si="21"/>
        <v>29645488.240000002</v>
      </c>
      <c r="T147" s="413">
        <f t="shared" si="22"/>
        <v>6.3574226410157992E-3</v>
      </c>
    </row>
    <row r="148" spans="1:20">
      <c r="A148" s="116" t="str">
        <f t="shared" si="18"/>
        <v>462p</v>
      </c>
      <c r="B148" s="560" t="s">
        <v>359</v>
      </c>
      <c r="C148" s="561"/>
      <c r="D148" s="561"/>
      <c r="E148" s="561"/>
      <c r="F148" s="561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0">
        <f t="shared" si="21"/>
        <v>0</v>
      </c>
      <c r="T148" s="413">
        <f t="shared" si="22"/>
        <v>0</v>
      </c>
    </row>
    <row r="149" spans="1:20" ht="13.5" thickBot="1">
      <c r="A149" s="116"/>
      <c r="B149" s="366" t="s">
        <v>686</v>
      </c>
      <c r="C149" s="367"/>
      <c r="D149" s="367"/>
      <c r="E149" s="367"/>
      <c r="F149" s="367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1">
        <f>SUM(G149:R149)</f>
        <v>0</v>
      </c>
      <c r="T149" s="376">
        <f t="shared" si="22"/>
        <v>0</v>
      </c>
    </row>
    <row r="150" spans="1:20" ht="13.5" thickBot="1">
      <c r="A150" s="117" t="str">
        <f>+CONCATENATE(A55,"p")</f>
        <v>1000p</v>
      </c>
      <c r="B150" s="562" t="s">
        <v>545</v>
      </c>
      <c r="C150" s="563"/>
      <c r="D150" s="563"/>
      <c r="E150" s="563"/>
      <c r="F150" s="563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6">
        <f t="shared" si="21"/>
        <v>-142839853.56245428</v>
      </c>
      <c r="T150" s="419">
        <f t="shared" si="22"/>
        <v>-3.0631754543076064E-2</v>
      </c>
    </row>
    <row r="151" spans="1:20" ht="13.5" thickBot="1">
      <c r="A151" s="117" t="str">
        <f>+CONCATENATE(A57,"p")</f>
        <v>1001p</v>
      </c>
      <c r="B151" s="564" t="s">
        <v>813</v>
      </c>
      <c r="C151" s="565"/>
      <c r="D151" s="565"/>
      <c r="E151" s="565"/>
      <c r="F151" s="565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6">
        <f t="shared" si="21"/>
        <v>-55397153.562454268</v>
      </c>
      <c r="T151" s="419">
        <f t="shared" si="22"/>
        <v>-1.1879821828354403E-2</v>
      </c>
    </row>
    <row r="152" spans="1:20">
      <c r="A152" s="117" t="str">
        <f>+CONCATENATE(A58,"p")</f>
        <v>46p</v>
      </c>
      <c r="B152" s="566" t="s">
        <v>352</v>
      </c>
      <c r="C152" s="567"/>
      <c r="D152" s="567"/>
      <c r="E152" s="567"/>
      <c r="F152" s="567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7">
        <f t="shared" si="21"/>
        <v>542432774.80999994</v>
      </c>
      <c r="T152" s="420">
        <f t="shared" si="22"/>
        <v>0.11632375138801619</v>
      </c>
    </row>
    <row r="153" spans="1:20">
      <c r="A153" s="117" t="str">
        <f>+CONCATENATE(A59,"p")</f>
        <v>4611p</v>
      </c>
      <c r="B153" s="558" t="s">
        <v>355</v>
      </c>
      <c r="C153" s="559"/>
      <c r="D153" s="559"/>
      <c r="E153" s="559"/>
      <c r="F153" s="559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5">
        <f t="shared" si="21"/>
        <v>50688279.809999995</v>
      </c>
      <c r="T153" s="418">
        <f t="shared" si="22"/>
        <v>1.0870012161359429E-2</v>
      </c>
    </row>
    <row r="154" spans="1:20">
      <c r="A154" s="117" t="str">
        <f>+CONCATENATE(A60,"p")</f>
        <v>4612p</v>
      </c>
      <c r="B154" s="560" t="s">
        <v>357</v>
      </c>
      <c r="C154" s="561"/>
      <c r="D154" s="561"/>
      <c r="E154" s="561"/>
      <c r="F154" s="561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5">
        <f t="shared" si="21"/>
        <v>461500000</v>
      </c>
      <c r="T154" s="418">
        <f t="shared" si="22"/>
        <v>9.8967860642958705E-2</v>
      </c>
    </row>
    <row r="155" spans="1:20">
      <c r="A155" s="117" t="str">
        <f>+CONCATENATE(A53,"p")</f>
        <v>4630p</v>
      </c>
      <c r="B155" s="560" t="s">
        <v>365</v>
      </c>
      <c r="C155" s="561"/>
      <c r="D155" s="561"/>
      <c r="E155" s="561"/>
      <c r="F155" s="561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5">
        <f t="shared" si="21"/>
        <v>30244495.000000015</v>
      </c>
      <c r="T155" s="418">
        <f t="shared" si="22"/>
        <v>6.4858785836980773E-3</v>
      </c>
    </row>
    <row r="156" spans="1:20" ht="13.5" thickBot="1">
      <c r="A156" s="117"/>
      <c r="B156" s="366" t="s">
        <v>770</v>
      </c>
      <c r="C156" s="367"/>
      <c r="D156" s="367"/>
      <c r="E156" s="367"/>
      <c r="F156" s="367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5">
        <f t="shared" si="21"/>
        <v>70000000</v>
      </c>
      <c r="T156" s="418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56" t="s">
        <v>543</v>
      </c>
      <c r="C157" s="557"/>
      <c r="D157" s="557"/>
      <c r="E157" s="557"/>
      <c r="F157" s="557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8">
        <f t="shared" si="21"/>
        <v>-755272628.37245417</v>
      </c>
      <c r="T157" s="421">
        <f t="shared" si="22"/>
        <v>-0.16196688240998089</v>
      </c>
    </row>
    <row r="158" spans="1:20" ht="13.5" thickBot="1">
      <c r="A158" s="117" t="str">
        <f t="shared" si="31"/>
        <v>1003p</v>
      </c>
      <c r="B158" s="554" t="s">
        <v>544</v>
      </c>
      <c r="C158" s="555"/>
      <c r="D158" s="555"/>
      <c r="E158" s="555"/>
      <c r="F158" s="555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9">
        <f t="shared" si="21"/>
        <v>755272628.37245417</v>
      </c>
      <c r="T158" s="422">
        <f t="shared" si="22"/>
        <v>0.16196688240998089</v>
      </c>
    </row>
    <row r="159" spans="1:20">
      <c r="A159" s="117" t="str">
        <f t="shared" si="31"/>
        <v>7511p</v>
      </c>
      <c r="B159" s="558" t="s">
        <v>114</v>
      </c>
      <c r="C159" s="559"/>
      <c r="D159" s="559"/>
      <c r="E159" s="559"/>
      <c r="F159" s="559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5">
        <f t="shared" si="21"/>
        <v>0</v>
      </c>
      <c r="T159" s="418">
        <f t="shared" si="22"/>
        <v>0</v>
      </c>
    </row>
    <row r="160" spans="1:20">
      <c r="A160" s="117" t="str">
        <f t="shared" si="31"/>
        <v>7512p</v>
      </c>
      <c r="B160" s="560" t="s">
        <v>116</v>
      </c>
      <c r="C160" s="561"/>
      <c r="D160" s="561"/>
      <c r="E160" s="561"/>
      <c r="F160" s="561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5">
        <f t="shared" si="21"/>
        <v>739264348.56578732</v>
      </c>
      <c r="T160" s="418">
        <f t="shared" si="22"/>
        <v>0.15853393505344851</v>
      </c>
    </row>
    <row r="161" spans="1:20">
      <c r="A161" s="117" t="str">
        <f t="shared" si="31"/>
        <v>72p</v>
      </c>
      <c r="B161" s="560" t="s">
        <v>93</v>
      </c>
      <c r="C161" s="561"/>
      <c r="D161" s="561"/>
      <c r="E161" s="561"/>
      <c r="F161" s="561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5">
        <f t="shared" si="21"/>
        <v>16000000</v>
      </c>
      <c r="T161" s="418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0">
        <f t="shared" si="21"/>
        <v>8279.8066668957472</v>
      </c>
      <c r="T162" s="423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1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21" t="s">
        <v>555</v>
      </c>
      <c r="F6" s="618">
        <v>2006</v>
      </c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20"/>
      <c r="R6" s="618">
        <v>2007</v>
      </c>
      <c r="S6" s="619"/>
      <c r="T6" s="619"/>
      <c r="U6" s="619"/>
      <c r="V6" s="619"/>
      <c r="W6" s="619"/>
      <c r="X6" s="619"/>
      <c r="Y6" s="619"/>
      <c r="Z6" s="619"/>
      <c r="AA6" s="619"/>
      <c r="AB6" s="619"/>
      <c r="AC6" s="620"/>
      <c r="AD6" s="618">
        <v>2008</v>
      </c>
      <c r="AE6" s="619"/>
      <c r="AF6" s="619"/>
      <c r="AG6" s="619"/>
      <c r="AH6" s="619"/>
      <c r="AI6" s="619"/>
      <c r="AJ6" s="619"/>
      <c r="AK6" s="619"/>
      <c r="AL6" s="619"/>
      <c r="AM6" s="619"/>
      <c r="AN6" s="619"/>
      <c r="AO6" s="620"/>
      <c r="AP6" s="618">
        <v>2009</v>
      </c>
      <c r="AQ6" s="619"/>
      <c r="AR6" s="619"/>
      <c r="AS6" s="619"/>
      <c r="AT6" s="619"/>
      <c r="AU6" s="619"/>
      <c r="AV6" s="619"/>
      <c r="AW6" s="619"/>
      <c r="AX6" s="619"/>
      <c r="AY6" s="619"/>
      <c r="AZ6" s="619"/>
      <c r="BA6" s="620"/>
      <c r="BB6" s="618">
        <v>2010</v>
      </c>
      <c r="BC6" s="619"/>
      <c r="BD6" s="619"/>
      <c r="BE6" s="619"/>
      <c r="BF6" s="619"/>
      <c r="BG6" s="619"/>
      <c r="BH6" s="619"/>
      <c r="BI6" s="619"/>
      <c r="BJ6" s="619"/>
      <c r="BK6" s="619"/>
      <c r="BL6" s="619"/>
      <c r="BM6" s="620"/>
      <c r="BN6" s="618">
        <v>2011</v>
      </c>
      <c r="BO6" s="619"/>
      <c r="BP6" s="619"/>
      <c r="BQ6" s="619"/>
      <c r="BR6" s="619"/>
      <c r="BS6" s="619"/>
      <c r="BT6" s="619"/>
      <c r="BU6" s="619"/>
      <c r="BV6" s="619"/>
      <c r="BW6" s="619"/>
      <c r="BX6" s="619"/>
      <c r="BY6" s="620"/>
      <c r="BZ6" s="619">
        <v>2012</v>
      </c>
      <c r="CA6" s="619"/>
      <c r="CB6" s="619"/>
      <c r="CC6" s="619"/>
      <c r="CD6" s="619"/>
      <c r="CE6" s="619"/>
      <c r="CF6" s="619"/>
      <c r="CG6" s="619"/>
      <c r="CH6" s="619"/>
      <c r="CI6" s="619"/>
      <c r="CJ6" s="619"/>
      <c r="CK6" s="619"/>
      <c r="CL6" s="618">
        <v>2013</v>
      </c>
      <c r="CM6" s="619"/>
      <c r="CN6" s="619"/>
      <c r="CO6" s="619"/>
      <c r="CP6" s="619"/>
      <c r="CQ6" s="619"/>
      <c r="CR6" s="619"/>
      <c r="CS6" s="619"/>
      <c r="CT6" s="619"/>
      <c r="CU6" s="619"/>
      <c r="CV6" s="619"/>
      <c r="CW6" s="620"/>
      <c r="CX6" s="618">
        <v>2014</v>
      </c>
      <c r="CY6" s="619"/>
      <c r="CZ6" s="619"/>
      <c r="DA6" s="619"/>
      <c r="DB6" s="619"/>
      <c r="DC6" s="619"/>
      <c r="DD6" s="619"/>
      <c r="DE6" s="619"/>
      <c r="DF6" s="619"/>
      <c r="DG6" s="619"/>
      <c r="DH6" s="619"/>
      <c r="DI6" s="620"/>
      <c r="DJ6" s="618">
        <v>2015</v>
      </c>
      <c r="DK6" s="619"/>
      <c r="DL6" s="619"/>
      <c r="DM6" s="619"/>
      <c r="DN6" s="619"/>
      <c r="DO6" s="619"/>
      <c r="DP6" s="619"/>
      <c r="DQ6" s="619"/>
      <c r="DR6" s="619"/>
      <c r="DS6" s="619"/>
      <c r="DT6" s="619"/>
      <c r="DU6" s="620"/>
    </row>
    <row r="7" spans="1:321">
      <c r="E7" s="621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6" t="s">
        <v>742</v>
      </c>
      <c r="EU7" s="316" t="s">
        <v>743</v>
      </c>
      <c r="EV7" s="316" t="s">
        <v>744</v>
      </c>
      <c r="EW7" s="316" t="s">
        <v>745</v>
      </c>
      <c r="EX7" s="316" t="s">
        <v>746</v>
      </c>
      <c r="EY7" s="316" t="s">
        <v>747</v>
      </c>
      <c r="EZ7" s="316" t="s">
        <v>748</v>
      </c>
      <c r="FA7" s="316" t="s">
        <v>749</v>
      </c>
      <c r="FB7" s="316" t="s">
        <v>750</v>
      </c>
      <c r="FC7" s="316" t="s">
        <v>751</v>
      </c>
      <c r="FD7" s="316" t="s">
        <v>752</v>
      </c>
      <c r="FE7" s="316" t="s">
        <v>753</v>
      </c>
      <c r="FF7" s="316" t="s">
        <v>758</v>
      </c>
      <c r="FG7" s="316" t="s">
        <v>759</v>
      </c>
      <c r="FH7" s="316" t="s">
        <v>760</v>
      </c>
      <c r="FI7" s="316" t="s">
        <v>761</v>
      </c>
      <c r="FJ7" s="316" t="s">
        <v>762</v>
      </c>
      <c r="FK7" s="316" t="s">
        <v>763</v>
      </c>
      <c r="FL7" s="316" t="s">
        <v>764</v>
      </c>
      <c r="FM7" s="316" t="s">
        <v>765</v>
      </c>
      <c r="FN7" s="316" t="s">
        <v>766</v>
      </c>
      <c r="FO7" s="316" t="s">
        <v>767</v>
      </c>
      <c r="FP7" s="316" t="s">
        <v>768</v>
      </c>
      <c r="FQ7" s="316" t="s">
        <v>769</v>
      </c>
      <c r="FR7" s="316" t="s">
        <v>777</v>
      </c>
      <c r="FS7" s="316" t="s">
        <v>778</v>
      </c>
      <c r="FT7" s="316" t="s">
        <v>779</v>
      </c>
      <c r="FU7" s="316" t="s">
        <v>780</v>
      </c>
      <c r="FV7" s="316" t="s">
        <v>781</v>
      </c>
      <c r="FW7" s="316" t="s">
        <v>782</v>
      </c>
      <c r="FX7" s="316" t="s">
        <v>783</v>
      </c>
      <c r="FY7" s="316" t="s">
        <v>784</v>
      </c>
      <c r="FZ7" s="316" t="s">
        <v>785</v>
      </c>
      <c r="GA7" s="316" t="s">
        <v>786</v>
      </c>
      <c r="GB7" s="316" t="s">
        <v>787</v>
      </c>
      <c r="GC7" s="316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1">
        <v>79855347.849999994</v>
      </c>
      <c r="EU9" s="351">
        <v>106190042</v>
      </c>
      <c r="EV9" s="351">
        <v>137417391.37</v>
      </c>
      <c r="EW9" s="351">
        <v>147833434.00999999</v>
      </c>
      <c r="EX9" s="351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2">
        <v>60295851.509999998</v>
      </c>
      <c r="EU10" s="352">
        <v>64797597.329999998</v>
      </c>
      <c r="EV10" s="352">
        <v>89261850.609999999</v>
      </c>
      <c r="EW10" s="352">
        <v>97799793.079999998</v>
      </c>
      <c r="EX10" s="352">
        <v>90553351.069999993</v>
      </c>
      <c r="EY10" s="352">
        <v>87503254.430000007</v>
      </c>
      <c r="EZ10" s="352">
        <v>105015545.47</v>
      </c>
      <c r="FA10" s="352">
        <v>107951400.73999999</v>
      </c>
      <c r="FB10" s="352">
        <v>102839740.52</v>
      </c>
      <c r="FC10" s="352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2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2">
        <f t="shared" ref="FR10:GC10" si="2">SUM(FR11:FR17)</f>
        <v>73320205.209999993</v>
      </c>
      <c r="FS10" s="352">
        <f t="shared" si="2"/>
        <v>69683087.399999991</v>
      </c>
      <c r="FT10" s="352">
        <f t="shared" si="2"/>
        <v>105613736.66000001</v>
      </c>
      <c r="FU10" s="352">
        <f t="shared" si="2"/>
        <v>83521974.920000002</v>
      </c>
      <c r="FV10" s="352">
        <f t="shared" si="2"/>
        <v>69752758.120000005</v>
      </c>
      <c r="FW10" s="352">
        <f t="shared" si="2"/>
        <v>79960950.920000002</v>
      </c>
      <c r="FX10" s="352">
        <f t="shared" si="2"/>
        <v>80621752.299999997</v>
      </c>
      <c r="FY10" s="352">
        <f t="shared" si="2"/>
        <v>79984790.799999997</v>
      </c>
      <c r="FZ10" s="304">
        <f t="shared" si="2"/>
        <v>80764606.50999999</v>
      </c>
      <c r="GA10" s="352">
        <f t="shared" si="2"/>
        <v>81734836.820000008</v>
      </c>
      <c r="GB10" s="352">
        <f t="shared" si="2"/>
        <v>72792310.129999995</v>
      </c>
      <c r="GC10" s="352">
        <f t="shared" si="2"/>
        <v>88352824.489999995</v>
      </c>
      <c r="GD10" s="304"/>
      <c r="GE10" s="352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1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1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1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1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1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1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1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1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1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1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1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1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1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1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2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2">
        <f t="shared" ref="FR18:GC18" si="3">SUM(FR19:FR22)</f>
        <v>15749286.220000001</v>
      </c>
      <c r="FS18" s="352">
        <f t="shared" si="3"/>
        <v>42574769.890000001</v>
      </c>
      <c r="FT18" s="352">
        <f t="shared" si="3"/>
        <v>44888756.57</v>
      </c>
      <c r="FU18" s="352">
        <f t="shared" si="3"/>
        <v>33882602.5</v>
      </c>
      <c r="FV18" s="352">
        <f t="shared" si="3"/>
        <v>40418289.450000003</v>
      </c>
      <c r="FW18" s="352">
        <f t="shared" si="3"/>
        <v>42892419.090000004</v>
      </c>
      <c r="FX18" s="352">
        <f t="shared" si="3"/>
        <v>45009811.700000003</v>
      </c>
      <c r="FY18" s="352">
        <f t="shared" si="3"/>
        <v>51984938.960000001</v>
      </c>
      <c r="FZ18" s="304">
        <f t="shared" si="3"/>
        <v>42439853.439999998</v>
      </c>
      <c r="GA18" s="352">
        <f t="shared" si="3"/>
        <v>46766265.019999996</v>
      </c>
      <c r="GB18" s="352">
        <f t="shared" si="3"/>
        <v>43869251.589999996</v>
      </c>
      <c r="GC18" s="352">
        <f t="shared" si="3"/>
        <v>80544326.960000008</v>
      </c>
      <c r="GD18" s="304"/>
      <c r="GE18" s="352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1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1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1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1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1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1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1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1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2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2">
        <f t="shared" ref="FR23:GC23" si="5">SUM(FR24:FR27)</f>
        <v>711811.51</v>
      </c>
      <c r="FS23" s="352">
        <f t="shared" si="5"/>
        <v>845756.92</v>
      </c>
      <c r="FT23" s="352">
        <f t="shared" si="5"/>
        <v>815406.19</v>
      </c>
      <c r="FU23" s="352">
        <f t="shared" si="5"/>
        <v>318936.3</v>
      </c>
      <c r="FV23" s="352">
        <f t="shared" si="5"/>
        <v>469045.42</v>
      </c>
      <c r="FW23" s="352">
        <f t="shared" si="5"/>
        <v>1094710.17</v>
      </c>
      <c r="FX23" s="352">
        <f t="shared" si="5"/>
        <v>962946.75000000012</v>
      </c>
      <c r="FY23" s="352">
        <f t="shared" si="5"/>
        <v>1016910.3699999999</v>
      </c>
      <c r="FZ23" s="304">
        <f t="shared" si="5"/>
        <v>1210136.0899999999</v>
      </c>
      <c r="GA23" s="352">
        <f t="shared" si="5"/>
        <v>1020237.03</v>
      </c>
      <c r="GB23" s="352">
        <f t="shared" si="5"/>
        <v>955177.11</v>
      </c>
      <c r="GC23" s="352">
        <f t="shared" si="5"/>
        <v>1215368.99</v>
      </c>
      <c r="GD23" s="304"/>
      <c r="GE23" s="352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1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1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1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1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1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1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1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1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2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2">
        <f t="shared" ref="FR28:GC28" si="7">SUM(FR29:FR34)</f>
        <v>2226726.9299999997</v>
      </c>
      <c r="FS28" s="352">
        <f t="shared" si="7"/>
        <v>2200614.79</v>
      </c>
      <c r="FT28" s="352">
        <f t="shared" si="7"/>
        <v>1317967.9100000001</v>
      </c>
      <c r="FU28" s="352">
        <f t="shared" si="7"/>
        <v>1597851.3599999999</v>
      </c>
      <c r="FV28" s="352">
        <f t="shared" si="7"/>
        <v>1673853.74</v>
      </c>
      <c r="FW28" s="352">
        <f t="shared" si="7"/>
        <v>2752546.6799999997</v>
      </c>
      <c r="FX28" s="352">
        <f t="shared" si="7"/>
        <v>2600399.9099999997</v>
      </c>
      <c r="FY28" s="352">
        <f t="shared" si="7"/>
        <v>2411610.62</v>
      </c>
      <c r="FZ28" s="304">
        <f t="shared" si="7"/>
        <v>2242559.5</v>
      </c>
      <c r="GA28" s="352">
        <f t="shared" si="7"/>
        <v>3223177.49</v>
      </c>
      <c r="GB28" s="352">
        <f t="shared" si="7"/>
        <v>2393815.35</v>
      </c>
      <c r="GC28" s="352">
        <f t="shared" si="7"/>
        <v>3177660.7800000003</v>
      </c>
      <c r="GD28" s="304"/>
      <c r="GE28" s="352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1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1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1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1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1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1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1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1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1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1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1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1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2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2">
        <f t="shared" ref="FR35:GC35" si="9">SUM(FR36:FR39)</f>
        <v>1483663.6700000002</v>
      </c>
      <c r="FS35" s="352">
        <f t="shared" si="9"/>
        <v>2100277.88</v>
      </c>
      <c r="FT35" s="352">
        <f t="shared" si="9"/>
        <v>4243202.3499999996</v>
      </c>
      <c r="FU35" s="352">
        <f t="shared" si="9"/>
        <v>2093585.81</v>
      </c>
      <c r="FV35" s="352">
        <f t="shared" si="9"/>
        <v>1279434.9099999999</v>
      </c>
      <c r="FW35" s="352">
        <f t="shared" si="9"/>
        <v>1931121.2500000002</v>
      </c>
      <c r="FX35" s="352">
        <f t="shared" si="9"/>
        <v>2459062.7400000002</v>
      </c>
      <c r="FY35" s="352">
        <f t="shared" si="9"/>
        <v>3216715.11</v>
      </c>
      <c r="FZ35" s="304">
        <f t="shared" si="9"/>
        <v>11550447.479999999</v>
      </c>
      <c r="GA35" s="352">
        <f t="shared" si="9"/>
        <v>2887676.87</v>
      </c>
      <c r="GB35" s="352">
        <f t="shared" si="9"/>
        <v>1756272.85</v>
      </c>
      <c r="GC35" s="352">
        <f t="shared" si="9"/>
        <v>2614148.87</v>
      </c>
      <c r="GD35" s="304"/>
      <c r="GE35" s="352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1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1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1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1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1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1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1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1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2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2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2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1"/>
      <c r="FM41" s="302"/>
      <c r="FN41" s="302"/>
      <c r="FO41" s="302"/>
      <c r="FP41" s="302"/>
      <c r="FQ41" s="302"/>
      <c r="FR41" s="302"/>
      <c r="FS41" s="351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1"/>
      <c r="FM42" s="302"/>
      <c r="FN42" s="302"/>
      <c r="FO42" s="302"/>
      <c r="FP42" s="302"/>
      <c r="FQ42" s="302"/>
      <c r="FR42" s="302"/>
      <c r="FS42" s="351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2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2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2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1"/>
      <c r="FM44" s="302"/>
      <c r="FN44" s="302"/>
      <c r="FO44" s="302"/>
      <c r="FP44" s="302"/>
      <c r="FQ44" s="302"/>
      <c r="FR44" s="302"/>
      <c r="FS44" s="351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1"/>
      <c r="FM45" s="302"/>
      <c r="FN45" s="302"/>
      <c r="FO45" s="302"/>
      <c r="FP45" s="302"/>
      <c r="FQ45" s="302"/>
      <c r="FR45" s="302"/>
      <c r="FS45" s="351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2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2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2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1"/>
      <c r="FM47" s="302"/>
      <c r="FN47" s="302"/>
      <c r="FO47" s="302"/>
      <c r="FP47" s="302"/>
      <c r="FQ47" s="302"/>
      <c r="FR47" s="302"/>
      <c r="FS47" s="351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1"/>
      <c r="FM48" s="302"/>
      <c r="FN48" s="302"/>
      <c r="FO48" s="302"/>
      <c r="FP48" s="302"/>
      <c r="FQ48" s="302"/>
      <c r="FR48" s="302"/>
      <c r="FS48" s="351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2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2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2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1"/>
      <c r="FM50" s="302"/>
      <c r="FN50" s="302"/>
      <c r="FO50" s="302"/>
      <c r="FP50" s="302"/>
      <c r="FQ50" s="302"/>
      <c r="FR50" s="302"/>
      <c r="FS50" s="351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1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1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1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1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1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1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1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1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1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1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1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1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1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0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1">
        <v>3987318.08</v>
      </c>
      <c r="FR61" s="351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1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1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1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1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1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1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1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0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1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1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1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1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1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1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0">
        <v>8566117.3599999994</v>
      </c>
      <c r="FM76" s="302">
        <v>3294436.46</v>
      </c>
      <c r="FN76" s="302">
        <v>5819051.2000000002</v>
      </c>
      <c r="FO76" s="302">
        <v>7942946.5700000003</v>
      </c>
      <c r="FP76" s="351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1"/>
      <c r="FM77" s="302"/>
      <c r="FN77" s="302"/>
      <c r="FO77" s="302"/>
      <c r="FP77" s="302"/>
      <c r="FQ77" s="351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1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1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1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1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1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1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1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1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0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1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1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1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0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1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1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0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1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1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1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0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1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1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1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0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1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1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1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1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1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1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1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1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1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1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0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1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1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1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1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1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1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1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1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0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1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1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1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1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1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1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1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1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1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1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1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1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1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1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0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1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0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1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1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1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0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1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1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1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1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1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1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1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1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1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1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1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1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1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1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1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1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1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1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1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1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1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4"/>
      <c r="FE162" s="302"/>
      <c r="FF162" s="302"/>
      <c r="FG162" s="302"/>
      <c r="FH162" s="351"/>
      <c r="FI162" s="302"/>
      <c r="FJ162" s="302"/>
      <c r="FK162" s="302"/>
      <c r="FL162" s="351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1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1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1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1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1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1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1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0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1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1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1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1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1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1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1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0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0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1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1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1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0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0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1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Total Revenues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Total Expenditures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Surplus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21" t="s">
        <v>676</v>
      </c>
      <c r="F214" s="618">
        <v>2006</v>
      </c>
      <c r="G214" s="619"/>
      <c r="H214" s="619"/>
      <c r="I214" s="619"/>
      <c r="J214" s="619"/>
      <c r="K214" s="619"/>
      <c r="L214" s="619"/>
      <c r="M214" s="619"/>
      <c r="N214" s="619"/>
      <c r="O214" s="619"/>
      <c r="P214" s="619"/>
      <c r="Q214" s="620"/>
      <c r="R214" s="618">
        <v>2007</v>
      </c>
      <c r="S214" s="619"/>
      <c r="T214" s="619"/>
      <c r="U214" s="619"/>
      <c r="V214" s="619"/>
      <c r="W214" s="619"/>
      <c r="X214" s="619"/>
      <c r="Y214" s="619"/>
      <c r="Z214" s="619"/>
      <c r="AA214" s="619"/>
      <c r="AB214" s="619"/>
      <c r="AC214" s="620"/>
      <c r="AD214" s="618">
        <v>2008</v>
      </c>
      <c r="AE214" s="619"/>
      <c r="AF214" s="619"/>
      <c r="AG214" s="619"/>
      <c r="AH214" s="619"/>
      <c r="AI214" s="619"/>
      <c r="AJ214" s="619"/>
      <c r="AK214" s="619"/>
      <c r="AL214" s="619"/>
      <c r="AM214" s="619"/>
      <c r="AN214" s="619"/>
      <c r="AO214" s="620"/>
      <c r="AP214" s="618">
        <v>2009</v>
      </c>
      <c r="AQ214" s="619"/>
      <c r="AR214" s="619"/>
      <c r="AS214" s="619"/>
      <c r="AT214" s="619"/>
      <c r="AU214" s="619"/>
      <c r="AV214" s="619"/>
      <c r="AW214" s="619"/>
      <c r="AX214" s="619"/>
      <c r="AY214" s="619"/>
      <c r="AZ214" s="619"/>
      <c r="BA214" s="620"/>
      <c r="BB214" s="618">
        <v>2010</v>
      </c>
      <c r="BC214" s="619"/>
      <c r="BD214" s="619"/>
      <c r="BE214" s="619"/>
      <c r="BF214" s="619"/>
      <c r="BG214" s="619"/>
      <c r="BH214" s="619"/>
      <c r="BI214" s="619"/>
      <c r="BJ214" s="619"/>
      <c r="BK214" s="619"/>
      <c r="BL214" s="619"/>
      <c r="BM214" s="620"/>
      <c r="BN214" s="618">
        <v>2011</v>
      </c>
      <c r="BO214" s="619"/>
      <c r="BP214" s="619"/>
      <c r="BQ214" s="619"/>
      <c r="BR214" s="619"/>
      <c r="BS214" s="619"/>
      <c r="BT214" s="619"/>
      <c r="BU214" s="619"/>
      <c r="BV214" s="619"/>
      <c r="BW214" s="619"/>
      <c r="BX214" s="619"/>
      <c r="BY214" s="620"/>
      <c r="BZ214" s="619">
        <v>2012</v>
      </c>
      <c r="CA214" s="619"/>
      <c r="CB214" s="619"/>
      <c r="CC214" s="619"/>
      <c r="CD214" s="619"/>
      <c r="CE214" s="619"/>
      <c r="CF214" s="619"/>
      <c r="CG214" s="619"/>
      <c r="CH214" s="619"/>
      <c r="CI214" s="619"/>
      <c r="CJ214" s="619"/>
      <c r="CK214" s="619"/>
      <c r="CL214" s="618">
        <v>2013</v>
      </c>
      <c r="CM214" s="619"/>
      <c r="CN214" s="619"/>
      <c r="CO214" s="619"/>
      <c r="CP214" s="619"/>
      <c r="CQ214" s="619"/>
      <c r="CR214" s="619"/>
      <c r="CS214" s="619"/>
      <c r="CT214" s="619"/>
      <c r="CU214" s="619"/>
      <c r="CV214" s="619"/>
      <c r="CW214" s="620"/>
      <c r="CX214" s="618">
        <v>2014</v>
      </c>
      <c r="CY214" s="619"/>
      <c r="CZ214" s="619"/>
      <c r="DA214" s="619"/>
      <c r="DB214" s="619"/>
      <c r="DC214" s="619"/>
      <c r="DD214" s="619"/>
      <c r="DE214" s="619"/>
      <c r="DF214" s="619"/>
      <c r="DG214" s="619"/>
      <c r="DH214" s="619"/>
      <c r="DI214" s="620"/>
      <c r="DJ214" s="618">
        <v>2015</v>
      </c>
      <c r="DK214" s="619"/>
      <c r="DL214" s="619"/>
      <c r="DM214" s="619"/>
      <c r="DN214" s="619"/>
      <c r="DO214" s="619"/>
      <c r="DP214" s="619"/>
      <c r="DQ214" s="619"/>
      <c r="DR214" s="619"/>
      <c r="DS214" s="619"/>
      <c r="DT214" s="619"/>
      <c r="DU214" s="620"/>
    </row>
    <row r="215" spans="1:187">
      <c r="E215" s="621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6" t="s">
        <v>724</v>
      </c>
      <c r="EI215" s="316" t="s">
        <v>725</v>
      </c>
      <c r="EJ215" s="316" t="s">
        <v>726</v>
      </c>
      <c r="EK215" s="316" t="s">
        <v>727</v>
      </c>
      <c r="EL215" s="316" t="s">
        <v>728</v>
      </c>
      <c r="EM215" s="316" t="s">
        <v>729</v>
      </c>
      <c r="EN215" s="316" t="s">
        <v>730</v>
      </c>
      <c r="EO215" s="316" t="s">
        <v>731</v>
      </c>
      <c r="EP215" s="316" t="s">
        <v>732</v>
      </c>
      <c r="EQ215" s="316" t="s">
        <v>733</v>
      </c>
      <c r="ER215" s="316" t="s">
        <v>734</v>
      </c>
      <c r="ES215" s="316" t="s">
        <v>735</v>
      </c>
      <c r="ET215" s="316" t="s">
        <v>742</v>
      </c>
      <c r="EU215" s="316" t="s">
        <v>743</v>
      </c>
      <c r="EV215" s="316" t="s">
        <v>744</v>
      </c>
      <c r="EW215" s="316" t="s">
        <v>745</v>
      </c>
      <c r="EX215" s="316" t="s">
        <v>746</v>
      </c>
      <c r="EY215" s="316" t="s">
        <v>747</v>
      </c>
      <c r="EZ215" s="316" t="s">
        <v>748</v>
      </c>
      <c r="FA215" s="316" t="s">
        <v>749</v>
      </c>
      <c r="FB215" s="316" t="s">
        <v>750</v>
      </c>
      <c r="FC215" s="316" t="s">
        <v>751</v>
      </c>
      <c r="FD215" s="316" t="s">
        <v>752</v>
      </c>
      <c r="FE215" s="316" t="s">
        <v>753</v>
      </c>
      <c r="FF215" s="316" t="s">
        <v>758</v>
      </c>
      <c r="FG215" s="316" t="s">
        <v>759</v>
      </c>
      <c r="FH215" s="316" t="s">
        <v>760</v>
      </c>
      <c r="FI215" s="316" t="s">
        <v>761</v>
      </c>
      <c r="FJ215" s="316" t="s">
        <v>762</v>
      </c>
      <c r="FK215" s="316" t="s">
        <v>763</v>
      </c>
      <c r="FL215" s="316" t="s">
        <v>764</v>
      </c>
      <c r="FM215" s="316" t="s">
        <v>765</v>
      </c>
      <c r="FN215" s="316" t="s">
        <v>766</v>
      </c>
      <c r="FO215" s="316" t="s">
        <v>767</v>
      </c>
      <c r="FP215" s="316" t="s">
        <v>768</v>
      </c>
      <c r="FQ215" s="316" t="s">
        <v>769</v>
      </c>
      <c r="FR215" s="41" t="s">
        <v>777</v>
      </c>
      <c r="FS215" s="346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7">
        <v>72429730.420000002</v>
      </c>
      <c r="FG218" s="347">
        <v>68470908.439999998</v>
      </c>
      <c r="FH218" s="347">
        <v>98709545.510000005</v>
      </c>
      <c r="FI218" s="347">
        <v>106791818.52</v>
      </c>
      <c r="FJ218" s="347">
        <v>94372185.030000001</v>
      </c>
      <c r="FK218" s="347">
        <v>89389439.689999998</v>
      </c>
      <c r="FL218" s="347">
        <v>106366803.00672032</v>
      </c>
      <c r="FM218" s="347">
        <v>110847613.63774106</v>
      </c>
      <c r="FN218" s="347">
        <f>105712748.66474-4000000</f>
        <v>101712748.66474</v>
      </c>
      <c r="FO218" s="347">
        <f>92295636.2285859+4000000</f>
        <v>96295636.228585899</v>
      </c>
      <c r="FP218" s="347">
        <v>84393107.743797168</v>
      </c>
      <c r="FQ218" s="347">
        <v>92890414.095145509</v>
      </c>
      <c r="FR218" s="433">
        <f>SUM(FR219:FR226)</f>
        <v>73320205.209999993</v>
      </c>
      <c r="FS218" s="433">
        <f t="shared" ref="FS218:FW218" si="24">SUM(FS219:FS226)</f>
        <v>69683087.399999991</v>
      </c>
      <c r="FT218" s="433">
        <f t="shared" si="24"/>
        <v>105613736.66000001</v>
      </c>
      <c r="FU218" s="433">
        <f t="shared" si="24"/>
        <v>83521974.920000002</v>
      </c>
      <c r="FV218" s="433">
        <f t="shared" si="24"/>
        <v>69752758.120000005</v>
      </c>
      <c r="FW218" s="433">
        <f t="shared" si="24"/>
        <v>82125472.672907159</v>
      </c>
      <c r="FX218" s="433">
        <f>SUM(FX219:FX226)</f>
        <v>97440527.99295114</v>
      </c>
      <c r="FY218" s="433">
        <f t="shared" ref="FY218" si="25">SUM(FY219:FY226)</f>
        <v>102835982.17822319</v>
      </c>
      <c r="FZ218" s="433">
        <f t="shared" ref="FZ218" si="26">SUM(FZ219:FZ226)</f>
        <v>99861898.573637322</v>
      </c>
      <c r="GA218" s="433">
        <f t="shared" ref="GA218" si="27">SUM(GA219:GA226)</f>
        <v>96098494.299763739</v>
      </c>
      <c r="GB218" s="433">
        <f t="shared" ref="GB218" si="28">SUM(GB219:GB226)</f>
        <v>81549422.466298312</v>
      </c>
      <c r="GC218" s="433">
        <f t="shared" ref="GC218" si="29">SUM(GC219:GC226)</f>
        <v>93633799.201363876</v>
      </c>
      <c r="GE218" s="426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7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7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7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7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7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7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7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7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7">
        <v>16498881.48</v>
      </c>
      <c r="FG227" s="347">
        <v>41912269.38000001</v>
      </c>
      <c r="FH227" s="347">
        <v>41047599.18</v>
      </c>
      <c r="FI227" s="347">
        <v>50290988.940000005</v>
      </c>
      <c r="FJ227" s="347">
        <v>37496285.130000003</v>
      </c>
      <c r="FK227" s="347">
        <v>45280786.510000005</v>
      </c>
      <c r="FL227" s="347">
        <v>46250891.035691187</v>
      </c>
      <c r="FM227" s="347">
        <v>44632014.674295112</v>
      </c>
      <c r="FN227" s="347">
        <v>41120271.333377153</v>
      </c>
      <c r="FO227" s="347">
        <v>46928850.635902815</v>
      </c>
      <c r="FP227" s="347">
        <v>44128259.697538294</v>
      </c>
      <c r="FQ227" s="347">
        <v>78626416.07852602</v>
      </c>
      <c r="FR227" s="433">
        <f>SUM(FR228:FR231)</f>
        <v>15749286.220000001</v>
      </c>
      <c r="FS227" s="433">
        <f t="shared" ref="FS227:GC227" si="36">SUM(FS228:FS231)</f>
        <v>42574769.890000001</v>
      </c>
      <c r="FT227" s="433">
        <f t="shared" si="36"/>
        <v>44888756.57</v>
      </c>
      <c r="FU227" s="433">
        <f t="shared" si="36"/>
        <v>33882602.5</v>
      </c>
      <c r="FV227" s="433">
        <f t="shared" si="36"/>
        <v>40418289.450000003</v>
      </c>
      <c r="FW227" s="433">
        <f t="shared" si="36"/>
        <v>39209561.537363522</v>
      </c>
      <c r="FX227" s="433">
        <f t="shared" si="36"/>
        <v>39824401.286702745</v>
      </c>
      <c r="FY227" s="433">
        <f t="shared" si="36"/>
        <v>37466342.331191912</v>
      </c>
      <c r="FZ227" s="433">
        <f t="shared" si="36"/>
        <v>35714950.117071614</v>
      </c>
      <c r="GA227" s="433">
        <f t="shared" si="36"/>
        <v>56930028.965902433</v>
      </c>
      <c r="GB227" s="433">
        <f t="shared" si="36"/>
        <v>36060885.689019322</v>
      </c>
      <c r="GC227" s="433">
        <f t="shared" si="36"/>
        <v>69780505.759044364</v>
      </c>
      <c r="GE227" s="426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7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7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7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7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7">
        <v>851162.27</v>
      </c>
      <c r="FG232" s="347">
        <v>1041125.3899999999</v>
      </c>
      <c r="FH232" s="347">
        <v>1066481.8799999999</v>
      </c>
      <c r="FI232" s="347">
        <v>1290371.49</v>
      </c>
      <c r="FJ232" s="347">
        <v>1208813.17</v>
      </c>
      <c r="FK232" s="347">
        <v>1252534.6599999999</v>
      </c>
      <c r="FL232" s="347">
        <v>1795731.4641523927</v>
      </c>
      <c r="FM232" s="347">
        <v>1701456.5372229549</v>
      </c>
      <c r="FN232" s="347">
        <v>1388736.0694359436</v>
      </c>
      <c r="FO232" s="347">
        <v>1341528.8515351652</v>
      </c>
      <c r="FP232" s="347">
        <v>1134405.6022195939</v>
      </c>
      <c r="FQ232" s="347">
        <v>1246141.5409339513</v>
      </c>
      <c r="FR232" s="433">
        <f>SUM(FR233:FR236)</f>
        <v>669819.01</v>
      </c>
      <c r="FS232" s="433">
        <f t="shared" ref="FS232:GC232" si="39">SUM(FS233:FS236)</f>
        <v>845756.92</v>
      </c>
      <c r="FT232" s="433">
        <f t="shared" si="39"/>
        <v>720374.53</v>
      </c>
      <c r="FU232" s="433">
        <f t="shared" si="39"/>
        <v>316937.24</v>
      </c>
      <c r="FV232" s="433">
        <f t="shared" si="39"/>
        <v>469045.42</v>
      </c>
      <c r="FW232" s="433">
        <f t="shared" si="39"/>
        <v>1161870.8532355535</v>
      </c>
      <c r="FX232" s="433">
        <f t="shared" si="39"/>
        <v>1673430.2546007757</v>
      </c>
      <c r="FY232" s="433">
        <f t="shared" si="39"/>
        <v>1388372.9389781314</v>
      </c>
      <c r="FZ232" s="433">
        <f t="shared" si="39"/>
        <v>1416214.8034873675</v>
      </c>
      <c r="GA232" s="433">
        <f t="shared" si="39"/>
        <v>1276386.1061063381</v>
      </c>
      <c r="GB232" s="433">
        <f t="shared" si="39"/>
        <v>963348.80250703567</v>
      </c>
      <c r="GC232" s="433">
        <f t="shared" si="39"/>
        <v>1285597.5253147981</v>
      </c>
      <c r="GE232" s="426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7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7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7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7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7">
        <v>2315003.25</v>
      </c>
      <c r="FG237" s="347">
        <v>1541397.86</v>
      </c>
      <c r="FH237" s="347">
        <v>2408517.5</v>
      </c>
      <c r="FI237" s="347">
        <v>3310133.38</v>
      </c>
      <c r="FJ237" s="347">
        <v>1792591.2</v>
      </c>
      <c r="FK237" s="347">
        <v>2081141.31</v>
      </c>
      <c r="FL237" s="347">
        <v>3811615.3822946725</v>
      </c>
      <c r="FM237" s="347">
        <v>2369139.8885664819</v>
      </c>
      <c r="FN237" s="347">
        <v>2509036.584840606</v>
      </c>
      <c r="FO237" s="347">
        <v>3286740.3746407013</v>
      </c>
      <c r="FP237" s="347">
        <v>2611990.4957672656</v>
      </c>
      <c r="FQ237" s="347">
        <v>3353537.6354902741</v>
      </c>
      <c r="FR237" s="433">
        <f>SUM(FR238:FR243)</f>
        <v>2226726.9299999997</v>
      </c>
      <c r="FS237" s="433">
        <f t="shared" ref="FS237:GC237" si="42">SUM(FS238:FS243)</f>
        <v>2200614.79</v>
      </c>
      <c r="FT237" s="433">
        <f t="shared" si="42"/>
        <v>1317967.9100000001</v>
      </c>
      <c r="FU237" s="433">
        <f t="shared" si="42"/>
        <v>1597851.3599999999</v>
      </c>
      <c r="FV237" s="433">
        <f t="shared" si="42"/>
        <v>1673853.74</v>
      </c>
      <c r="FW237" s="433">
        <f t="shared" si="42"/>
        <v>2179490.8743573632</v>
      </c>
      <c r="FX237" s="433">
        <f t="shared" si="42"/>
        <v>2571108.8359225746</v>
      </c>
      <c r="FY237" s="433">
        <f t="shared" si="42"/>
        <v>1825380.5890086682</v>
      </c>
      <c r="FZ237" s="433">
        <f t="shared" si="42"/>
        <v>2163813.0387331629</v>
      </c>
      <c r="GA237" s="433">
        <f t="shared" si="42"/>
        <v>1995229.2228867295</v>
      </c>
      <c r="GB237" s="433">
        <f t="shared" si="42"/>
        <v>1517691.0449207788</v>
      </c>
      <c r="GC237" s="433">
        <f t="shared" si="42"/>
        <v>3555523.5622207262</v>
      </c>
      <c r="GE237" s="426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7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7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7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7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7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7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7">
        <v>1567288.04</v>
      </c>
      <c r="FG244" s="347">
        <v>2199531.1</v>
      </c>
      <c r="FH244" s="347">
        <v>3194097.81</v>
      </c>
      <c r="FI244" s="347">
        <v>2385711.15</v>
      </c>
      <c r="FJ244" s="347">
        <v>7159438.3900000006</v>
      </c>
      <c r="FK244" s="347">
        <v>3263135.44</v>
      </c>
      <c r="FL244" s="347">
        <v>3782335.0282840966</v>
      </c>
      <c r="FM244" s="347">
        <v>3340173.0404689522</v>
      </c>
      <c r="FN244" s="347">
        <f>37689732.0664406-35000000</f>
        <v>2689732.0664405972</v>
      </c>
      <c r="FO244" s="347">
        <f>2215962.80977053+35000000</f>
        <v>37215962.809770532</v>
      </c>
      <c r="FP244" s="347">
        <v>3512092.3071244648</v>
      </c>
      <c r="FQ244" s="347">
        <v>7138953.7303113183</v>
      </c>
      <c r="FR244" s="433">
        <f>SUM(FR245:FR248)</f>
        <v>1484714.27</v>
      </c>
      <c r="FS244" s="433">
        <f t="shared" ref="FS244:GC244" si="46">SUM(FS245:FS248)</f>
        <v>2100277.88</v>
      </c>
      <c r="FT244" s="433">
        <f t="shared" si="46"/>
        <v>4248499.3600000003</v>
      </c>
      <c r="FU244" s="433">
        <f t="shared" si="46"/>
        <v>1617752.3800000001</v>
      </c>
      <c r="FV244" s="433">
        <f t="shared" si="46"/>
        <v>1237245.3599999999</v>
      </c>
      <c r="FW244" s="433">
        <f t="shared" si="46"/>
        <v>2257816.068284105</v>
      </c>
      <c r="FX244" s="433">
        <f t="shared" si="46"/>
        <v>5692253.8149066633</v>
      </c>
      <c r="FY244" s="433">
        <f t="shared" si="46"/>
        <v>4621203.3620386366</v>
      </c>
      <c r="FZ244" s="433">
        <f t="shared" si="46"/>
        <v>17537126.915220708</v>
      </c>
      <c r="GA244" s="433">
        <f t="shared" si="46"/>
        <v>3831817.5735939299</v>
      </c>
      <c r="GB244" s="433">
        <f t="shared" si="46"/>
        <v>3619302.6260553906</v>
      </c>
      <c r="GC244" s="433">
        <f t="shared" si="46"/>
        <v>4678583.5639540665</v>
      </c>
      <c r="GE244" s="426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7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7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7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7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3">
        <v>62782.51</v>
      </c>
      <c r="FS249" s="433">
        <v>437988.22</v>
      </c>
      <c r="FT249" s="433">
        <v>603218.21</v>
      </c>
      <c r="FU249" s="433">
        <v>198578.39</v>
      </c>
      <c r="FV249" s="433">
        <v>270349.07</v>
      </c>
      <c r="FW249" s="433">
        <v>632440.5</v>
      </c>
      <c r="FX249" s="433">
        <v>632440.5</v>
      </c>
      <c r="FY249" s="433">
        <v>632440.5</v>
      </c>
      <c r="FZ249" s="433">
        <v>632440.5</v>
      </c>
      <c r="GA249" s="433">
        <v>632440.5</v>
      </c>
      <c r="GB249" s="433">
        <v>632440.5</v>
      </c>
      <c r="GC249" s="433">
        <v>632440.6</v>
      </c>
      <c r="GD249" s="349"/>
      <c r="GE249" s="426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3">
        <v>80819.179999999993</v>
      </c>
      <c r="FS252" s="433">
        <v>813727.89</v>
      </c>
      <c r="FT252" s="433">
        <v>794561.22</v>
      </c>
      <c r="FU252" s="433">
        <v>561040.23</v>
      </c>
      <c r="FV252" s="433">
        <v>218800.94</v>
      </c>
      <c r="FW252" s="433">
        <v>172752.84814830567</v>
      </c>
      <c r="FX252" s="433">
        <v>621585.63801238476</v>
      </c>
      <c r="FY252" s="433">
        <v>1170088.8491047423</v>
      </c>
      <c r="FZ252" s="433">
        <v>665799.08079606481</v>
      </c>
      <c r="GA252" s="433">
        <v>9201611.3215604126</v>
      </c>
      <c r="GB252" s="433">
        <v>1305018.6190754015</v>
      </c>
      <c r="GC252" s="433">
        <v>1507066.6233026888</v>
      </c>
      <c r="GE252" s="426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7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3">
        <v>754264.83</v>
      </c>
      <c r="FS255" s="433">
        <v>1636489.54</v>
      </c>
      <c r="FT255" s="433">
        <v>3512551.56</v>
      </c>
      <c r="FU255" s="433">
        <v>2957605.59</v>
      </c>
      <c r="FV255" s="433">
        <v>1856477.6183333334</v>
      </c>
      <c r="FW255" s="433">
        <v>2156477.6183333299</v>
      </c>
      <c r="FX255" s="433">
        <v>1856477.6183333334</v>
      </c>
      <c r="FY255" s="433">
        <v>1856477.6183333334</v>
      </c>
      <c r="FZ255" s="433">
        <v>25000000</v>
      </c>
      <c r="GA255" s="433">
        <v>1856477.6183333334</v>
      </c>
      <c r="GB255" s="433">
        <v>1856477.6183333334</v>
      </c>
      <c r="GC255" s="433">
        <v>4700000</v>
      </c>
      <c r="GE255" s="426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6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6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6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7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7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7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7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7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6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9"/>
      <c r="FS271" s="429"/>
      <c r="FT271" s="429"/>
      <c r="FU271" s="429"/>
      <c r="FV271" s="429"/>
      <c r="FW271" s="429"/>
      <c r="FX271" s="429"/>
      <c r="FY271" s="429"/>
      <c r="FZ271" s="429"/>
      <c r="GA271" s="429"/>
      <c r="GB271" s="429"/>
      <c r="GC271" s="429"/>
      <c r="GD271" s="42"/>
      <c r="GE271" s="427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9"/>
      <c r="FS272" s="429"/>
      <c r="FT272" s="429"/>
      <c r="FU272" s="429"/>
      <c r="FV272" s="429"/>
      <c r="FW272" s="429"/>
      <c r="FX272" s="429"/>
      <c r="FY272" s="429"/>
      <c r="FZ272" s="429"/>
      <c r="GA272" s="429"/>
      <c r="GB272" s="429"/>
      <c r="GC272" s="429"/>
      <c r="GD272" s="42"/>
      <c r="GE272" s="427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9"/>
      <c r="FS273" s="429"/>
      <c r="FT273" s="429"/>
      <c r="FU273" s="429"/>
      <c r="FV273" s="429"/>
      <c r="FW273" s="429"/>
      <c r="FX273" s="429"/>
      <c r="FY273" s="429"/>
      <c r="FZ273" s="429"/>
      <c r="GA273" s="429"/>
      <c r="GB273" s="429"/>
      <c r="GC273" s="429"/>
      <c r="GD273" s="42"/>
      <c r="GE273" s="427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9"/>
      <c r="FS274" s="429"/>
      <c r="FT274" s="429"/>
      <c r="FU274" s="429"/>
      <c r="FV274" s="429"/>
      <c r="FW274" s="429"/>
      <c r="FX274" s="429"/>
      <c r="FY274" s="429"/>
      <c r="FZ274" s="429"/>
      <c r="GA274" s="429"/>
      <c r="GB274" s="429"/>
      <c r="GC274" s="429"/>
      <c r="GD274" s="42"/>
      <c r="GE274" s="427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9"/>
      <c r="FS275" s="429"/>
      <c r="FT275" s="429"/>
      <c r="FU275" s="429"/>
      <c r="FV275" s="429"/>
      <c r="FW275" s="429"/>
      <c r="FX275" s="429"/>
      <c r="FY275" s="429"/>
      <c r="FZ275" s="429"/>
      <c r="GA275" s="429"/>
      <c r="GB275" s="429"/>
      <c r="GC275" s="429"/>
      <c r="GD275" s="42"/>
      <c r="GE275" s="427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7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9"/>
      <c r="FS277" s="429"/>
      <c r="FT277" s="429"/>
      <c r="FU277" s="429"/>
      <c r="FV277" s="429"/>
      <c r="FW277" s="429"/>
      <c r="FX277" s="429"/>
      <c r="FY277" s="429"/>
      <c r="FZ277" s="429"/>
      <c r="GA277" s="429"/>
      <c r="GB277" s="429"/>
      <c r="GC277" s="429"/>
      <c r="GD277" s="42"/>
      <c r="GE277" s="427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6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7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7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7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7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7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7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6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7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7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7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7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7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7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7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7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7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6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7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7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7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6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7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7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6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7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7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7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6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7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7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7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6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7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7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7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7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7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7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7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7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7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6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6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7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7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7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7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7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7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7"/>
    </row>
    <row r="329" spans="1:187" s="350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7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6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7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7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7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7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7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6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7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7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7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7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7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7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7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6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7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6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7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7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7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6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6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7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7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7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7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7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7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7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7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7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6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7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7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7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7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7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7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0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6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7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7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7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7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7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7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7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8">
        <v>26666.67</v>
      </c>
      <c r="FG376" s="348">
        <v>26666.67</v>
      </c>
      <c r="FH376" s="348">
        <v>26666.67</v>
      </c>
      <c r="FI376" s="348">
        <v>39926666.670000002</v>
      </c>
      <c r="FJ376" s="348">
        <v>26666.67</v>
      </c>
      <c r="FK376" s="348">
        <v>26666.67</v>
      </c>
      <c r="FL376" s="348">
        <v>26666.67</v>
      </c>
      <c r="FM376" s="348">
        <v>26666.67</v>
      </c>
      <c r="FN376" s="348">
        <v>26666.67</v>
      </c>
      <c r="FO376" s="348">
        <v>26666.67</v>
      </c>
      <c r="FP376" s="348">
        <v>26666.67</v>
      </c>
      <c r="FQ376" s="348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7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7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6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2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7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7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7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7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7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6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6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8">
        <v>84944.84</v>
      </c>
      <c r="FG387" s="348">
        <v>835385.84</v>
      </c>
      <c r="FH387" s="348">
        <v>1812259.88</v>
      </c>
      <c r="FI387" s="348">
        <v>4541832.53</v>
      </c>
      <c r="FJ387" s="348">
        <v>2836722.65</v>
      </c>
      <c r="FK387" s="348">
        <v>7054086.1200000001</v>
      </c>
      <c r="FL387" s="348">
        <v>87625.45</v>
      </c>
      <c r="FM387" s="348">
        <v>10838080.380000001</v>
      </c>
      <c r="FN387" s="348">
        <v>1831359.63</v>
      </c>
      <c r="FO387" s="348">
        <v>1571862.21</v>
      </c>
      <c r="FP387" s="348">
        <v>839459.36</v>
      </c>
      <c r="FQ387" s="348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7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8">
        <v>1633418.82</v>
      </c>
      <c r="FG388" s="348">
        <v>2527307.11</v>
      </c>
      <c r="FH388" s="348">
        <v>15808665.810000001</v>
      </c>
      <c r="FI388" s="348">
        <v>16675362.76</v>
      </c>
      <c r="FJ388" s="348">
        <v>178652835.22999999</v>
      </c>
      <c r="FK388" s="348">
        <v>9790699.6799999997</v>
      </c>
      <c r="FL388" s="348">
        <v>61633418.82</v>
      </c>
      <c r="FM388" s="348">
        <v>2916660.71</v>
      </c>
      <c r="FN388" s="348">
        <v>15999957.68</v>
      </c>
      <c r="FO388" s="348">
        <v>4579294.0199999996</v>
      </c>
      <c r="FP388" s="348">
        <v>9337046.5099999998</v>
      </c>
      <c r="FQ388" s="348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7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6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7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7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9">
        <v>1234088.2</v>
      </c>
      <c r="FS392" s="349">
        <v>1922034.51</v>
      </c>
      <c r="FT392" s="349">
        <v>1368605.81</v>
      </c>
      <c r="FU392" s="349">
        <v>1039845.76</v>
      </c>
      <c r="FV392" s="349">
        <v>1116425.95</v>
      </c>
      <c r="FW392" s="349">
        <v>1374921.7142857143</v>
      </c>
      <c r="FX392" s="349">
        <v>1374921.7142857143</v>
      </c>
      <c r="FY392" s="349">
        <v>1374921.7142857143</v>
      </c>
      <c r="FZ392" s="349">
        <v>1374921.7142857143</v>
      </c>
      <c r="GA392" s="349">
        <v>1374921.7142857143</v>
      </c>
      <c r="GB392" s="349">
        <v>1374921.7142857143</v>
      </c>
      <c r="GC392" s="349">
        <v>1374921.7142857143</v>
      </c>
      <c r="GE392" s="426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6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8">
        <v>1650583.3333333333</v>
      </c>
      <c r="FG394" s="348">
        <v>1843583.3333333333</v>
      </c>
      <c r="FH394" s="348">
        <v>1650583.3333333333</v>
      </c>
      <c r="FI394" s="348">
        <v>1650583.3333333333</v>
      </c>
      <c r="FJ394" s="348">
        <v>1650583.3333333333</v>
      </c>
      <c r="FK394" s="348">
        <v>1650583.3333333333</v>
      </c>
      <c r="FL394" s="348">
        <f>1650583.33333333+3000000</f>
        <v>4650583.3333333302</v>
      </c>
      <c r="FM394" s="348">
        <v>1650583.3333333333</v>
      </c>
      <c r="FN394" s="348">
        <v>1650583.3333333333</v>
      </c>
      <c r="FO394" s="348">
        <f>3317250-1000000</f>
        <v>2317250</v>
      </c>
      <c r="FP394" s="348">
        <f>3317250-1000000</f>
        <v>2317250</v>
      </c>
      <c r="FQ394" s="348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7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8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7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7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8"/>
    </row>
    <row r="400" spans="1:187">
      <c r="GE400" s="431"/>
    </row>
    <row r="401" spans="187:187">
      <c r="GE401" s="428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Analitika - 2014</vt:lpstr>
      <vt:lpstr>Breakdown</vt:lpstr>
      <vt:lpstr>Analytics 2022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Andjela Bulatovic</cp:lastModifiedBy>
  <cp:lastPrinted>2022-03-03T07:18:34Z</cp:lastPrinted>
  <dcterms:created xsi:type="dcterms:W3CDTF">2014-09-15T13:41:17Z</dcterms:created>
  <dcterms:modified xsi:type="dcterms:W3CDTF">2022-04-01T08:13:40Z</dcterms:modified>
</cp:coreProperties>
</file>