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minic\Dropbox\MINISTARSTVO FINANSIJA\SEP\99_Arhiva\01_Analize\Bilten - 2015 - III kvartal - Analiza\"/>
    </mc:Choice>
  </mc:AlternateContent>
  <bookViews>
    <workbookView xWindow="0" yWindow="0" windowWidth="16590" windowHeight="5985" tabRatio="816"/>
  </bookViews>
  <sheets>
    <sheet name="Cental Budget" sheetId="10" r:id="rId1"/>
    <sheet name="Local Government" sheetId="32" r:id="rId2"/>
    <sheet name="Public Expenditure" sheetId="33" r:id="rId3"/>
    <sheet name="PRIMICI" sheetId="29" state="hidden" r:id="rId4"/>
    <sheet name="DEFICIT Tabela" sheetId="30" state="hidden" r:id="rId5"/>
    <sheet name="MasterSheet" sheetId="13" state="hidden" r:id="rId6"/>
    <sheet name="Sheet1" sheetId="31" state="hidden" r:id="rId7"/>
    <sheet name="Sheet2" sheetId="36" state="hidden" r:id="rId8"/>
    <sheet name="Sheet3" sheetId="37" state="hidden" r:id="rId9"/>
  </sheets>
  <externalReferences>
    <externalReference r:id="rId10"/>
  </externalReferences>
  <definedNames>
    <definedName name="_Order1" hidden="1">0</definedName>
    <definedName name="_Order2" hidden="1">0</definedName>
    <definedName name="_Regression_Out" localSheetId="4" hidden="1">#REF!</definedName>
    <definedName name="_Regression_Out" localSheetId="1" hidden="1">#REF!</definedName>
    <definedName name="_Regression_Out" localSheetId="3" hidden="1">#REF!</definedName>
    <definedName name="_Regression_Out" localSheetId="2" hidden="1">#REF!</definedName>
    <definedName name="_Regression_Out" hidden="1">#REF!</definedName>
    <definedName name="_Regression_X" localSheetId="4" hidden="1">#REF!</definedName>
    <definedName name="_Regression_X" localSheetId="1" hidden="1">#REF!</definedName>
    <definedName name="_Regression_X" localSheetId="3" hidden="1">#REF!</definedName>
    <definedName name="_Regression_X" localSheetId="2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a" hidden="1">#REF!</definedName>
    <definedName name="Z_05AB59A7_9F04_4F70_A17E_8EF60EF35C7C_.wvu.PrintArea" localSheetId="0" hidden="1">'Cental Budget'!$B$13:$C$72</definedName>
    <definedName name="Z_05AB59A7_9F04_4F70_A17E_8EF60EF35C7C_.wvu.PrintArea" localSheetId="1" hidden="1">'Local Government'!$B$13:$M$74</definedName>
    <definedName name="Z_05AB59A7_9F04_4F70_A17E_8EF60EF35C7C_.wvu.PrintArea" localSheetId="2" hidden="1">'Public Expenditure'!$B$13:$M$75</definedName>
    <definedName name="Z_636A372C_EE02_4B23_8381_E3299ADF8816_.wvu.Cols" localSheetId="0" hidden="1">'Cental Budget'!#REF!</definedName>
    <definedName name="Z_636A372C_EE02_4B23_8381_E3299ADF8816_.wvu.Cols" localSheetId="1" hidden="1">'Local Government'!#REF!</definedName>
    <definedName name="Z_636A372C_EE02_4B23_8381_E3299ADF8816_.wvu.Cols" localSheetId="2" hidden="1">'Public Expenditure'!#REF!</definedName>
    <definedName name="Z_7AC1CC92_093E_4DA9_98F8_470D5521A68C_.wvu.Rows" localSheetId="0" hidden="1">'Cental Budget'!#REF!,'Cental Budget'!#REF!,'Cental Budget'!#REF!,'Cental Budget'!#REF!</definedName>
    <definedName name="Z_7AC1CC92_093E_4DA9_98F8_470D5521A68C_.wvu.Rows" localSheetId="1" hidden="1">'Local Government'!#REF!,'Local Government'!#REF!,'Local Government'!#REF!,'Local Government'!#REF!</definedName>
    <definedName name="Z_7AC1CC92_093E_4DA9_98F8_470D5521A68C_.wvu.Rows" localSheetId="2" hidden="1">'Public Expenditure'!#REF!,'Public Expenditure'!#REF!,'Public Expenditure'!#REF!,'Public Expenditure'!#REF!</definedName>
    <definedName name="Z_A32CDCC2_9D7B_41FA_91EC_562A88521235_.wvu.Cols" localSheetId="0" hidden="1">'Cental Budget'!#REF!,'Cental Budget'!#REF!</definedName>
    <definedName name="Z_A32CDCC2_9D7B_41FA_91EC_562A88521235_.wvu.Cols" localSheetId="1" hidden="1">'Local Government'!#REF!,'Local Government'!#REF!</definedName>
    <definedName name="Z_A32CDCC2_9D7B_41FA_91EC_562A88521235_.wvu.Cols" localSheetId="2" hidden="1">'Public Expenditure'!#REF!,'Public Expenditure'!#REF!</definedName>
    <definedName name="Z_F37FAB72_D883_4CEB_A5EC_0FA851AD2DC3_.wvu.Cols" localSheetId="0" hidden="1">'Cental Budget'!#REF!</definedName>
    <definedName name="Z_F37FAB72_D883_4CEB_A5EC_0FA851AD2DC3_.wvu.Cols" localSheetId="1" hidden="1">'Local Government'!#REF!</definedName>
    <definedName name="Z_F37FAB72_D883_4CEB_A5EC_0FA851AD2DC3_.wvu.Cols" localSheetId="2" hidden="1">'Public Expenditure'!#REF!</definedName>
  </definedNames>
  <calcPr calcId="152511"/>
  <customWorkbookViews>
    <customWorkbookView name="RATKO - Personal View" guid="{A4D59F75-8091-4878-A19C-E6F7EFCC98D0}" mergeInterval="0" personalView="1" maximized="1" windowWidth="1276" windowHeight="850" activeSheetId="5"/>
    <customWorkbookView name="pc - Personal View" guid="{5F444141-AB98-4370-9413-F1F0A45DC16B}" mergeInterval="0" personalView="1" maximized="1" windowWidth="1276" windowHeight="874" activeSheetId="5"/>
    <customWorkbookView name="iva.vukovic - Personal View" guid="{E484E83A-8AE1-4ACE-A5D4-7D98A52A9B4B}" mergeInterval="0" personalView="1" maximized="1" windowWidth="1276" windowHeight="856" tabRatio="796" activeSheetId="3"/>
  </customWorkbookViews>
  <fileRecoveryPr autoRecover="0"/>
</workbook>
</file>

<file path=xl/calcChain.xml><?xml version="1.0" encoding="utf-8"?>
<calcChain xmlns="http://schemas.openxmlformats.org/spreadsheetml/2006/main">
  <c r="D63" i="32" l="1"/>
  <c r="E22" i="10"/>
  <c r="J52" i="32" l="1"/>
  <c r="J56" i="33"/>
  <c r="F56" i="33"/>
  <c r="D56" i="33"/>
  <c r="D25" i="10"/>
  <c r="J55" i="32"/>
  <c r="J42" i="32"/>
  <c r="J33" i="32"/>
  <c r="J27" i="32"/>
  <c r="J21" i="32"/>
  <c r="J31" i="33" s="1"/>
  <c r="J17" i="32"/>
  <c r="F65" i="32"/>
  <c r="F52" i="32"/>
  <c r="F55" i="32"/>
  <c r="F42" i="32"/>
  <c r="F33" i="32"/>
  <c r="F27" i="32"/>
  <c r="F21" i="32"/>
  <c r="F31" i="33" s="1"/>
  <c r="F17" i="32"/>
  <c r="D33" i="32"/>
  <c r="D33" i="33" s="1"/>
  <c r="J37" i="10"/>
  <c r="J63" i="10"/>
  <c r="H71" i="10"/>
  <c r="M71" i="10"/>
  <c r="H70" i="10"/>
  <c r="M70" i="10" s="1"/>
  <c r="H69" i="10"/>
  <c r="M69" i="10" s="1"/>
  <c r="M66" i="10"/>
  <c r="M57" i="10"/>
  <c r="M56" i="10"/>
  <c r="M55" i="10"/>
  <c r="M54" i="10"/>
  <c r="M53" i="10"/>
  <c r="M52" i="10"/>
  <c r="M51" i="10"/>
  <c r="M50" i="10"/>
  <c r="M49" i="10"/>
  <c r="M47" i="10"/>
  <c r="M46" i="10"/>
  <c r="M45" i="10"/>
  <c r="M44" i="10"/>
  <c r="M43" i="10"/>
  <c r="M42" i="10"/>
  <c r="M41" i="10"/>
  <c r="M40" i="10"/>
  <c r="M39" i="10"/>
  <c r="M38" i="10"/>
  <c r="M34" i="10"/>
  <c r="M33" i="10"/>
  <c r="M32" i="10"/>
  <c r="M31" i="10"/>
  <c r="M30" i="10"/>
  <c r="M29" i="10"/>
  <c r="M28" i="10"/>
  <c r="M27" i="10"/>
  <c r="M26" i="10"/>
  <c r="M24" i="10"/>
  <c r="M23" i="10"/>
  <c r="M22" i="10"/>
  <c r="M21" i="10"/>
  <c r="M20" i="10"/>
  <c r="M19" i="10"/>
  <c r="M18" i="10"/>
  <c r="L55" i="10"/>
  <c r="M58" i="10"/>
  <c r="F25" i="10"/>
  <c r="G25" i="10" s="1"/>
  <c r="R21" i="10"/>
  <c r="F17" i="10"/>
  <c r="G79" i="36"/>
  <c r="J78" i="36"/>
  <c r="I78" i="36"/>
  <c r="H78" i="36"/>
  <c r="F78" i="36"/>
  <c r="D78" i="36"/>
  <c r="J77" i="36"/>
  <c r="I77" i="36"/>
  <c r="H77" i="36"/>
  <c r="F77" i="36"/>
  <c r="D77" i="36"/>
  <c r="J76" i="36"/>
  <c r="I76" i="36"/>
  <c r="H76" i="36"/>
  <c r="F76" i="36"/>
  <c r="D76" i="36"/>
  <c r="H74" i="36"/>
  <c r="J73" i="36"/>
  <c r="I73" i="36"/>
  <c r="H73" i="36"/>
  <c r="F73" i="36"/>
  <c r="D73" i="36"/>
  <c r="J72" i="36"/>
  <c r="I72" i="36"/>
  <c r="H72" i="36"/>
  <c r="F72" i="36"/>
  <c r="D72" i="36"/>
  <c r="J71" i="36"/>
  <c r="I71" i="36"/>
  <c r="H71" i="36"/>
  <c r="F71" i="36"/>
  <c r="D71" i="36"/>
  <c r="H70" i="36"/>
  <c r="G70" i="36"/>
  <c r="E70" i="36"/>
  <c r="F70" i="36" s="1"/>
  <c r="C70" i="36"/>
  <c r="D70" i="36" s="1"/>
  <c r="J67" i="36"/>
  <c r="I67" i="36"/>
  <c r="H67" i="36"/>
  <c r="F67" i="36"/>
  <c r="D67" i="36"/>
  <c r="J66" i="36"/>
  <c r="I66" i="36"/>
  <c r="H66" i="36"/>
  <c r="F66" i="36"/>
  <c r="D66" i="36"/>
  <c r="J65" i="36"/>
  <c r="I65" i="36"/>
  <c r="H65" i="36"/>
  <c r="F65" i="36"/>
  <c r="D65" i="36"/>
  <c r="J64" i="36"/>
  <c r="I64" i="36"/>
  <c r="H64" i="36"/>
  <c r="F64" i="36"/>
  <c r="D64" i="36"/>
  <c r="J63" i="36"/>
  <c r="I63" i="36"/>
  <c r="H63" i="36"/>
  <c r="F63" i="36"/>
  <c r="D63" i="36"/>
  <c r="J62" i="36"/>
  <c r="I62" i="36"/>
  <c r="H62" i="36"/>
  <c r="F62" i="36"/>
  <c r="D62" i="36"/>
  <c r="J61" i="36"/>
  <c r="I61" i="36"/>
  <c r="H61" i="36"/>
  <c r="F61" i="36"/>
  <c r="D61" i="36"/>
  <c r="G60" i="36"/>
  <c r="E60" i="36"/>
  <c r="C60" i="36"/>
  <c r="J59" i="36"/>
  <c r="I59" i="36"/>
  <c r="H59" i="36"/>
  <c r="F59" i="36"/>
  <c r="D59" i="36"/>
  <c r="J58" i="36"/>
  <c r="I58" i="36"/>
  <c r="H58" i="36"/>
  <c r="F58" i="36"/>
  <c r="D58" i="36"/>
  <c r="J57" i="36"/>
  <c r="I57" i="36"/>
  <c r="H57" i="36"/>
  <c r="F57" i="36"/>
  <c r="D57" i="36"/>
  <c r="J56" i="36"/>
  <c r="I56" i="36"/>
  <c r="H56" i="36"/>
  <c r="F56" i="36"/>
  <c r="D56" i="36"/>
  <c r="J55" i="36"/>
  <c r="I55" i="36"/>
  <c r="H55" i="36"/>
  <c r="F55" i="36"/>
  <c r="D55" i="36"/>
  <c r="G54" i="36"/>
  <c r="H54" i="36" s="1"/>
  <c r="E54" i="36"/>
  <c r="F54" i="36" s="1"/>
  <c r="C54" i="36"/>
  <c r="D54" i="36" s="1"/>
  <c r="J53" i="36"/>
  <c r="I53" i="36"/>
  <c r="H53" i="36"/>
  <c r="F53" i="36"/>
  <c r="D53" i="36"/>
  <c r="J52" i="36"/>
  <c r="I52" i="36"/>
  <c r="H52" i="36"/>
  <c r="F52" i="36"/>
  <c r="D52" i="36"/>
  <c r="J51" i="36"/>
  <c r="I51" i="36"/>
  <c r="H51" i="36"/>
  <c r="F51" i="36"/>
  <c r="D51" i="36"/>
  <c r="J50" i="36"/>
  <c r="I50" i="36"/>
  <c r="H50" i="36"/>
  <c r="F50" i="36"/>
  <c r="D50" i="36"/>
  <c r="J49" i="36"/>
  <c r="I49" i="36"/>
  <c r="H49" i="36"/>
  <c r="F49" i="36"/>
  <c r="D49" i="36"/>
  <c r="J48" i="36"/>
  <c r="I48" i="36"/>
  <c r="H48" i="36"/>
  <c r="F48" i="36"/>
  <c r="D48" i="36"/>
  <c r="J47" i="36"/>
  <c r="I47" i="36"/>
  <c r="H47" i="36"/>
  <c r="F47" i="36"/>
  <c r="D47" i="36"/>
  <c r="J46" i="36"/>
  <c r="I46" i="36"/>
  <c r="H46" i="36"/>
  <c r="F46" i="36"/>
  <c r="D46" i="36"/>
  <c r="J45" i="36"/>
  <c r="I45" i="36"/>
  <c r="H45" i="36"/>
  <c r="F45" i="36"/>
  <c r="D45" i="36"/>
  <c r="J44" i="36"/>
  <c r="I44" i="36"/>
  <c r="H44" i="36"/>
  <c r="F44" i="36"/>
  <c r="D44" i="36"/>
  <c r="G43" i="36"/>
  <c r="E43" i="36"/>
  <c r="F43" i="36" s="1"/>
  <c r="C43" i="36"/>
  <c r="D43" i="36" s="1"/>
  <c r="J40" i="36"/>
  <c r="I40" i="36"/>
  <c r="H40" i="36"/>
  <c r="F40" i="36"/>
  <c r="D40" i="36"/>
  <c r="J39" i="36"/>
  <c r="I39" i="36"/>
  <c r="H39" i="36"/>
  <c r="F39" i="36"/>
  <c r="D39" i="36"/>
  <c r="J38" i="36"/>
  <c r="I38" i="36"/>
  <c r="H38" i="36"/>
  <c r="F38" i="36"/>
  <c r="D38" i="36"/>
  <c r="J37" i="36"/>
  <c r="I37" i="36"/>
  <c r="H37" i="36"/>
  <c r="F37" i="36"/>
  <c r="D37" i="36"/>
  <c r="J36" i="36"/>
  <c r="I36" i="36"/>
  <c r="H36" i="36"/>
  <c r="F36" i="36"/>
  <c r="D36" i="36"/>
  <c r="J35" i="36"/>
  <c r="I35" i="36"/>
  <c r="H35" i="36"/>
  <c r="F35" i="36"/>
  <c r="D35" i="36"/>
  <c r="G34" i="36"/>
  <c r="H34" i="36" s="1"/>
  <c r="E34" i="36"/>
  <c r="F34" i="36" s="1"/>
  <c r="C34" i="36"/>
  <c r="D34" i="36" s="1"/>
  <c r="J33" i="36"/>
  <c r="I33" i="36"/>
  <c r="H33" i="36"/>
  <c r="F33" i="36"/>
  <c r="D33" i="36"/>
  <c r="J32" i="36"/>
  <c r="I32" i="36"/>
  <c r="H32" i="36"/>
  <c r="F32" i="36"/>
  <c r="D32" i="36"/>
  <c r="J31" i="36"/>
  <c r="I31" i="36"/>
  <c r="H31" i="36"/>
  <c r="F31" i="36"/>
  <c r="D31" i="36"/>
  <c r="J30" i="36"/>
  <c r="I30" i="36"/>
  <c r="H30" i="36"/>
  <c r="F30" i="36"/>
  <c r="D30" i="36"/>
  <c r="J29" i="36"/>
  <c r="I29" i="36"/>
  <c r="H29" i="36"/>
  <c r="F29" i="36"/>
  <c r="D29" i="36"/>
  <c r="J28" i="36"/>
  <c r="I28" i="36"/>
  <c r="H28" i="36"/>
  <c r="F28" i="36"/>
  <c r="D28" i="36"/>
  <c r="G27" i="36"/>
  <c r="E27" i="36"/>
  <c r="F27" i="36"/>
  <c r="C27" i="36"/>
  <c r="D27" i="36" s="1"/>
  <c r="J26" i="36"/>
  <c r="I26" i="36"/>
  <c r="H26" i="36"/>
  <c r="F26" i="36"/>
  <c r="D26" i="36"/>
  <c r="J25" i="36"/>
  <c r="I25" i="36"/>
  <c r="H25" i="36"/>
  <c r="F25" i="36"/>
  <c r="D25" i="36"/>
  <c r="J24" i="36"/>
  <c r="I24" i="36"/>
  <c r="H24" i="36"/>
  <c r="F24" i="36"/>
  <c r="D24" i="36"/>
  <c r="J23" i="36"/>
  <c r="I23" i="36"/>
  <c r="H23" i="36"/>
  <c r="F23" i="36"/>
  <c r="D23" i="36"/>
  <c r="G22" i="36"/>
  <c r="H22" i="36" s="1"/>
  <c r="E22" i="36"/>
  <c r="F22" i="36" s="1"/>
  <c r="C22" i="36"/>
  <c r="D22" i="36" s="1"/>
  <c r="J21" i="36"/>
  <c r="I21" i="36"/>
  <c r="H21" i="36"/>
  <c r="F21" i="36"/>
  <c r="D21" i="36"/>
  <c r="J20" i="36"/>
  <c r="I20" i="36"/>
  <c r="H20" i="36"/>
  <c r="F20" i="36"/>
  <c r="D20" i="36"/>
  <c r="J19" i="36"/>
  <c r="I19" i="36"/>
  <c r="H19" i="36"/>
  <c r="F19" i="36"/>
  <c r="D19" i="36"/>
  <c r="L18" i="36"/>
  <c r="J18" i="36"/>
  <c r="I18" i="36"/>
  <c r="H18" i="36"/>
  <c r="F18" i="36"/>
  <c r="D18" i="36"/>
  <c r="G17" i="36"/>
  <c r="E17" i="36"/>
  <c r="F17" i="36" s="1"/>
  <c r="C17" i="36"/>
  <c r="D17" i="36" s="1"/>
  <c r="J16" i="36"/>
  <c r="I16" i="36"/>
  <c r="H16" i="36"/>
  <c r="F16" i="36"/>
  <c r="D16" i="36"/>
  <c r="J15" i="36"/>
  <c r="I15" i="36"/>
  <c r="H15" i="36"/>
  <c r="F15" i="36"/>
  <c r="D15" i="36"/>
  <c r="J14" i="36"/>
  <c r="I14" i="36"/>
  <c r="H14" i="36"/>
  <c r="F14" i="36"/>
  <c r="D14" i="36"/>
  <c r="M13" i="36"/>
  <c r="L13" i="36"/>
  <c r="J13" i="36"/>
  <c r="I13" i="36"/>
  <c r="H13" i="36"/>
  <c r="F13" i="36"/>
  <c r="D13" i="36"/>
  <c r="J12" i="36"/>
  <c r="I12" i="36"/>
  <c r="H12" i="36"/>
  <c r="F12" i="36"/>
  <c r="D12" i="36"/>
  <c r="J11" i="36"/>
  <c r="I11" i="36"/>
  <c r="H11" i="36"/>
  <c r="F11" i="36"/>
  <c r="D11" i="36"/>
  <c r="J10" i="36"/>
  <c r="I10" i="36"/>
  <c r="H10" i="36"/>
  <c r="F10" i="36"/>
  <c r="D10" i="36"/>
  <c r="G9" i="36"/>
  <c r="E9" i="36"/>
  <c r="F9" i="36" s="1"/>
  <c r="C9" i="36"/>
  <c r="C8" i="36" s="1"/>
  <c r="G8" i="36"/>
  <c r="D7" i="36"/>
  <c r="C7" i="36"/>
  <c r="P7" i="31"/>
  <c r="P6" i="31"/>
  <c r="P5" i="31"/>
  <c r="E22" i="30"/>
  <c r="E21" i="30"/>
  <c r="E20" i="30"/>
  <c r="E19" i="30"/>
  <c r="E18" i="30"/>
  <c r="G18" i="30" s="1"/>
  <c r="E15" i="30"/>
  <c r="E14" i="30"/>
  <c r="E13" i="30"/>
  <c r="E11" i="30"/>
  <c r="E9" i="30"/>
  <c r="E7" i="30"/>
  <c r="G7" i="30" s="1"/>
  <c r="E8" i="30"/>
  <c r="D58" i="29"/>
  <c r="D57" i="29"/>
  <c r="D53" i="29"/>
  <c r="D52" i="29" s="1"/>
  <c r="D45" i="29"/>
  <c r="D44" i="29" s="1"/>
  <c r="D37" i="29"/>
  <c r="D36" i="29" s="1"/>
  <c r="D35" i="29"/>
  <c r="D34" i="29"/>
  <c r="D33" i="29"/>
  <c r="D32" i="29"/>
  <c r="D31" i="29" s="1"/>
  <c r="D30" i="29"/>
  <c r="D29" i="29"/>
  <c r="D28" i="29"/>
  <c r="D27" i="29"/>
  <c r="D26" i="29"/>
  <c r="D25" i="29"/>
  <c r="D24" i="29" s="1"/>
  <c r="D23" i="29"/>
  <c r="D22" i="29"/>
  <c r="D21" i="29"/>
  <c r="D20" i="29"/>
  <c r="D19" i="29"/>
  <c r="D18" i="29"/>
  <c r="D17" i="29"/>
  <c r="D16" i="29"/>
  <c r="D15" i="29"/>
  <c r="D14" i="29" s="1"/>
  <c r="D13" i="29"/>
  <c r="D12" i="29"/>
  <c r="D11" i="29"/>
  <c r="D10" i="29"/>
  <c r="D9" i="29"/>
  <c r="D8" i="29"/>
  <c r="D7" i="29"/>
  <c r="D6" i="29" s="1"/>
  <c r="F4" i="29"/>
  <c r="C76" i="33"/>
  <c r="J74" i="33"/>
  <c r="F74" i="33"/>
  <c r="D74" i="33"/>
  <c r="J73" i="33"/>
  <c r="F73" i="33"/>
  <c r="D73" i="33"/>
  <c r="J72" i="33"/>
  <c r="F72" i="33"/>
  <c r="D72" i="33"/>
  <c r="J69" i="33"/>
  <c r="F69" i="33"/>
  <c r="D69" i="33"/>
  <c r="J68" i="33"/>
  <c r="F68" i="33"/>
  <c r="D68" i="33"/>
  <c r="J67" i="33"/>
  <c r="F67" i="33"/>
  <c r="D67" i="33"/>
  <c r="J63" i="33"/>
  <c r="F63" i="33"/>
  <c r="D63" i="33"/>
  <c r="J62" i="33"/>
  <c r="F62" i="33"/>
  <c r="D62" i="33"/>
  <c r="J61" i="33"/>
  <c r="F61" i="33"/>
  <c r="D61" i="33"/>
  <c r="J60" i="33"/>
  <c r="F60" i="33"/>
  <c r="D60" i="33"/>
  <c r="J59" i="33"/>
  <c r="F59" i="33"/>
  <c r="D59" i="33"/>
  <c r="J58" i="33"/>
  <c r="F58" i="33"/>
  <c r="D58" i="33"/>
  <c r="J57" i="33"/>
  <c r="F57" i="33"/>
  <c r="D57" i="33"/>
  <c r="J54" i="33"/>
  <c r="F54" i="33"/>
  <c r="D54" i="33"/>
  <c r="J53" i="33"/>
  <c r="F53" i="33"/>
  <c r="D53" i="33"/>
  <c r="J52" i="33"/>
  <c r="F52" i="33"/>
  <c r="D52" i="33"/>
  <c r="J51" i="33"/>
  <c r="F51" i="33"/>
  <c r="D51" i="33"/>
  <c r="J50" i="33"/>
  <c r="F50" i="33"/>
  <c r="D50" i="33"/>
  <c r="J48" i="10"/>
  <c r="F48" i="10"/>
  <c r="J48" i="33"/>
  <c r="F48" i="33"/>
  <c r="D48" i="33"/>
  <c r="J47" i="33"/>
  <c r="F47" i="33"/>
  <c r="D47" i="33"/>
  <c r="J46" i="33"/>
  <c r="F46" i="33"/>
  <c r="D46" i="33"/>
  <c r="J45" i="33"/>
  <c r="F45" i="33"/>
  <c r="D45" i="33"/>
  <c r="J44" i="33"/>
  <c r="F44" i="33"/>
  <c r="D44" i="33"/>
  <c r="J43" i="33"/>
  <c r="F43" i="33"/>
  <c r="D43" i="33"/>
  <c r="J42" i="33"/>
  <c r="F42" i="33"/>
  <c r="D42" i="33"/>
  <c r="J41" i="33"/>
  <c r="F41" i="33"/>
  <c r="D41" i="33"/>
  <c r="J40" i="33"/>
  <c r="F40" i="33"/>
  <c r="D40" i="33"/>
  <c r="J39" i="33"/>
  <c r="F39" i="33"/>
  <c r="D39" i="33"/>
  <c r="J35" i="33"/>
  <c r="F35" i="33"/>
  <c r="D35" i="33"/>
  <c r="J34" i="33"/>
  <c r="F34" i="33"/>
  <c r="D34" i="33"/>
  <c r="C34" i="33"/>
  <c r="J33" i="33"/>
  <c r="C33" i="33"/>
  <c r="J32" i="33"/>
  <c r="F32" i="33"/>
  <c r="C32" i="33"/>
  <c r="C31" i="33"/>
  <c r="J30" i="33"/>
  <c r="F30" i="33"/>
  <c r="D30" i="33"/>
  <c r="C30" i="33"/>
  <c r="J29" i="33"/>
  <c r="F29" i="33"/>
  <c r="D29" i="33"/>
  <c r="C29" i="33"/>
  <c r="J28" i="33"/>
  <c r="F28" i="33"/>
  <c r="D28" i="33"/>
  <c r="C28" i="33"/>
  <c r="J27" i="33"/>
  <c r="F27" i="33"/>
  <c r="D27" i="33"/>
  <c r="C27" i="33"/>
  <c r="C26" i="33"/>
  <c r="J25" i="33"/>
  <c r="F25" i="33"/>
  <c r="D25" i="33"/>
  <c r="C25" i="33"/>
  <c r="J24" i="33"/>
  <c r="F24" i="33"/>
  <c r="D24" i="33"/>
  <c r="J23" i="33"/>
  <c r="F23" i="33"/>
  <c r="D23" i="33"/>
  <c r="C23" i="33"/>
  <c r="J22" i="33"/>
  <c r="F22" i="33"/>
  <c r="D22" i="33"/>
  <c r="C22" i="33"/>
  <c r="J21" i="33"/>
  <c r="F21" i="33"/>
  <c r="D21" i="33"/>
  <c r="C21" i="33"/>
  <c r="J20" i="33"/>
  <c r="F20" i="33"/>
  <c r="D20" i="33"/>
  <c r="C20" i="33"/>
  <c r="J19" i="33"/>
  <c r="F19" i="33"/>
  <c r="D19" i="33"/>
  <c r="C19" i="33"/>
  <c r="J18" i="33"/>
  <c r="F18" i="33"/>
  <c r="D18" i="33"/>
  <c r="C18" i="33"/>
  <c r="C17" i="33"/>
  <c r="C16" i="33"/>
  <c r="L15" i="33"/>
  <c r="K15" i="33"/>
  <c r="J15" i="33"/>
  <c r="H15" i="33"/>
  <c r="G15" i="33"/>
  <c r="F15" i="33"/>
  <c r="E15" i="33"/>
  <c r="D15" i="33"/>
  <c r="C15" i="33"/>
  <c r="H14" i="33"/>
  <c r="L14" i="33" s="1"/>
  <c r="J11" i="33"/>
  <c r="D11" i="33"/>
  <c r="C11" i="33"/>
  <c r="C76" i="32"/>
  <c r="M75" i="32"/>
  <c r="L75" i="32"/>
  <c r="H75" i="32"/>
  <c r="C74" i="32"/>
  <c r="M73" i="32"/>
  <c r="L73" i="32"/>
  <c r="I73" i="32"/>
  <c r="H73" i="32"/>
  <c r="C73" i="32"/>
  <c r="M72" i="32"/>
  <c r="L72" i="32"/>
  <c r="H72" i="32"/>
  <c r="C72" i="32"/>
  <c r="M71" i="32"/>
  <c r="L71" i="32"/>
  <c r="I71" i="32"/>
  <c r="H71" i="32"/>
  <c r="C71" i="32"/>
  <c r="C70" i="32"/>
  <c r="C69" i="32"/>
  <c r="M68" i="32"/>
  <c r="L68" i="32"/>
  <c r="I68" i="32"/>
  <c r="H68" i="32"/>
  <c r="C68" i="32"/>
  <c r="M67" i="32"/>
  <c r="L67" i="32"/>
  <c r="I67" i="32"/>
  <c r="H67" i="32"/>
  <c r="C67" i="32"/>
  <c r="M66" i="32"/>
  <c r="L66" i="32"/>
  <c r="I66" i="32"/>
  <c r="H66" i="32"/>
  <c r="C66" i="32"/>
  <c r="J65" i="32"/>
  <c r="D65" i="32"/>
  <c r="H65" i="32" s="1"/>
  <c r="C65" i="32"/>
  <c r="C64" i="32"/>
  <c r="C63" i="32"/>
  <c r="L62" i="32"/>
  <c r="H62" i="32"/>
  <c r="M61" i="32"/>
  <c r="L61" i="32"/>
  <c r="H61" i="32"/>
  <c r="M60" i="32"/>
  <c r="L60" i="32"/>
  <c r="I60" i="32"/>
  <c r="H60" i="32"/>
  <c r="C60" i="32"/>
  <c r="M59" i="32"/>
  <c r="L59" i="32"/>
  <c r="I59" i="32"/>
  <c r="H59" i="32"/>
  <c r="C59" i="32"/>
  <c r="M58" i="32"/>
  <c r="L58" i="32"/>
  <c r="I58" i="32"/>
  <c r="H58" i="32"/>
  <c r="C58" i="32"/>
  <c r="M57" i="32"/>
  <c r="L57" i="32"/>
  <c r="I57" i="32"/>
  <c r="H57" i="32"/>
  <c r="M56" i="32"/>
  <c r="L56" i="32"/>
  <c r="I56" i="32"/>
  <c r="H56" i="32"/>
  <c r="D55" i="32"/>
  <c r="H55" i="32" s="1"/>
  <c r="C55" i="32"/>
  <c r="M54" i="32"/>
  <c r="L54" i="32"/>
  <c r="I54" i="32"/>
  <c r="H54" i="32"/>
  <c r="M53" i="32"/>
  <c r="L53" i="32"/>
  <c r="I53" i="32"/>
  <c r="H53" i="32"/>
  <c r="D52" i="32"/>
  <c r="C52" i="32"/>
  <c r="M51" i="32"/>
  <c r="L51" i="32"/>
  <c r="I51" i="32"/>
  <c r="H51" i="32"/>
  <c r="C51" i="32"/>
  <c r="M50" i="32"/>
  <c r="L50" i="32"/>
  <c r="I50" i="32"/>
  <c r="H50" i="32"/>
  <c r="C50" i="32"/>
  <c r="M49" i="32"/>
  <c r="L49" i="32"/>
  <c r="I49" i="32"/>
  <c r="H49" i="32"/>
  <c r="C49" i="32"/>
  <c r="M48" i="32"/>
  <c r="L48" i="32"/>
  <c r="I48" i="32"/>
  <c r="H48" i="32"/>
  <c r="C48" i="32"/>
  <c r="M47" i="32"/>
  <c r="L47" i="32"/>
  <c r="I47" i="32"/>
  <c r="H47" i="32"/>
  <c r="C47" i="32"/>
  <c r="M46" i="32"/>
  <c r="L46" i="32"/>
  <c r="H46" i="32"/>
  <c r="C46" i="32"/>
  <c r="M45" i="32"/>
  <c r="L45" i="32"/>
  <c r="I45" i="32"/>
  <c r="H45" i="32"/>
  <c r="C45" i="32"/>
  <c r="M44" i="32"/>
  <c r="L44" i="32"/>
  <c r="I44" i="32"/>
  <c r="H44" i="32"/>
  <c r="C44" i="32"/>
  <c r="M43" i="32"/>
  <c r="L43" i="32"/>
  <c r="I43" i="32"/>
  <c r="H43" i="32"/>
  <c r="C43" i="32"/>
  <c r="D42" i="32"/>
  <c r="L42" i="32" s="1"/>
  <c r="C42" i="32"/>
  <c r="C41" i="32"/>
  <c r="C40" i="32"/>
  <c r="M39" i="32"/>
  <c r="L39" i="32"/>
  <c r="I39" i="32"/>
  <c r="H39" i="32"/>
  <c r="M38" i="32"/>
  <c r="L38" i="32"/>
  <c r="H38" i="32"/>
  <c r="C38" i="32"/>
  <c r="M37" i="32"/>
  <c r="L37" i="32"/>
  <c r="I37" i="32"/>
  <c r="H37" i="32"/>
  <c r="C37" i="32"/>
  <c r="M36" i="32"/>
  <c r="L36" i="32"/>
  <c r="I36" i="32"/>
  <c r="H36" i="32"/>
  <c r="C36" i="32"/>
  <c r="M35" i="32"/>
  <c r="L35" i="32"/>
  <c r="I35" i="32"/>
  <c r="H35" i="32"/>
  <c r="C35" i="32"/>
  <c r="M34" i="32"/>
  <c r="L34" i="32"/>
  <c r="I34" i="32"/>
  <c r="H34" i="32"/>
  <c r="C34" i="32"/>
  <c r="C33" i="32"/>
  <c r="M32" i="32"/>
  <c r="L32" i="32"/>
  <c r="I32" i="32"/>
  <c r="H32" i="32"/>
  <c r="C32" i="32"/>
  <c r="M31" i="32"/>
  <c r="L31" i="32"/>
  <c r="H31" i="32"/>
  <c r="M30" i="32"/>
  <c r="L30" i="32"/>
  <c r="I30" i="32"/>
  <c r="H30" i="32"/>
  <c r="M29" i="32"/>
  <c r="L29" i="32"/>
  <c r="I29" i="32"/>
  <c r="H29" i="32"/>
  <c r="C29" i="32"/>
  <c r="M28" i="32"/>
  <c r="L28" i="32"/>
  <c r="I28" i="32"/>
  <c r="H28" i="32"/>
  <c r="C28" i="32"/>
  <c r="D27" i="32"/>
  <c r="D32" i="33" s="1"/>
  <c r="C27" i="32"/>
  <c r="M26" i="32"/>
  <c r="L26" i="32"/>
  <c r="I26" i="32"/>
  <c r="H26" i="32"/>
  <c r="M25" i="32"/>
  <c r="L25" i="32"/>
  <c r="I25" i="32"/>
  <c r="H25" i="32"/>
  <c r="M24" i="32"/>
  <c r="L24" i="32"/>
  <c r="I24" i="32"/>
  <c r="H24" i="32"/>
  <c r="M23" i="32"/>
  <c r="L23" i="32"/>
  <c r="I23" i="32"/>
  <c r="H23" i="32"/>
  <c r="C23" i="32"/>
  <c r="M22" i="32"/>
  <c r="L22" i="32"/>
  <c r="I22" i="32"/>
  <c r="H22" i="32"/>
  <c r="C22" i="32"/>
  <c r="D21" i="32"/>
  <c r="M21" i="32" s="1"/>
  <c r="C21" i="32"/>
  <c r="M20" i="32"/>
  <c r="L20" i="32"/>
  <c r="I20" i="32"/>
  <c r="H20" i="32"/>
  <c r="M19" i="32"/>
  <c r="L19" i="32"/>
  <c r="I19" i="32"/>
  <c r="H19" i="32"/>
  <c r="C19" i="32"/>
  <c r="M18" i="32"/>
  <c r="L18" i="32"/>
  <c r="I18" i="32"/>
  <c r="H18" i="32"/>
  <c r="C18" i="32"/>
  <c r="D17" i="32"/>
  <c r="C17" i="32"/>
  <c r="C16" i="32"/>
  <c r="L15" i="32"/>
  <c r="K15" i="32"/>
  <c r="J15" i="32"/>
  <c r="H15" i="32"/>
  <c r="G15" i="32"/>
  <c r="F15" i="32"/>
  <c r="E15" i="32"/>
  <c r="D15" i="32"/>
  <c r="C15" i="32"/>
  <c r="H14" i="32"/>
  <c r="L14" i="32" s="1"/>
  <c r="K11" i="32"/>
  <c r="J11" i="32"/>
  <c r="K71" i="32" s="1"/>
  <c r="D11" i="32"/>
  <c r="G55" i="32" s="1"/>
  <c r="C73" i="10"/>
  <c r="D17" i="10"/>
  <c r="J17" i="10"/>
  <c r="K17" i="10"/>
  <c r="J25" i="10"/>
  <c r="K25" i="10" s="1"/>
  <c r="F37" i="10"/>
  <c r="F63" i="10"/>
  <c r="G63" i="10" s="1"/>
  <c r="L71" i="10"/>
  <c r="K71" i="10"/>
  <c r="I71" i="10"/>
  <c r="G71" i="10"/>
  <c r="E71" i="10"/>
  <c r="L70" i="10"/>
  <c r="K70" i="10"/>
  <c r="I70" i="10"/>
  <c r="G70" i="10"/>
  <c r="E70" i="10"/>
  <c r="L69" i="10"/>
  <c r="K69" i="10"/>
  <c r="I69" i="10"/>
  <c r="G69" i="10"/>
  <c r="E69" i="10"/>
  <c r="G66" i="10"/>
  <c r="E66" i="10"/>
  <c r="L65" i="10"/>
  <c r="K65" i="10"/>
  <c r="I65" i="10"/>
  <c r="H65" i="10"/>
  <c r="M65" i="10" s="1"/>
  <c r="G65" i="10"/>
  <c r="E65" i="10"/>
  <c r="L64" i="10"/>
  <c r="K64" i="10"/>
  <c r="I64" i="10"/>
  <c r="H64" i="10"/>
  <c r="M64" i="10" s="1"/>
  <c r="G64" i="10"/>
  <c r="E64" i="10"/>
  <c r="K63" i="10"/>
  <c r="D63" i="10"/>
  <c r="L60" i="10"/>
  <c r="K60" i="10"/>
  <c r="I60" i="10"/>
  <c r="H60" i="10"/>
  <c r="M60" i="10" s="1"/>
  <c r="G60" i="10"/>
  <c r="E60" i="10"/>
  <c r="L59" i="10"/>
  <c r="K59" i="10"/>
  <c r="I59" i="10"/>
  <c r="H59" i="10"/>
  <c r="M59" i="10" s="1"/>
  <c r="G59" i="10"/>
  <c r="E59" i="10"/>
  <c r="L58" i="10"/>
  <c r="K58" i="10"/>
  <c r="I58" i="10"/>
  <c r="H58" i="10"/>
  <c r="G58" i="10"/>
  <c r="E58" i="10"/>
  <c r="L57" i="10"/>
  <c r="K57" i="10"/>
  <c r="I57" i="10"/>
  <c r="H57" i="10"/>
  <c r="G57" i="10"/>
  <c r="E57" i="10"/>
  <c r="L56" i="10"/>
  <c r="K56" i="10"/>
  <c r="I56" i="10"/>
  <c r="H56" i="10"/>
  <c r="G56" i="10"/>
  <c r="E56" i="10"/>
  <c r="K55" i="10"/>
  <c r="I55" i="10"/>
  <c r="H55" i="10"/>
  <c r="G55" i="10"/>
  <c r="E55" i="10"/>
  <c r="L54" i="10"/>
  <c r="K54" i="10"/>
  <c r="I54" i="10"/>
  <c r="H54" i="10"/>
  <c r="G54" i="10"/>
  <c r="E54" i="10"/>
  <c r="L53" i="10"/>
  <c r="K53" i="10"/>
  <c r="I53" i="10"/>
  <c r="H53" i="10"/>
  <c r="G53" i="10"/>
  <c r="E53" i="10"/>
  <c r="L52" i="10"/>
  <c r="K52" i="10"/>
  <c r="I52" i="10"/>
  <c r="H52" i="10"/>
  <c r="G52" i="10"/>
  <c r="E52" i="10"/>
  <c r="L51" i="10"/>
  <c r="K51" i="10"/>
  <c r="I51" i="10"/>
  <c r="H51" i="10"/>
  <c r="G51" i="10"/>
  <c r="E51" i="10"/>
  <c r="L50" i="10"/>
  <c r="K50" i="10"/>
  <c r="I50" i="10"/>
  <c r="H50" i="10"/>
  <c r="G50" i="10"/>
  <c r="E50" i="10"/>
  <c r="L49" i="10"/>
  <c r="K49" i="10"/>
  <c r="I49" i="10"/>
  <c r="H49" i="10"/>
  <c r="G49" i="10"/>
  <c r="E49" i="10"/>
  <c r="K48" i="10"/>
  <c r="G48" i="10"/>
  <c r="D48" i="10"/>
  <c r="H48" i="10" s="1"/>
  <c r="L47" i="10"/>
  <c r="K47" i="10"/>
  <c r="I47" i="10"/>
  <c r="H47" i="10"/>
  <c r="G47" i="10"/>
  <c r="E47" i="10"/>
  <c r="L46" i="10"/>
  <c r="K46" i="10"/>
  <c r="I46" i="10"/>
  <c r="H46" i="10"/>
  <c r="G46" i="10"/>
  <c r="E46" i="10"/>
  <c r="L45" i="10"/>
  <c r="K45" i="10"/>
  <c r="I45" i="10"/>
  <c r="H45" i="10"/>
  <c r="G45" i="10"/>
  <c r="E45" i="10"/>
  <c r="L44" i="10"/>
  <c r="K44" i="10"/>
  <c r="I44" i="10"/>
  <c r="H44" i="10"/>
  <c r="G44" i="10"/>
  <c r="E44" i="10"/>
  <c r="L43" i="10"/>
  <c r="K43" i="10"/>
  <c r="I43" i="10"/>
  <c r="H43" i="10"/>
  <c r="G43" i="10"/>
  <c r="E43" i="10"/>
  <c r="L42" i="10"/>
  <c r="K42" i="10"/>
  <c r="I42" i="10"/>
  <c r="H42" i="10"/>
  <c r="G42" i="10"/>
  <c r="E42" i="10"/>
  <c r="L41" i="10"/>
  <c r="K41" i="10"/>
  <c r="I41" i="10"/>
  <c r="H41" i="10"/>
  <c r="G41" i="10"/>
  <c r="E41" i="10"/>
  <c r="L40" i="10"/>
  <c r="K40" i="10"/>
  <c r="I40" i="10"/>
  <c r="H40" i="10"/>
  <c r="G40" i="10"/>
  <c r="E40" i="10"/>
  <c r="L39" i="10"/>
  <c r="K39" i="10"/>
  <c r="I39" i="10"/>
  <c r="H39" i="10"/>
  <c r="G39" i="10"/>
  <c r="E39" i="10"/>
  <c r="L38" i="10"/>
  <c r="K38" i="10"/>
  <c r="I38" i="10"/>
  <c r="H38" i="10"/>
  <c r="G38" i="10"/>
  <c r="E38" i="10"/>
  <c r="K37" i="10"/>
  <c r="D37" i="10"/>
  <c r="L34" i="10"/>
  <c r="K34" i="10"/>
  <c r="I34" i="10"/>
  <c r="H34" i="10"/>
  <c r="G34" i="10"/>
  <c r="E34" i="10"/>
  <c r="L33" i="10"/>
  <c r="K33" i="10"/>
  <c r="I33" i="10"/>
  <c r="H33" i="10"/>
  <c r="G33" i="10"/>
  <c r="E33" i="10"/>
  <c r="C33" i="10"/>
  <c r="L32" i="10"/>
  <c r="K32" i="10"/>
  <c r="I32" i="10"/>
  <c r="H32" i="10"/>
  <c r="G32" i="10"/>
  <c r="E32" i="10"/>
  <c r="C32" i="10"/>
  <c r="L31" i="10"/>
  <c r="K31" i="10"/>
  <c r="I31" i="10"/>
  <c r="H31" i="10"/>
  <c r="G31" i="10"/>
  <c r="E31" i="10"/>
  <c r="C31" i="10"/>
  <c r="L30" i="10"/>
  <c r="K30" i="10"/>
  <c r="I30" i="10"/>
  <c r="H30" i="10"/>
  <c r="G30" i="10"/>
  <c r="E30" i="10"/>
  <c r="C30" i="10"/>
  <c r="L29" i="10"/>
  <c r="K29" i="10"/>
  <c r="I29" i="10"/>
  <c r="H29" i="10"/>
  <c r="G29" i="10"/>
  <c r="E29" i="10"/>
  <c r="C29" i="10"/>
  <c r="L28" i="10"/>
  <c r="K28" i="10"/>
  <c r="I28" i="10"/>
  <c r="H28" i="10"/>
  <c r="G28" i="10"/>
  <c r="E28" i="10"/>
  <c r="C28" i="10"/>
  <c r="L27" i="10"/>
  <c r="K27" i="10"/>
  <c r="I27" i="10"/>
  <c r="H27" i="10"/>
  <c r="G27" i="10"/>
  <c r="E27" i="10"/>
  <c r="C27" i="10"/>
  <c r="L26" i="10"/>
  <c r="K26" i="10"/>
  <c r="I26" i="10"/>
  <c r="H26" i="10"/>
  <c r="G26" i="10"/>
  <c r="E26" i="10"/>
  <c r="C26" i="10"/>
  <c r="C25" i="10"/>
  <c r="L24" i="10"/>
  <c r="K24" i="10"/>
  <c r="I24" i="10"/>
  <c r="H24" i="10"/>
  <c r="G24" i="10"/>
  <c r="E24" i="10"/>
  <c r="C24" i="10"/>
  <c r="L23" i="10"/>
  <c r="K23" i="10"/>
  <c r="I23" i="10"/>
  <c r="H23" i="10"/>
  <c r="G23" i="10"/>
  <c r="E23" i="10"/>
  <c r="C23" i="10"/>
  <c r="Q22" i="10"/>
  <c r="P22" i="10"/>
  <c r="L22" i="10"/>
  <c r="K22" i="10"/>
  <c r="I22" i="10"/>
  <c r="H22" i="10"/>
  <c r="G22" i="10"/>
  <c r="C22" i="10"/>
  <c r="Q21" i="10"/>
  <c r="P21" i="10"/>
  <c r="L21" i="10"/>
  <c r="K21" i="10"/>
  <c r="I21" i="10"/>
  <c r="H21" i="10"/>
  <c r="G21" i="10"/>
  <c r="E21" i="10"/>
  <c r="C21" i="10"/>
  <c r="R20" i="10"/>
  <c r="Q20" i="10"/>
  <c r="P20" i="10"/>
  <c r="L20" i="10"/>
  <c r="K20" i="10"/>
  <c r="I20" i="10"/>
  <c r="H20" i="10"/>
  <c r="G20" i="10"/>
  <c r="E20" i="10"/>
  <c r="C20" i="10"/>
  <c r="L19" i="10"/>
  <c r="K19" i="10"/>
  <c r="I19" i="10"/>
  <c r="H19" i="10"/>
  <c r="G19" i="10"/>
  <c r="E19" i="10"/>
  <c r="C19" i="10"/>
  <c r="L18" i="10"/>
  <c r="K18" i="10"/>
  <c r="I18" i="10"/>
  <c r="H18" i="10"/>
  <c r="G18" i="10"/>
  <c r="E18" i="10"/>
  <c r="C18" i="10"/>
  <c r="I17" i="10"/>
  <c r="C17" i="10"/>
  <c r="C16" i="10"/>
  <c r="E15" i="10"/>
  <c r="D15" i="10"/>
  <c r="C15" i="10"/>
  <c r="L14" i="10"/>
  <c r="C14" i="10"/>
  <c r="C11" i="10"/>
  <c r="C11" i="32" s="1"/>
  <c r="J9" i="10"/>
  <c r="J8" i="10"/>
  <c r="I25" i="10"/>
  <c r="F16" i="10"/>
  <c r="G16" i="10" s="1"/>
  <c r="G17" i="10"/>
  <c r="E25" i="10"/>
  <c r="I27" i="36"/>
  <c r="J27" i="36"/>
  <c r="I43" i="36"/>
  <c r="J43" i="36"/>
  <c r="I22" i="36"/>
  <c r="J22" i="36"/>
  <c r="H27" i="36"/>
  <c r="I34" i="36"/>
  <c r="J34" i="36"/>
  <c r="H43" i="36"/>
  <c r="I54" i="36"/>
  <c r="J54" i="36"/>
  <c r="I70" i="36"/>
  <c r="J70" i="36"/>
  <c r="G37" i="10"/>
  <c r="L33" i="32"/>
  <c r="M48" i="10"/>
  <c r="E48" i="10"/>
  <c r="L48" i="10"/>
  <c r="G75" i="32"/>
  <c r="G53" i="32"/>
  <c r="G35" i="32"/>
  <c r="E68" i="32"/>
  <c r="G62" i="32"/>
  <c r="G46" i="32"/>
  <c r="G28" i="32"/>
  <c r="E67" i="32"/>
  <c r="E45" i="32"/>
  <c r="E23" i="32"/>
  <c r="E28" i="32"/>
  <c r="E30" i="32"/>
  <c r="D8" i="36"/>
  <c r="L16" i="36"/>
  <c r="H8" i="36"/>
  <c r="J9" i="36"/>
  <c r="H9" i="36"/>
  <c r="I17" i="36"/>
  <c r="D60" i="36"/>
  <c r="C41" i="36"/>
  <c r="C68" i="36" s="1"/>
  <c r="J60" i="36"/>
  <c r="H60" i="36"/>
  <c r="G41" i="36"/>
  <c r="G68" i="36" s="1"/>
  <c r="H68" i="36" s="1"/>
  <c r="H79" i="36"/>
  <c r="G75" i="36"/>
  <c r="H75" i="36" s="1"/>
  <c r="I37" i="10"/>
  <c r="K75" i="32"/>
  <c r="K61" i="32"/>
  <c r="K51" i="32"/>
  <c r="K49" i="32"/>
  <c r="K39" i="32"/>
  <c r="K25" i="32"/>
  <c r="K17" i="32"/>
  <c r="K72" i="32"/>
  <c r="K56" i="32"/>
  <c r="K48" i="32"/>
  <c r="K46" i="32"/>
  <c r="K34" i="32"/>
  <c r="K26" i="32"/>
  <c r="K22" i="32"/>
  <c r="E8" i="36"/>
  <c r="I9" i="36"/>
  <c r="J17" i="36"/>
  <c r="H17" i="36"/>
  <c r="F60" i="36"/>
  <c r="E41" i="36"/>
  <c r="E42" i="36" s="1"/>
  <c r="F42" i="36" s="1"/>
  <c r="I60" i="36"/>
  <c r="J35" i="10"/>
  <c r="J36" i="10" s="1"/>
  <c r="K36" i="10" s="1"/>
  <c r="F8" i="36"/>
  <c r="H41" i="36"/>
  <c r="I8" i="36"/>
  <c r="C42" i="36"/>
  <c r="D42" i="36" s="1"/>
  <c r="J8" i="36"/>
  <c r="D5" i="29" l="1"/>
  <c r="D4" i="29" s="1"/>
  <c r="G4" i="29" s="1"/>
  <c r="E5" i="30"/>
  <c r="D35" i="10"/>
  <c r="L17" i="10"/>
  <c r="F35" i="10"/>
  <c r="G35" i="10" s="1"/>
  <c r="E6" i="30"/>
  <c r="D56" i="29"/>
  <c r="D55" i="29" s="1"/>
  <c r="D9" i="36"/>
  <c r="F40" i="32"/>
  <c r="F41" i="32" s="1"/>
  <c r="F41" i="36"/>
  <c r="D49" i="33"/>
  <c r="E12" i="30"/>
  <c r="G12" i="30" s="1"/>
  <c r="M37" i="10"/>
  <c r="J49" i="33"/>
  <c r="G27" i="32"/>
  <c r="K27" i="32"/>
  <c r="K36" i="32"/>
  <c r="K60" i="32"/>
  <c r="K35" i="32"/>
  <c r="K59" i="32"/>
  <c r="E54" i="32"/>
  <c r="E56" i="32"/>
  <c r="E37" i="32"/>
  <c r="E57" i="32"/>
  <c r="G22" i="32"/>
  <c r="G38" i="32"/>
  <c r="G56" i="32"/>
  <c r="E60" i="32"/>
  <c r="G29" i="32"/>
  <c r="G47" i="32"/>
  <c r="G67" i="32"/>
  <c r="E50" i="32"/>
  <c r="E48" i="32"/>
  <c r="E35" i="32"/>
  <c r="E53" i="32"/>
  <c r="G20" i="32"/>
  <c r="G36" i="32"/>
  <c r="G54" i="32"/>
  <c r="E58" i="32"/>
  <c r="G19" i="32"/>
  <c r="G45" i="32"/>
  <c r="G61" i="32"/>
  <c r="E34" i="32"/>
  <c r="E32" i="32"/>
  <c r="E25" i="32"/>
  <c r="E47" i="32"/>
  <c r="E71" i="32"/>
  <c r="G30" i="32"/>
  <c r="G48" i="32"/>
  <c r="G66" i="32"/>
  <c r="E72" i="32"/>
  <c r="G37" i="32"/>
  <c r="I65" i="32"/>
  <c r="E65" i="32"/>
  <c r="L65" i="32"/>
  <c r="M65" i="32"/>
  <c r="M55" i="32"/>
  <c r="H52" i="32"/>
  <c r="E52" i="32"/>
  <c r="H42" i="32"/>
  <c r="D40" i="32"/>
  <c r="H40" i="32" s="1"/>
  <c r="H33" i="32"/>
  <c r="M33" i="32"/>
  <c r="E33" i="32"/>
  <c r="I33" i="32"/>
  <c r="H27" i="32"/>
  <c r="E27" i="32"/>
  <c r="D31" i="33"/>
  <c r="I31" i="33" s="1"/>
  <c r="L21" i="32"/>
  <c r="H21" i="32"/>
  <c r="M52" i="32"/>
  <c r="L52" i="32"/>
  <c r="J40" i="32"/>
  <c r="J41" i="32" s="1"/>
  <c r="K41" i="32" s="1"/>
  <c r="M27" i="32"/>
  <c r="M17" i="32"/>
  <c r="F49" i="33"/>
  <c r="H49" i="33" s="1"/>
  <c r="I52" i="32"/>
  <c r="G40" i="32"/>
  <c r="F33" i="33"/>
  <c r="H33" i="33" s="1"/>
  <c r="F16" i="32"/>
  <c r="F63" i="32" s="1"/>
  <c r="G21" i="32"/>
  <c r="I21" i="32"/>
  <c r="I17" i="32"/>
  <c r="H17" i="32"/>
  <c r="K20" i="32"/>
  <c r="K30" i="32"/>
  <c r="K44" i="32"/>
  <c r="K54" i="32"/>
  <c r="K66" i="32"/>
  <c r="K23" i="32"/>
  <c r="K33" i="32"/>
  <c r="K45" i="32"/>
  <c r="K57" i="32"/>
  <c r="K73" i="32"/>
  <c r="J16" i="32"/>
  <c r="K18" i="32"/>
  <c r="K28" i="32"/>
  <c r="K38" i="32"/>
  <c r="K52" i="32"/>
  <c r="K62" i="32"/>
  <c r="K19" i="32"/>
  <c r="K31" i="32"/>
  <c r="K43" i="32"/>
  <c r="K53" i="32"/>
  <c r="D16" i="32"/>
  <c r="E16" i="32" s="1"/>
  <c r="E57" i="33"/>
  <c r="K41" i="33"/>
  <c r="K49" i="33"/>
  <c r="K73" i="33"/>
  <c r="K40" i="33"/>
  <c r="K48" i="33"/>
  <c r="K63" i="33"/>
  <c r="E55" i="32"/>
  <c r="E22" i="32"/>
  <c r="E38" i="32"/>
  <c r="E19" i="32"/>
  <c r="E36" i="32"/>
  <c r="E18" i="32"/>
  <c r="E29" i="32"/>
  <c r="E39" i="32"/>
  <c r="E49" i="32"/>
  <c r="E59" i="32"/>
  <c r="E73" i="32"/>
  <c r="G24" i="32"/>
  <c r="G32" i="32"/>
  <c r="G42" i="32"/>
  <c r="G50" i="32"/>
  <c r="G58" i="32"/>
  <c r="G68" i="32"/>
  <c r="E62" i="32"/>
  <c r="E75" i="32"/>
  <c r="G23" i="32"/>
  <c r="G31" i="32"/>
  <c r="G39" i="32"/>
  <c r="G49" i="32"/>
  <c r="G57" i="32"/>
  <c r="G71" i="32"/>
  <c r="G65" i="32"/>
  <c r="G44" i="33"/>
  <c r="G63" i="33"/>
  <c r="E42" i="32"/>
  <c r="E21" i="32"/>
  <c r="E26" i="32"/>
  <c r="E46" i="32"/>
  <c r="E24" i="32"/>
  <c r="E44" i="32"/>
  <c r="E20" i="32"/>
  <c r="E31" i="32"/>
  <c r="E43" i="32"/>
  <c r="E51" i="32"/>
  <c r="E61" i="32"/>
  <c r="G18" i="32"/>
  <c r="G26" i="32"/>
  <c r="G34" i="32"/>
  <c r="G44" i="32"/>
  <c r="G52" i="32"/>
  <c r="G60" i="32"/>
  <c r="G72" i="32"/>
  <c r="E66" i="32"/>
  <c r="G17" i="32"/>
  <c r="G25" i="32"/>
  <c r="G33" i="32"/>
  <c r="G43" i="32"/>
  <c r="G51" i="32"/>
  <c r="G59" i="32"/>
  <c r="G73" i="32"/>
  <c r="E28" i="33"/>
  <c r="E30" i="33"/>
  <c r="E35" i="33"/>
  <c r="G39" i="33"/>
  <c r="G41" i="32"/>
  <c r="L63" i="10"/>
  <c r="K35" i="10"/>
  <c r="L25" i="10"/>
  <c r="J16" i="10"/>
  <c r="G8" i="10" s="1"/>
  <c r="I63" i="10"/>
  <c r="H25" i="10"/>
  <c r="E63" i="10"/>
  <c r="H63" i="10"/>
  <c r="M63" i="10" s="1"/>
  <c r="J26" i="33"/>
  <c r="K26" i="33" s="1"/>
  <c r="I32" i="33"/>
  <c r="E37" i="10"/>
  <c r="L37" i="10"/>
  <c r="L49" i="33"/>
  <c r="L33" i="33"/>
  <c r="F55" i="33"/>
  <c r="G55" i="33" s="1"/>
  <c r="I18" i="33"/>
  <c r="I52" i="33"/>
  <c r="E17" i="10"/>
  <c r="L63" i="33"/>
  <c r="L56" i="33"/>
  <c r="E56" i="33"/>
  <c r="L39" i="33"/>
  <c r="H17" i="10"/>
  <c r="H51" i="33"/>
  <c r="M17" i="10"/>
  <c r="H30" i="33"/>
  <c r="H46" i="33"/>
  <c r="I68" i="33"/>
  <c r="D16" i="10"/>
  <c r="M16" i="10" s="1"/>
  <c r="D68" i="36"/>
  <c r="C69" i="36"/>
  <c r="D69" i="36" s="1"/>
  <c r="C74" i="36"/>
  <c r="D36" i="10"/>
  <c r="E35" i="10"/>
  <c r="H35" i="10"/>
  <c r="M35" i="10"/>
  <c r="L35" i="10"/>
  <c r="I35" i="10"/>
  <c r="D41" i="36"/>
  <c r="K67" i="32"/>
  <c r="K55" i="32"/>
  <c r="K47" i="32"/>
  <c r="K37" i="32"/>
  <c r="K29" i="32"/>
  <c r="K21" i="32"/>
  <c r="K68" i="32"/>
  <c r="K58" i="32"/>
  <c r="K50" i="32"/>
  <c r="K42" i="32"/>
  <c r="K32" i="32"/>
  <c r="K24" i="32"/>
  <c r="K65" i="32"/>
  <c r="L55" i="32"/>
  <c r="I55" i="32"/>
  <c r="K18" i="33"/>
  <c r="K72" i="33"/>
  <c r="G69" i="36"/>
  <c r="J41" i="36"/>
  <c r="I41" i="36"/>
  <c r="G42" i="36"/>
  <c r="E68" i="36"/>
  <c r="F36" i="10"/>
  <c r="G36" i="10" s="1"/>
  <c r="I48" i="10"/>
  <c r="H37" i="10"/>
  <c r="R22" i="10"/>
  <c r="M25" i="10"/>
  <c r="E24" i="33"/>
  <c r="G32" i="33"/>
  <c r="K33" i="33"/>
  <c r="K34" i="33"/>
  <c r="K45" i="33"/>
  <c r="K50" i="33"/>
  <c r="K54" i="33"/>
  <c r="K60" i="33"/>
  <c r="K67" i="33"/>
  <c r="F61" i="10"/>
  <c r="L17" i="32"/>
  <c r="E17" i="32"/>
  <c r="M42" i="32"/>
  <c r="I42" i="32"/>
  <c r="E18" i="33"/>
  <c r="E21" i="33"/>
  <c r="G24" i="33"/>
  <c r="G31" i="33"/>
  <c r="K32" i="33"/>
  <c r="E42" i="33"/>
  <c r="G43" i="33"/>
  <c r="K44" i="33"/>
  <c r="E46" i="33"/>
  <c r="G47" i="33"/>
  <c r="G52" i="33"/>
  <c r="G58" i="33"/>
  <c r="K59" i="33"/>
  <c r="E61" i="33"/>
  <c r="G62" i="33"/>
  <c r="G69" i="33"/>
  <c r="L27" i="32"/>
  <c r="I27" i="32"/>
  <c r="G18" i="33"/>
  <c r="G19" i="33"/>
  <c r="G20" i="33"/>
  <c r="G21" i="33"/>
  <c r="G22" i="33"/>
  <c r="I23" i="33"/>
  <c r="G23" i="33"/>
  <c r="K24" i="33"/>
  <c r="K25" i="33"/>
  <c r="G27" i="33"/>
  <c r="G28" i="33"/>
  <c r="G29" i="33"/>
  <c r="K31" i="33"/>
  <c r="E34" i="33"/>
  <c r="G35" i="33"/>
  <c r="E41" i="33"/>
  <c r="G42" i="33"/>
  <c r="K43" i="33"/>
  <c r="K47" i="33"/>
  <c r="E50" i="33"/>
  <c r="K52" i="33"/>
  <c r="K58" i="33"/>
  <c r="G61" i="33"/>
  <c r="K62" i="33"/>
  <c r="E67" i="33"/>
  <c r="K69" i="33"/>
  <c r="E74" i="33"/>
  <c r="G56" i="33"/>
  <c r="E73" i="33"/>
  <c r="H74" i="33"/>
  <c r="K19" i="33"/>
  <c r="K20" i="33"/>
  <c r="K21" i="33"/>
  <c r="K22" i="33"/>
  <c r="K23" i="33"/>
  <c r="K28" i="33"/>
  <c r="K30" i="33"/>
  <c r="K35" i="33"/>
  <c r="E40" i="33"/>
  <c r="G41" i="33"/>
  <c r="K42" i="33"/>
  <c r="G45" i="33"/>
  <c r="K46" i="33"/>
  <c r="E48" i="33"/>
  <c r="G50" i="33"/>
  <c r="K51" i="33"/>
  <c r="G54" i="33"/>
  <c r="K57" i="33"/>
  <c r="E59" i="33"/>
  <c r="G60" i="33"/>
  <c r="K61" i="33"/>
  <c r="E63" i="33"/>
  <c r="G73" i="33"/>
  <c r="L42" i="33"/>
  <c r="I41" i="33"/>
  <c r="K56" i="33"/>
  <c r="I46" i="33"/>
  <c r="G68" i="33"/>
  <c r="L25" i="33"/>
  <c r="M29" i="33"/>
  <c r="I34" i="33"/>
  <c r="M44" i="33"/>
  <c r="L53" i="33"/>
  <c r="L59" i="33"/>
  <c r="H67" i="33"/>
  <c r="L68" i="33"/>
  <c r="M72" i="33"/>
  <c r="L74" i="33"/>
  <c r="H42" i="33"/>
  <c r="G46" i="33"/>
  <c r="H73" i="33"/>
  <c r="I39" i="33"/>
  <c r="I43" i="33"/>
  <c r="I58" i="33"/>
  <c r="I56" i="33"/>
  <c r="K29" i="33"/>
  <c r="I21" i="33"/>
  <c r="L61" i="33"/>
  <c r="I73" i="33"/>
  <c r="H28" i="33"/>
  <c r="G51" i="33"/>
  <c r="H50" i="33"/>
  <c r="J55" i="33"/>
  <c r="K55" i="33" s="1"/>
  <c r="L44" i="33"/>
  <c r="I45" i="33"/>
  <c r="I60" i="33"/>
  <c r="E33" i="33"/>
  <c r="G74" i="33"/>
  <c r="K68" i="33"/>
  <c r="F17" i="33"/>
  <c r="G17" i="33" s="1"/>
  <c r="H45" i="33"/>
  <c r="E44" i="33"/>
  <c r="I42" i="33"/>
  <c r="H21" i="33"/>
  <c r="M68" i="33"/>
  <c r="G57" i="33"/>
  <c r="L51" i="33"/>
  <c r="M25" i="33"/>
  <c r="H53" i="33"/>
  <c r="I67" i="33"/>
  <c r="G67" i="33"/>
  <c r="J17" i="33"/>
  <c r="E49" i="33"/>
  <c r="H29" i="33"/>
  <c r="E72" i="33"/>
  <c r="L48" i="33"/>
  <c r="I30" i="33"/>
  <c r="L21" i="33"/>
  <c r="H63" i="33"/>
  <c r="M43" i="33"/>
  <c r="F66" i="33"/>
  <c r="G66" i="33" s="1"/>
  <c r="I29" i="33"/>
  <c r="M35" i="33"/>
  <c r="L72" i="33"/>
  <c r="E53" i="33"/>
  <c r="G30" i="33"/>
  <c r="G34" i="33"/>
  <c r="M24" i="33"/>
  <c r="M28" i="33"/>
  <c r="M30" i="33"/>
  <c r="F38" i="33"/>
  <c r="G38" i="33" s="1"/>
  <c r="L40" i="33"/>
  <c r="M42" i="33"/>
  <c r="M46" i="33"/>
  <c r="M57" i="33"/>
  <c r="M59" i="33"/>
  <c r="M63" i="33"/>
  <c r="K74" i="33"/>
  <c r="M61" i="33"/>
  <c r="M48" i="33"/>
  <c r="K27" i="33"/>
  <c r="M74" i="33"/>
  <c r="M40" i="33"/>
  <c r="I35" i="33"/>
  <c r="H57" i="33"/>
  <c r="H34" i="33"/>
  <c r="H25" i="33"/>
  <c r="M18" i="33"/>
  <c r="D66" i="33"/>
  <c r="E66" i="33" s="1"/>
  <c r="I74" i="33"/>
  <c r="E25" i="33"/>
  <c r="I19" i="33"/>
  <c r="L20" i="33"/>
  <c r="L22" i="33"/>
  <c r="M23" i="33"/>
  <c r="H24" i="33"/>
  <c r="I25" i="33"/>
  <c r="H27" i="33"/>
  <c r="H40" i="33"/>
  <c r="M41" i="33"/>
  <c r="H44" i="33"/>
  <c r="M52" i="33"/>
  <c r="I53" i="33"/>
  <c r="I59" i="33"/>
  <c r="L62" i="33"/>
  <c r="M69" i="33"/>
  <c r="I72" i="33"/>
  <c r="M73" i="33"/>
  <c r="G48" i="33"/>
  <c r="I48" i="33"/>
  <c r="M33" i="33"/>
  <c r="M32" i="33"/>
  <c r="D26" i="33"/>
  <c r="D17" i="33"/>
  <c r="H52" i="33"/>
  <c r="M50" i="33"/>
  <c r="E39" i="33"/>
  <c r="M34" i="33"/>
  <c r="G25" i="33"/>
  <c r="M21" i="33"/>
  <c r="I40" i="33"/>
  <c r="M58" i="33"/>
  <c r="M62" i="33"/>
  <c r="L19" i="33"/>
  <c r="E23" i="33"/>
  <c r="M22" i="33"/>
  <c r="M45" i="33"/>
  <c r="J66" i="33"/>
  <c r="H62" i="33"/>
  <c r="G40" i="33"/>
  <c r="E22" i="33"/>
  <c r="E62" i="33"/>
  <c r="L43" i="33"/>
  <c r="F26" i="33"/>
  <c r="L29" i="33"/>
  <c r="E29" i="33"/>
  <c r="H35" i="33"/>
  <c r="M51" i="33"/>
  <c r="E51" i="33"/>
  <c r="I51" i="33"/>
  <c r="M53" i="33"/>
  <c r="K53" i="33"/>
  <c r="H61" i="33"/>
  <c r="H68" i="33"/>
  <c r="E68" i="33"/>
  <c r="I69" i="33"/>
  <c r="L69" i="33"/>
  <c r="M49" i="33"/>
  <c r="L18" i="33"/>
  <c r="H19" i="33"/>
  <c r="H59" i="33"/>
  <c r="L52" i="33"/>
  <c r="H43" i="33"/>
  <c r="M39" i="33"/>
  <c r="I22" i="33"/>
  <c r="D38" i="33"/>
  <c r="I24" i="33"/>
  <c r="L67" i="33"/>
  <c r="D55" i="33"/>
  <c r="M19" i="33"/>
  <c r="H69" i="33"/>
  <c r="E19" i="33"/>
  <c r="G59" i="33"/>
  <c r="L34" i="33"/>
  <c r="J38" i="33"/>
  <c r="K39" i="33"/>
  <c r="L41" i="33"/>
  <c r="E45" i="33"/>
  <c r="L45" i="33"/>
  <c r="E54" i="33"/>
  <c r="I54" i="33"/>
  <c r="H54" i="33"/>
  <c r="E60" i="33"/>
  <c r="M60" i="33"/>
  <c r="H60" i="33"/>
  <c r="M67" i="33"/>
  <c r="L32" i="33"/>
  <c r="M20" i="33"/>
  <c r="H20" i="33"/>
  <c r="E20" i="33"/>
  <c r="I27" i="33"/>
  <c r="L27" i="33"/>
  <c r="M27" i="33"/>
  <c r="M47" i="33"/>
  <c r="E47" i="33"/>
  <c r="L47" i="33"/>
  <c r="I47" i="33"/>
  <c r="H58" i="33"/>
  <c r="E58" i="33"/>
  <c r="E32" i="33"/>
  <c r="L50" i="33"/>
  <c r="H32" i="33"/>
  <c r="I20" i="33"/>
  <c r="L23" i="33"/>
  <c r="L30" i="33"/>
  <c r="L28" i="33"/>
  <c r="H72" i="33"/>
  <c r="G53" i="33"/>
  <c r="E52" i="33"/>
  <c r="I50" i="33"/>
  <c r="H47" i="33"/>
  <c r="I44" i="33"/>
  <c r="H56" i="33"/>
  <c r="E27" i="33"/>
  <c r="H22" i="33"/>
  <c r="H18" i="33"/>
  <c r="H48" i="33"/>
  <c r="H41" i="33"/>
  <c r="E43" i="33"/>
  <c r="L73" i="33"/>
  <c r="H39" i="33"/>
  <c r="M56" i="33"/>
  <c r="I28" i="33"/>
  <c r="E69" i="33"/>
  <c r="H23" i="33"/>
  <c r="L24" i="33"/>
  <c r="L54" i="33"/>
  <c r="L60" i="33"/>
  <c r="M54" i="33"/>
  <c r="L35" i="33"/>
  <c r="L46" i="33"/>
  <c r="G72" i="33"/>
  <c r="L58" i="33"/>
  <c r="L57" i="33"/>
  <c r="E4" i="30" l="1"/>
  <c r="L31" i="33"/>
  <c r="G16" i="32"/>
  <c r="I40" i="32"/>
  <c r="D41" i="32"/>
  <c r="I41" i="32" s="1"/>
  <c r="E40" i="32"/>
  <c r="H31" i="33"/>
  <c r="E31" i="33"/>
  <c r="M31" i="33"/>
  <c r="M40" i="32"/>
  <c r="K40" i="32"/>
  <c r="L40" i="32"/>
  <c r="I49" i="33"/>
  <c r="G49" i="33"/>
  <c r="G33" i="33"/>
  <c r="I33" i="33"/>
  <c r="H16" i="32"/>
  <c r="I16" i="32"/>
  <c r="D69" i="32"/>
  <c r="J63" i="32"/>
  <c r="K16" i="32"/>
  <c r="M16" i="32"/>
  <c r="L16" i="32"/>
  <c r="G9" i="10"/>
  <c r="K16" i="10"/>
  <c r="J61" i="10"/>
  <c r="J16" i="33"/>
  <c r="K16" i="33" s="1"/>
  <c r="F36" i="33"/>
  <c r="F37" i="33" s="1"/>
  <c r="G37" i="33" s="1"/>
  <c r="I16" i="10"/>
  <c r="D77" i="33"/>
  <c r="E16" i="10"/>
  <c r="H16" i="10"/>
  <c r="L16" i="10"/>
  <c r="D67" i="10"/>
  <c r="F64" i="32"/>
  <c r="G64" i="32" s="1"/>
  <c r="F69" i="32"/>
  <c r="G63" i="32"/>
  <c r="M36" i="10"/>
  <c r="I36" i="10"/>
  <c r="E36" i="10"/>
  <c r="L36" i="10"/>
  <c r="H36" i="10"/>
  <c r="I68" i="36"/>
  <c r="E74" i="36"/>
  <c r="F68" i="36"/>
  <c r="E69" i="36"/>
  <c r="F69" i="36" s="1"/>
  <c r="H69" i="36"/>
  <c r="D74" i="36"/>
  <c r="C79" i="36"/>
  <c r="J68" i="36"/>
  <c r="F67" i="10"/>
  <c r="F62" i="10"/>
  <c r="G62" i="10" s="1"/>
  <c r="G61" i="10"/>
  <c r="I42" i="36"/>
  <c r="H42" i="36"/>
  <c r="J42" i="36"/>
  <c r="I66" i="33"/>
  <c r="H66" i="33"/>
  <c r="K17" i="33"/>
  <c r="K66" i="33"/>
  <c r="M66" i="33"/>
  <c r="J36" i="33"/>
  <c r="K38" i="33"/>
  <c r="L66" i="33"/>
  <c r="G26" i="33"/>
  <c r="F16" i="33"/>
  <c r="L17" i="33"/>
  <c r="I17" i="33"/>
  <c r="E17" i="33"/>
  <c r="M17" i="33"/>
  <c r="D16" i="33"/>
  <c r="H17" i="33"/>
  <c r="H63" i="32"/>
  <c r="H55" i="33"/>
  <c r="I55" i="33"/>
  <c r="M55" i="33"/>
  <c r="L55" i="33"/>
  <c r="E55" i="33"/>
  <c r="D36" i="33"/>
  <c r="I38" i="33"/>
  <c r="H38" i="33"/>
  <c r="M38" i="33"/>
  <c r="E38" i="33"/>
  <c r="L38" i="33"/>
  <c r="M26" i="33"/>
  <c r="E26" i="33"/>
  <c r="H26" i="33"/>
  <c r="L26" i="33"/>
  <c r="I26" i="33"/>
  <c r="E10" i="30" l="1"/>
  <c r="G4" i="30"/>
  <c r="L41" i="32"/>
  <c r="M41" i="32"/>
  <c r="E41" i="32"/>
  <c r="H41" i="32"/>
  <c r="D64" i="32"/>
  <c r="H64" i="32" s="1"/>
  <c r="I63" i="32"/>
  <c r="E63" i="32"/>
  <c r="J64" i="32"/>
  <c r="K64" i="32" s="1"/>
  <c r="K63" i="32"/>
  <c r="J69" i="32"/>
  <c r="L69" i="32" s="1"/>
  <c r="L63" i="32"/>
  <c r="M63" i="32"/>
  <c r="S18" i="33"/>
  <c r="G36" i="33"/>
  <c r="R19" i="33"/>
  <c r="J62" i="10"/>
  <c r="K62" i="10" s="1"/>
  <c r="J67" i="10"/>
  <c r="K61" i="10"/>
  <c r="J64" i="33"/>
  <c r="K64" i="33" s="1"/>
  <c r="I61" i="10"/>
  <c r="E61" i="10"/>
  <c r="H62" i="10"/>
  <c r="L61" i="10"/>
  <c r="H61" i="10"/>
  <c r="M61" i="10" s="1"/>
  <c r="G67" i="10"/>
  <c r="E67" i="10"/>
  <c r="L67" i="10"/>
  <c r="I67" i="10"/>
  <c r="H67" i="10"/>
  <c r="M67" i="10" s="1"/>
  <c r="D79" i="36"/>
  <c r="C75" i="36"/>
  <c r="D75" i="36" s="1"/>
  <c r="I69" i="36"/>
  <c r="I74" i="36"/>
  <c r="F74" i="36"/>
  <c r="E79" i="36"/>
  <c r="J74" i="36"/>
  <c r="F74" i="32"/>
  <c r="G69" i="32"/>
  <c r="J69" i="36"/>
  <c r="H69" i="32"/>
  <c r="I69" i="32"/>
  <c r="E69" i="32"/>
  <c r="D74" i="32"/>
  <c r="D64" i="33"/>
  <c r="L16" i="33"/>
  <c r="H16" i="33"/>
  <c r="M16" i="33"/>
  <c r="R17" i="33"/>
  <c r="E16" i="33"/>
  <c r="I16" i="33"/>
  <c r="R18" i="33"/>
  <c r="G16" i="33"/>
  <c r="F64" i="33"/>
  <c r="J37" i="33"/>
  <c r="K37" i="33" s="1"/>
  <c r="K36" i="33"/>
  <c r="S19" i="33"/>
  <c r="S17" i="33"/>
  <c r="E36" i="33"/>
  <c r="M36" i="33"/>
  <c r="L36" i="33"/>
  <c r="H36" i="33"/>
  <c r="I36" i="33"/>
  <c r="D37" i="33"/>
  <c r="E17" i="30" l="1"/>
  <c r="G10" i="30"/>
  <c r="I64" i="32"/>
  <c r="E64" i="32"/>
  <c r="M69" i="32"/>
  <c r="K69" i="32"/>
  <c r="J74" i="32"/>
  <c r="M74" i="32" s="1"/>
  <c r="L64" i="32"/>
  <c r="M64" i="32"/>
  <c r="M62" i="10"/>
  <c r="J65" i="33"/>
  <c r="K65" i="33" s="1"/>
  <c r="J70" i="33"/>
  <c r="J75" i="33" s="1"/>
  <c r="T19" i="33"/>
  <c r="L72" i="10"/>
  <c r="K67" i="10"/>
  <c r="L62" i="10"/>
  <c r="E62" i="10"/>
  <c r="I62" i="10"/>
  <c r="J79" i="36"/>
  <c r="F79" i="36"/>
  <c r="I79" i="36"/>
  <c r="E75" i="36"/>
  <c r="I72" i="10"/>
  <c r="H72" i="10"/>
  <c r="D68" i="10"/>
  <c r="E72" i="10"/>
  <c r="F70" i="32"/>
  <c r="G70" i="32" s="1"/>
  <c r="G74" i="32"/>
  <c r="F68" i="10"/>
  <c r="G68" i="10" s="1"/>
  <c r="G72" i="10"/>
  <c r="T17" i="33"/>
  <c r="I64" i="33"/>
  <c r="D70" i="33"/>
  <c r="H64" i="33"/>
  <c r="D65" i="33"/>
  <c r="M64" i="33"/>
  <c r="E64" i="33"/>
  <c r="L64" i="33"/>
  <c r="T18" i="33"/>
  <c r="F70" i="33"/>
  <c r="G64" i="33"/>
  <c r="F65" i="33"/>
  <c r="G65" i="33" s="1"/>
  <c r="I74" i="32"/>
  <c r="D70" i="32"/>
  <c r="H74" i="32"/>
  <c r="E74" i="32"/>
  <c r="M37" i="33"/>
  <c r="L37" i="33"/>
  <c r="E37" i="33"/>
  <c r="I37" i="33"/>
  <c r="H37" i="33"/>
  <c r="G17" i="30" l="1"/>
  <c r="E23" i="30"/>
  <c r="G23" i="30" s="1"/>
  <c r="K70" i="33"/>
  <c r="K74" i="32"/>
  <c r="J70" i="32"/>
  <c r="K70" i="32" s="1"/>
  <c r="L74" i="32"/>
  <c r="M72" i="10"/>
  <c r="J68" i="10"/>
  <c r="K68" i="10" s="1"/>
  <c r="K72" i="10"/>
  <c r="H68" i="10"/>
  <c r="I68" i="10"/>
  <c r="E68" i="10"/>
  <c r="F75" i="36"/>
  <c r="I75" i="36"/>
  <c r="J75" i="36"/>
  <c r="E70" i="33"/>
  <c r="L70" i="33"/>
  <c r="D75" i="33"/>
  <c r="I70" i="33"/>
  <c r="H70" i="33"/>
  <c r="M70" i="33"/>
  <c r="K75" i="33"/>
  <c r="J71" i="33"/>
  <c r="K71" i="33" s="1"/>
  <c r="H70" i="32"/>
  <c r="E70" i="32"/>
  <c r="I70" i="32"/>
  <c r="G70" i="33"/>
  <c r="F75" i="33"/>
  <c r="H65" i="33"/>
  <c r="I65" i="33"/>
  <c r="M65" i="33"/>
  <c r="L65" i="33"/>
  <c r="E65" i="33"/>
  <c r="L70" i="32" l="1"/>
  <c r="M70" i="32"/>
  <c r="M68" i="10"/>
  <c r="L68" i="10"/>
  <c r="G75" i="33"/>
  <c r="F71" i="33"/>
  <c r="G71" i="33" s="1"/>
  <c r="D71" i="33"/>
  <c r="E75" i="33"/>
  <c r="I75" i="33"/>
  <c r="M75" i="33"/>
  <c r="L75" i="33"/>
  <c r="H75" i="33"/>
  <c r="L71" i="33" l="1"/>
  <c r="I71" i="33"/>
  <c r="M71" i="33"/>
  <c r="H71" i="33"/>
  <c r="E71" i="33"/>
</calcChain>
</file>

<file path=xl/sharedStrings.xml><?xml version="1.0" encoding="utf-8"?>
<sst xmlns="http://schemas.openxmlformats.org/spreadsheetml/2006/main" count="1260" uniqueCount="473">
  <si>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</si>
  <si>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</si>
  <si>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</si>
  <si>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</si>
  <si>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</si>
  <si>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</si>
  <si>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</si>
  <si>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</si>
  <si>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</si>
  <si>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</si>
  <si>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</si>
  <si>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</si>
  <si>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</si>
  <si>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</si>
  <si>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</si>
  <si>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</si>
  <si>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</si>
  <si>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</si>
  <si>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</si>
  <si>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</si>
  <si>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</si>
  <si>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</si>
  <si>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</si>
  <si>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</si>
  <si>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</si>
  <si>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</si>
  <si>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</si>
  <si>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</si>
  <si>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</si>
  <si>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</si>
  <si>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</si>
  <si>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</si>
  <si>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</si>
  <si>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</si>
  <si>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</si>
  <si>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</si>
  <si>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</si>
  <si>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</si>
  <si>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</si>
  <si>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</si>
  <si>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</si>
  <si>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</si>
  <si>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</si>
  <si>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</si>
  <si>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</si>
  <si>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</si>
  <si>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</si>
  <si>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</si>
  <si>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</si>
  <si>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</si>
  <si>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</si>
  <si>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</si>
  <si>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</si>
  <si>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</si>
  <si>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</si>
  <si>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</si>
  <si>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</si>
  <si>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</si>
  <si>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</si>
  <si>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</si>
  <si>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</si>
  <si>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 xml:space="preserve">Receipts from repayment of loans and funds carried over from previous year 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</si>
  <si>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</si>
  <si>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</si>
  <si>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</si>
  <si>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</si>
  <si>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</si>
  <si>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</si>
  <si>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</si>
  <si>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</si>
  <si>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</si>
  <si>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</si>
  <si>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</si>
  <si>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</si>
  <si>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</si>
  <si>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</si>
  <si>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</si>
  <si>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</si>
  <si>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</si>
  <si>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</si>
  <si>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</si>
  <si>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</si>
  <si>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</si>
  <si>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</si>
  <si>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</si>
  <si>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</si>
  <si>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</si>
  <si>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</si>
  <si>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</si>
  <si>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</si>
  <si>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</si>
  <si>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</si>
  <si>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</si>
  <si>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</si>
  <si>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</si>
  <si>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</si>
  <si>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</si>
  <si>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</si>
  <si>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</si>
  <si>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</si>
  <si>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</si>
  <si>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</si>
  <si>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</si>
  <si>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</si>
  <si>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</si>
  <si>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</si>
  <si>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</si>
  <si>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</si>
  <si>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</si>
  <si>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</si>
  <si>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</si>
  <si>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</si>
  <si>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</si>
  <si>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</si>
  <si>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</si>
  <si>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</si>
  <si>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</si>
  <si>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</si>
  <si>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</si>
  <si>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</si>
  <si>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</si>
  <si>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</si>
  <si>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</si>
  <si>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</si>
  <si>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</si>
  <si>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</si>
  <si>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</si>
  <si>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</si>
  <si>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</si>
  <si>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</si>
  <si>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</si>
  <si>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</si>
  <si>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</si>
  <si>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</si>
  <si>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</si>
  <si>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</si>
  <si>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</si>
  <si>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</si>
  <si>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</si>
  <si>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</si>
  <si>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</si>
  <si>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</si>
  <si>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</si>
  <si>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</si>
  <si>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</si>
  <si>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</si>
  <si>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</si>
  <si>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</si>
  <si>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</si>
  <si>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</si>
  <si>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</si>
  <si>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</si>
  <si>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</si>
  <si>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</si>
  <si>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</si>
  <si>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</si>
  <si>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</si>
  <si>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</si>
  <si>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</si>
  <si>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</si>
  <si>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</si>
  <si>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</si>
  <si>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</si>
  <si>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</si>
  <si>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</si>
  <si>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</si>
  <si>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</si>
  <si>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</si>
  <si>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</si>
  <si>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</si>
  <si>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</si>
  <si>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</si>
  <si>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</si>
  <si>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</si>
  <si>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</si>
  <si>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</si>
  <si>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</si>
  <si>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</si>
  <si>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</si>
  <si>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</si>
  <si>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</si>
  <si>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</si>
  <si>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</si>
  <si>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</si>
  <si>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</si>
  <si>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</si>
  <si>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</si>
  <si>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</si>
  <si>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</si>
  <si>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</si>
  <si>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</si>
  <si>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</si>
  <si>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</si>
  <si>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</si>
  <si>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</si>
  <si>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</si>
  <si>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</si>
  <si>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</si>
  <si>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</si>
  <si>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</si>
  <si>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</si>
  <si>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</si>
  <si>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</si>
  <si>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</si>
  <si>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</si>
  <si>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</si>
  <si>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</si>
  <si>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</si>
  <si>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</si>
  <si>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</si>
  <si>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</si>
  <si>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</si>
  <si>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</si>
  <si>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</si>
  <si>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</si>
  <si>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</si>
  <si>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</si>
  <si>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</si>
  <si>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</si>
  <si>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</si>
  <si>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</si>
  <si>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</si>
  <si>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</si>
  <si>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</si>
  <si>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</si>
  <si>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</si>
  <si>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</si>
  <si>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</si>
  <si>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</si>
  <si>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</si>
  <si>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</si>
  <si>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</si>
  <si>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</si>
  <si>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</si>
  <si>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</si>
  <si>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</si>
  <si>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</si>
  <si>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</si>
  <si>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</si>
  <si>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</si>
  <si>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</si>
  <si>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</si>
  <si>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</si>
  <si>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</si>
  <si>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</si>
  <si>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</si>
  <si>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</si>
  <si>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</si>
  <si>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</si>
  <si>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</si>
  <si>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</si>
  <si>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</si>
  <si>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</si>
  <si>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</si>
  <si>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</si>
  <si>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</si>
  <si>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</si>
  <si>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</si>
  <si>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</si>
  <si>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</si>
  <si>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</si>
  <si>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</si>
  <si>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</si>
  <si>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</si>
  <si>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</si>
  <si>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</si>
  <si>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</si>
  <si>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</si>
  <si>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</si>
  <si>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</si>
  <si>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</si>
  <si>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</si>
  <si>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</si>
  <si>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</si>
  <si>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</si>
  <si>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</si>
  <si>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</si>
  <si>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</si>
  <si>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</si>
  <si>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</si>
  <si>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</si>
  <si>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</si>
  <si>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</si>
  <si>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</si>
  <si>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</si>
  <si>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</si>
  <si>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</si>
  <si>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</si>
  <si>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</si>
  <si>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</si>
  <si>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</si>
  <si>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</si>
  <si>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</si>
  <si>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</si>
  <si>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</si>
  <si>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</si>
  <si>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</si>
  <si>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</si>
  <si>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</si>
  <si>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</si>
  <si>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</si>
  <si>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</si>
  <si>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</si>
  <si>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</si>
  <si>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</si>
  <si>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</si>
  <si>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</si>
  <si>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</si>
  <si>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</si>
  <si>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</si>
  <si>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</si>
  <si>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</si>
  <si>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</si>
  <si>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</si>
  <si>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</si>
  <si>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</si>
  <si>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</si>
  <si>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</si>
  <si>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</si>
  <si>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</si>
  <si>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</si>
  <si>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</si>
  <si>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</si>
  <si>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</si>
  <si>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</si>
  <si>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</si>
  <si>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</si>
  <si>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</si>
  <si>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</si>
  <si>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</si>
  <si>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</si>
  <si>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</si>
  <si>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</si>
  <si>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</si>
  <si>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</si>
  <si>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</si>
  <si>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</si>
  <si>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</si>
  <si>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</si>
  <si>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</si>
  <si>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</si>
  <si>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</si>
  <si>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</si>
  <si>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</si>
  <si>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</si>
  <si>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</si>
  <si>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</si>
  <si>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</si>
  <si>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</si>
  <si>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</si>
  <si>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</si>
  <si>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</si>
  <si>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</si>
  <si>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</si>
  <si>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</si>
  <si>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</si>
  <si>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</si>
  <si>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</si>
  <si>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</si>
  <si>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</si>
  <si>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</si>
  <si>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</si>
  <si>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</si>
  <si>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</si>
  <si>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</si>
  <si>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</si>
  <si>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</si>
  <si>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</si>
  <si>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</si>
  <si>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</si>
  <si>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</si>
  <si>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</si>
  <si>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</si>
  <si>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</si>
  <si>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</si>
  <si>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</si>
  <si>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</si>
  <si>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</si>
  <si>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</si>
  <si>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</si>
  <si>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</si>
  <si>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</si>
  <si>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</si>
  <si>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</si>
  <si>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</si>
  <si>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</si>
  <si>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</si>
  <si>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</si>
  <si>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</si>
  <si>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</si>
  <si>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</si>
  <si>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</si>
  <si>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</si>
  <si>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>Plan 2014</t>
  </si>
  <si>
    <t>Ekonomska klasifikacija</t>
  </si>
  <si>
    <t>O   P   I   S</t>
  </si>
  <si>
    <t>Iznos u €</t>
  </si>
  <si>
    <t>Ako je 0 sve je OK!</t>
  </si>
  <si>
    <t>PRIMICI</t>
  </si>
  <si>
    <t>Tekući prihodi</t>
  </si>
  <si>
    <t>Naknada za korišćenje prirodnih dobara</t>
  </si>
  <si>
    <t>Primici od prodaje  imovine</t>
  </si>
  <si>
    <t>Primici od prodaje imovine</t>
  </si>
  <si>
    <t>Primici od prodaje nefinansijske imovine</t>
  </si>
  <si>
    <t>Primici od prodaje nepokretnosti</t>
  </si>
  <si>
    <t>Primici od prodaje zaliha</t>
  </si>
  <si>
    <t>Primici od prodaje finansijske imovine</t>
  </si>
  <si>
    <t>Prodaja akcija</t>
  </si>
  <si>
    <t>Prodaja ostalih HOV</t>
  </si>
  <si>
    <t xml:space="preserve">Primici od otplate kredita </t>
  </si>
  <si>
    <t>Primici od otplate kredita datih drugim nivoima vlasti</t>
  </si>
  <si>
    <t>Primici od otplate kredita datih javnim preduzećima</t>
  </si>
  <si>
    <t>Primici od otplate kredita datih drugim institucijama</t>
  </si>
  <si>
    <t>Primici od otplate kredita datih fizičkim licima</t>
  </si>
  <si>
    <t xml:space="preserve"> Sredstva prenesena iz prethodne godine</t>
  </si>
  <si>
    <t>Sredstva prenesena iz prethodne godine</t>
  </si>
  <si>
    <t>Donacije i transferi</t>
  </si>
  <si>
    <t>Tekuće donacije</t>
  </si>
  <si>
    <t>IZVORNI PRIHODI</t>
  </si>
  <si>
    <t>Porezi i doprinosi</t>
  </si>
  <si>
    <t xml:space="preserve"> IZDACI</t>
  </si>
  <si>
    <t xml:space="preserve"> Kapitalni budžet CG</t>
  </si>
  <si>
    <t xml:space="preserve"> SUFICIT / DEFICIT</t>
  </si>
  <si>
    <t>PRIMARNI SUFICIT</t>
  </si>
  <si>
    <t>OTPLATA DUGA</t>
  </si>
  <si>
    <t>NEDOSTAJUĆA SREDSTVA</t>
  </si>
  <si>
    <t>FINANSIRANJE</t>
  </si>
  <si>
    <t>Procjena 2014</t>
  </si>
  <si>
    <t xml:space="preserve"> </t>
  </si>
  <si>
    <t>Rashodi za materijal</t>
  </si>
  <si>
    <t>Rashodi za usluge</t>
  </si>
  <si>
    <t>Rashodi za tekuće održavanje</t>
  </si>
  <si>
    <t>Ostala prava iz zdravstvenog osiguranja</t>
  </si>
  <si>
    <t xml:space="preserve">Transferi institucijama, pojedincima, nevladinom i javnom sektoru </t>
  </si>
  <si>
    <t xml:space="preserve">Ostali transferi </t>
  </si>
  <si>
    <t>Registracione takse</t>
  </si>
  <si>
    <t xml:space="preserve">Naknade za izgradnju i održavanje lokalnih puteva i drugih javnih objekata od opštinskog značaja </t>
  </si>
  <si>
    <t>PLAN 2015</t>
  </si>
  <si>
    <t>Mjesečni plan prihoda 2014</t>
  </si>
  <si>
    <t>Mjesečna procjena prihoda 2014</t>
  </si>
  <si>
    <t>Ostvarenje prihoda 2013</t>
  </si>
  <si>
    <t>Razlike</t>
  </si>
  <si>
    <t>%</t>
  </si>
  <si>
    <t>Deficit - osnovni scenario</t>
  </si>
  <si>
    <t>Deficit - scenario sa auto putem</t>
  </si>
  <si>
    <t>2014 - procjena</t>
  </si>
  <si>
    <t>2014 - ostvarenje</t>
  </si>
  <si>
    <t>2014 - plan</t>
  </si>
  <si>
    <t>Naknada za komunalno opremanje građevinskog zemljišta</t>
  </si>
  <si>
    <t>Prihodi</t>
  </si>
  <si>
    <t>Rashodi</t>
  </si>
  <si>
    <t>Suficit / deficit</t>
  </si>
  <si>
    <t>PDV</t>
  </si>
  <si>
    <t>Odstupanje</t>
  </si>
  <si>
    <t>Tekući budžetski izdaci</t>
  </si>
  <si>
    <t>Otplata obaveza iz prethodnih godina</t>
  </si>
  <si>
    <t>4630a</t>
  </si>
  <si>
    <t>4630b</t>
  </si>
  <si>
    <t>Primarni bilans</t>
  </si>
  <si>
    <t>Otplata dugova</t>
  </si>
  <si>
    <t>Otplata hartija od vrijednosti i kredita rezidentima</t>
  </si>
  <si>
    <t>Otplata hartija od vrijednosti i kredita nerezidentima</t>
  </si>
  <si>
    <t>Pozajmice i krediti od domaćih izvora</t>
  </si>
  <si>
    <t>Pozajmice i krediti od inostranih izvora</t>
  </si>
  <si>
    <t>Povećanje / smanjenje depozita</t>
  </si>
  <si>
    <t>Transferi iz Centralnog budžeta</t>
  </si>
  <si>
    <t>konačni rezultat</t>
  </si>
  <si>
    <t>Budžetski izdaci</t>
  </si>
  <si>
    <t>preliminarni</t>
  </si>
  <si>
    <t>2015 - ostvarenje</t>
  </si>
  <si>
    <t>Plan 2015</t>
  </si>
  <si>
    <t>2014 - Ostvarenje</t>
  </si>
  <si>
    <t>2015 -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</si>
</sst>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.00\ &quot;€&quot;_-;\-* #,##0.00\ &quot;€&quot;_-;_-* &quot;-&quot;??\ &quot;€&quot;_-;_-@_-"/>
    <numFmt numFmtId="165" formatCode="0.00,,"/>
    <numFmt numFmtId="166" formatCode="0.0,,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,,"/>
    <numFmt numFmtId="176" formatCode="0.0000"/>
  </numFmts>
  <fonts count="64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entury Gothic"/>
      <family val="2"/>
    </font>
    <font>
      <sz val="11"/>
      <color rgb="FFFF0000"/>
      <name val="Calibri"/>
      <family val="2"/>
      <scheme val="minor"/>
    </font>
    <font>
      <sz val="8"/>
      <name val="Century Gothic"/>
      <family val="2"/>
    </font>
    <font>
      <b/>
      <sz val="11"/>
      <color rgb="FFFF000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i/>
      <sz val="10"/>
      <color indexed="1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  <charset val="238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10"/>
      <color indexed="18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0"/>
      <color theme="1"/>
      <name val="Calibri"/>
      <family val="2"/>
      <charset val="238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6337778862885"/>
        <bgColor indexed="64"/>
      </patternFill>
    </fill>
  </fills>
  <borders count="6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85">
    <xf numFmtId="0" fontId="0" fillId="0" borderId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9" fillId="0" borderId="0" applyProtection="0"/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2" fontId="9" fillId="0" borderId="0" applyProtection="0"/>
    <xf numFmtId="0" fontId="9" fillId="0" borderId="0" applyNumberFormat="0" applyFont="0" applyFill="0" applyBorder="0" applyAlignment="0" applyProtection="0"/>
    <xf numFmtId="0" fontId="12" fillId="0" borderId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7" fontId="13" fillId="0" borderId="0"/>
    <xf numFmtId="0" fontId="14" fillId="0" borderId="0"/>
    <xf numFmtId="0" fontId="15" fillId="0" borderId="0"/>
    <xf numFmtId="0" fontId="15" fillId="0" borderId="0"/>
    <xf numFmtId="0" fontId="8" fillId="0" borderId="0"/>
    <xf numFmtId="0" fontId="7" fillId="0" borderId="0"/>
    <xf numFmtId="174" fontId="8" fillId="0" borderId="0" applyFont="0" applyFill="0" applyBorder="0" applyAlignment="0" applyProtection="0"/>
    <xf numFmtId="0" fontId="1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3" fillId="0" borderId="0"/>
    <xf numFmtId="9" fontId="36" fillId="0" borderId="0" applyFont="0" applyFill="0" applyBorder="0" applyAlignment="0" applyProtection="0"/>
    <xf numFmtId="0" fontId="7" fillId="0" borderId="0"/>
    <xf numFmtId="0" fontId="44" fillId="0" borderId="54" applyNumberFormat="0" applyFill="0" applyAlignment="0" applyProtection="0"/>
    <xf numFmtId="0" fontId="45" fillId="0" borderId="55" applyNumberFormat="0" applyFill="0" applyAlignment="0" applyProtection="0"/>
    <xf numFmtId="0" fontId="46" fillId="0" borderId="56" applyNumberFormat="0" applyFill="0" applyAlignment="0" applyProtection="0"/>
    <xf numFmtId="0" fontId="46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48" fillId="16" borderId="0" applyNumberFormat="0" applyBorder="0" applyAlignment="0" applyProtection="0"/>
    <xf numFmtId="0" fontId="49" fillId="17" borderId="0" applyNumberFormat="0" applyBorder="0" applyAlignment="0" applyProtection="0"/>
    <xf numFmtId="0" fontId="50" fillId="18" borderId="57" applyNumberFormat="0" applyAlignment="0" applyProtection="0"/>
    <xf numFmtId="0" fontId="51" fillId="19" borderId="58" applyNumberFormat="0" applyAlignment="0" applyProtection="0"/>
    <xf numFmtId="0" fontId="52" fillId="19" borderId="57" applyNumberFormat="0" applyAlignment="0" applyProtection="0"/>
    <xf numFmtId="0" fontId="53" fillId="0" borderId="59" applyNumberFormat="0" applyFill="0" applyAlignment="0" applyProtection="0"/>
    <xf numFmtId="0" fontId="54" fillId="20" borderId="60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62" applyNumberFormat="0" applyFill="0" applyAlignment="0" applyProtection="0"/>
    <xf numFmtId="0" fontId="5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8" fillId="29" borderId="0" applyNumberFormat="0" applyBorder="0" applyAlignment="0" applyProtection="0"/>
    <xf numFmtId="0" fontId="5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8" fillId="41" borderId="0" applyNumberFormat="0" applyBorder="0" applyAlignment="0" applyProtection="0"/>
    <xf numFmtId="0" fontId="58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8" fillId="45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13" fillId="0" borderId="0"/>
    <xf numFmtId="0" fontId="2" fillId="0" borderId="0"/>
    <xf numFmtId="0" fontId="2" fillId="0" borderId="0"/>
    <xf numFmtId="17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48" fillId="16" borderId="0" applyNumberFormat="0" applyBorder="0" applyAlignment="0" applyProtection="0"/>
    <xf numFmtId="0" fontId="62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21" borderId="6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1" borderId="61" applyNumberFormat="0" applyFont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174" fontId="7" fillId="0" borderId="0" applyFont="0" applyFill="0" applyBorder="0" applyAlignment="0" applyProtection="0"/>
    <xf numFmtId="0" fontId="61" fillId="0" borderId="0"/>
    <xf numFmtId="171" fontId="7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05">
    <xf numFmtId="0" fontId="0" fillId="0" borderId="0" xfId="0"/>
    <xf numFmtId="0" fontId="7" fillId="0" borderId="0" xfId="0" applyFont="1"/>
    <xf numFmtId="0" fontId="17" fillId="0" borderId="0" xfId="0" applyFont="1" applyFill="1" applyAlignment="1">
      <alignment horizontal="center" vertical="center"/>
    </xf>
    <xf numFmtId="0" fontId="7" fillId="0" borderId="0" xfId="22" applyFont="1" applyFill="1" applyBorder="1" applyAlignment="1">
      <alignment horizontal="center" vertical="center" wrapText="1"/>
    </xf>
    <xf numFmtId="0" fontId="17" fillId="0" borderId="0" xfId="22" applyFont="1" applyFill="1" applyBorder="1" applyAlignment="1">
      <alignment vertical="center"/>
    </xf>
    <xf numFmtId="0" fontId="17" fillId="0" borderId="0" xfId="22" applyFont="1" applyFill="1" applyAlignment="1">
      <alignment vertical="center"/>
    </xf>
    <xf numFmtId="0" fontId="17" fillId="0" borderId="0" xfId="22" applyFont="1" applyFill="1" applyBorder="1" applyAlignment="1">
      <alignment horizontal="center" vertical="center"/>
    </xf>
    <xf numFmtId="2" fontId="17" fillId="0" borderId="0" xfId="22" applyNumberFormat="1" applyFont="1" applyFill="1" applyBorder="1" applyAlignment="1">
      <alignment vertical="center"/>
    </xf>
    <xf numFmtId="2" fontId="17" fillId="0" borderId="0" xfId="22" applyNumberFormat="1" applyFont="1" applyFill="1" applyBorder="1" applyAlignment="1">
      <alignment horizontal="left" vertical="center"/>
    </xf>
    <xf numFmtId="49" fontId="17" fillId="0" borderId="0" xfId="22" applyNumberFormat="1" applyFont="1" applyFill="1" applyBorder="1" applyAlignment="1">
      <alignment vertical="center"/>
    </xf>
    <xf numFmtId="0" fontId="17" fillId="3" borderId="0" xfId="0" applyFont="1" applyFill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17" fillId="0" borderId="0" xfId="22" applyFont="1" applyAlignment="1">
      <alignment vertical="center"/>
    </xf>
    <xf numFmtId="1" fontId="17" fillId="0" borderId="0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16" fontId="1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16" fontId="17" fillId="0" borderId="0" xfId="0" applyNumberFormat="1" applyFont="1" applyFill="1" applyBorder="1" applyAlignment="1">
      <alignment horizontal="left" vertical="center"/>
    </xf>
    <xf numFmtId="17" fontId="17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17" fontId="17" fillId="0" borderId="0" xfId="0" applyNumberFormat="1" applyFont="1" applyFill="1" applyAlignment="1">
      <alignment vertical="center"/>
    </xf>
    <xf numFmtId="4" fontId="17" fillId="0" borderId="0" xfId="22" applyNumberFormat="1" applyFont="1" applyFill="1" applyBorder="1" applyAlignment="1">
      <alignment vertical="center"/>
    </xf>
    <xf numFmtId="165" fontId="17" fillId="0" borderId="0" xfId="22" applyNumberFormat="1" applyFont="1" applyFill="1" applyBorder="1" applyAlignment="1">
      <alignment vertical="center"/>
    </xf>
    <xf numFmtId="4" fontId="18" fillId="0" borderId="0" xfId="22" applyNumberFormat="1" applyFont="1" applyFill="1" applyBorder="1" applyAlignment="1">
      <alignment vertical="center"/>
    </xf>
    <xf numFmtId="165" fontId="18" fillId="0" borderId="0" xfId="22" applyNumberFormat="1" applyFont="1" applyFill="1" applyBorder="1" applyAlignment="1">
      <alignment vertical="center"/>
    </xf>
    <xf numFmtId="49" fontId="17" fillId="0" borderId="0" xfId="22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17" fontId="7" fillId="0" borderId="0" xfId="0" applyNumberFormat="1" applyFont="1"/>
    <xf numFmtId="0" fontId="3" fillId="0" borderId="0" xfId="37"/>
    <xf numFmtId="0" fontId="22" fillId="0" borderId="5" xfId="37" applyFont="1" applyBorder="1" applyAlignment="1">
      <alignment horizontal="center" vertical="center" wrapText="1"/>
    </xf>
    <xf numFmtId="0" fontId="6" fillId="0" borderId="38" xfId="37" applyFont="1" applyBorder="1" applyAlignment="1">
      <alignment horizontal="center" vertical="center" wrapText="1"/>
    </xf>
    <xf numFmtId="0" fontId="6" fillId="0" borderId="10" xfId="37" applyFont="1" applyBorder="1" applyAlignment="1">
      <alignment horizontal="center" vertical="center" wrapText="1"/>
    </xf>
    <xf numFmtId="0" fontId="5" fillId="0" borderId="5" xfId="37" applyFont="1" applyBorder="1" applyAlignment="1">
      <alignment horizontal="left"/>
    </xf>
    <xf numFmtId="0" fontId="5" fillId="0" borderId="38" xfId="37" applyFont="1" applyBorder="1" applyAlignment="1">
      <alignment wrapText="1"/>
    </xf>
    <xf numFmtId="4" fontId="5" fillId="0" borderId="10" xfId="37" applyNumberFormat="1" applyFont="1" applyBorder="1"/>
    <xf numFmtId="4" fontId="24" fillId="3" borderId="0" xfId="37" applyNumberFormat="1" applyFont="1" applyFill="1"/>
    <xf numFmtId="0" fontId="5" fillId="0" borderId="15" xfId="37" applyFont="1" applyBorder="1" applyAlignment="1">
      <alignment horizontal="left"/>
    </xf>
    <xf numFmtId="0" fontId="5" fillId="0" borderId="31" xfId="37" applyFont="1" applyBorder="1" applyAlignment="1">
      <alignment wrapText="1"/>
    </xf>
    <xf numFmtId="4" fontId="5" fillId="0" borderId="7" xfId="37" applyNumberFormat="1" applyFont="1" applyBorder="1"/>
    <xf numFmtId="4" fontId="3" fillId="0" borderId="0" xfId="37" applyNumberFormat="1"/>
    <xf numFmtId="0" fontId="5" fillId="0" borderId="44" xfId="37" applyFont="1" applyBorder="1" applyAlignment="1">
      <alignment horizontal="center"/>
    </xf>
    <xf numFmtId="0" fontId="5" fillId="0" borderId="3" xfId="37" applyFont="1" applyBorder="1" applyAlignment="1">
      <alignment vertical="center" wrapText="1"/>
    </xf>
    <xf numFmtId="4" fontId="5" fillId="0" borderId="8" xfId="37" applyNumberFormat="1" applyFont="1" applyBorder="1"/>
    <xf numFmtId="0" fontId="6" fillId="0" borderId="44" xfId="37" applyFont="1" applyBorder="1"/>
    <xf numFmtId="0" fontId="6" fillId="0" borderId="3" xfId="37" applyFont="1" applyBorder="1" applyAlignment="1">
      <alignment vertical="center" wrapText="1"/>
    </xf>
    <xf numFmtId="4" fontId="6" fillId="0" borderId="8" xfId="37" applyNumberFormat="1" applyFont="1" applyBorder="1"/>
    <xf numFmtId="0" fontId="6" fillId="0" borderId="3" xfId="37" applyFont="1" applyBorder="1" applyAlignment="1">
      <alignment horizontal="left" wrapText="1"/>
    </xf>
    <xf numFmtId="0" fontId="6" fillId="0" borderId="3" xfId="37" applyFont="1" applyBorder="1" applyAlignment="1">
      <alignment wrapText="1"/>
    </xf>
    <xf numFmtId="0" fontId="5" fillId="0" borderId="44" xfId="37" applyFont="1" applyBorder="1" applyAlignment="1">
      <alignment horizontal="left"/>
    </xf>
    <xf numFmtId="0" fontId="5" fillId="0" borderId="3" xfId="37" applyFont="1" applyBorder="1" applyAlignment="1">
      <alignment wrapText="1"/>
    </xf>
    <xf numFmtId="0" fontId="6" fillId="0" borderId="44" xfId="37" applyFont="1" applyBorder="1" applyAlignment="1">
      <alignment horizontal="right"/>
    </xf>
    <xf numFmtId="0" fontId="6" fillId="0" borderId="44" xfId="37" applyFont="1" applyBorder="1" applyAlignment="1">
      <alignment horizontal="center"/>
    </xf>
    <xf numFmtId="0" fontId="6" fillId="0" borderId="45" xfId="37" applyFont="1" applyBorder="1" applyAlignment="1">
      <alignment horizontal="center"/>
    </xf>
    <xf numFmtId="0" fontId="6" fillId="0" borderId="39" xfId="37" applyFont="1" applyBorder="1" applyAlignment="1">
      <alignment wrapText="1"/>
    </xf>
    <xf numFmtId="4" fontId="6" fillId="0" borderId="9" xfId="37" applyNumberFormat="1" applyFont="1" applyBorder="1"/>
    <xf numFmtId="0" fontId="6" fillId="0" borderId="1" xfId="37" applyFont="1" applyBorder="1"/>
    <xf numFmtId="0" fontId="6" fillId="0" borderId="41" xfId="37" applyFont="1" applyBorder="1" applyAlignment="1">
      <alignment wrapText="1"/>
    </xf>
    <xf numFmtId="4" fontId="6" fillId="0" borderId="40" xfId="37" applyNumberFormat="1" applyFont="1" applyBorder="1"/>
    <xf numFmtId="0" fontId="25" fillId="0" borderId="10" xfId="37" applyFont="1" applyBorder="1" applyAlignment="1">
      <alignment horizontal="center"/>
    </xf>
    <xf numFmtId="4" fontId="5" fillId="0" borderId="24" xfId="37" applyNumberFormat="1" applyFont="1" applyBorder="1" applyAlignment="1">
      <alignment horizontal="center" wrapText="1"/>
    </xf>
    <xf numFmtId="0" fontId="26" fillId="0" borderId="17" xfId="37" applyFont="1" applyBorder="1" applyAlignment="1">
      <alignment wrapText="1"/>
    </xf>
    <xf numFmtId="4" fontId="5" fillId="0" borderId="19" xfId="37" applyNumberFormat="1" applyFont="1" applyBorder="1" applyAlignment="1">
      <alignment horizontal="right"/>
    </xf>
    <xf numFmtId="4" fontId="21" fillId="0" borderId="0" xfId="37" applyNumberFormat="1" applyFont="1"/>
    <xf numFmtId="4" fontId="6" fillId="0" borderId="47" xfId="37" applyNumberFormat="1" applyFont="1" applyBorder="1" applyAlignment="1">
      <alignment horizontal="right"/>
    </xf>
    <xf numFmtId="0" fontId="21" fillId="0" borderId="0" xfId="37" applyFont="1"/>
    <xf numFmtId="0" fontId="26" fillId="0" borderId="17" xfId="37" applyFont="1" applyBorder="1"/>
    <xf numFmtId="0" fontId="27" fillId="0" borderId="17" xfId="37" applyFont="1" applyBorder="1" applyAlignment="1">
      <alignment wrapText="1"/>
    </xf>
    <xf numFmtId="0" fontId="6" fillId="0" borderId="46" xfId="37" applyFont="1" applyBorder="1" applyAlignment="1">
      <alignment wrapText="1"/>
    </xf>
    <xf numFmtId="165" fontId="21" fillId="0" borderId="0" xfId="37" applyNumberFormat="1" applyFont="1"/>
    <xf numFmtId="4" fontId="23" fillId="10" borderId="0" xfId="37" applyNumberFormat="1" applyFont="1" applyFill="1"/>
    <xf numFmtId="0" fontId="20" fillId="0" borderId="43" xfId="37" applyFont="1" applyBorder="1" applyAlignment="1">
      <alignment wrapText="1"/>
    </xf>
    <xf numFmtId="4" fontId="6" fillId="0" borderId="42" xfId="37" applyNumberFormat="1" applyFont="1" applyBorder="1" applyAlignment="1">
      <alignment horizontal="right"/>
    </xf>
    <xf numFmtId="0" fontId="20" fillId="0" borderId="40" xfId="37" applyFont="1" applyBorder="1" applyAlignment="1">
      <alignment wrapText="1"/>
    </xf>
    <xf numFmtId="4" fontId="6" fillId="0" borderId="25" xfId="37" applyNumberFormat="1" applyFont="1" applyBorder="1" applyAlignment="1">
      <alignment horizontal="right"/>
    </xf>
    <xf numFmtId="0" fontId="20" fillId="0" borderId="43" xfId="37" applyFont="1" applyBorder="1"/>
    <xf numFmtId="0" fontId="6" fillId="0" borderId="43" xfId="37" applyFont="1" applyBorder="1" applyAlignment="1">
      <alignment wrapText="1"/>
    </xf>
    <xf numFmtId="0" fontId="6" fillId="0" borderId="8" xfId="37" applyFont="1" applyBorder="1" applyAlignment="1">
      <alignment wrapText="1"/>
    </xf>
    <xf numFmtId="0" fontId="6" fillId="0" borderId="40" xfId="37" applyFont="1" applyBorder="1" applyAlignment="1">
      <alignment wrapText="1"/>
    </xf>
    <xf numFmtId="4" fontId="6" fillId="0" borderId="40" xfId="37" applyNumberFormat="1" applyFont="1" applyBorder="1" applyAlignment="1">
      <alignment horizontal="right"/>
    </xf>
    <xf numFmtId="0" fontId="28" fillId="2" borderId="0" xfId="22" applyFont="1" applyFill="1"/>
    <xf numFmtId="0" fontId="28" fillId="2" borderId="0" xfId="22" applyFont="1" applyFill="1" applyBorder="1"/>
    <xf numFmtId="166" fontId="28" fillId="2" borderId="0" xfId="0" applyNumberFormat="1" applyFont="1" applyFill="1" applyBorder="1" applyAlignment="1" applyProtection="1">
      <protection hidden="1"/>
    </xf>
    <xf numFmtId="166" fontId="28" fillId="2" borderId="21" xfId="0" applyNumberFormat="1" applyFont="1" applyFill="1" applyBorder="1" applyAlignment="1" applyProtection="1">
      <protection hidden="1"/>
    </xf>
    <xf numFmtId="0" fontId="28" fillId="2" borderId="0" xfId="36" applyFont="1" applyFill="1" applyBorder="1"/>
    <xf numFmtId="0" fontId="28" fillId="2" borderId="0" xfId="22" applyFont="1" applyFill="1" applyProtection="1"/>
    <xf numFmtId="0" fontId="28" fillId="2" borderId="0" xfId="22" applyFont="1" applyFill="1" applyBorder="1" applyAlignment="1">
      <alignment vertical="center"/>
    </xf>
    <xf numFmtId="0" fontId="28" fillId="2" borderId="0" xfId="22" applyFont="1" applyFill="1" applyProtection="1">
      <protection locked="0"/>
    </xf>
    <xf numFmtId="0" fontId="30" fillId="5" borderId="33" xfId="36" applyFont="1" applyFill="1" applyBorder="1" applyAlignment="1">
      <alignment horizontal="center" vertical="center" wrapText="1"/>
    </xf>
    <xf numFmtId="0" fontId="30" fillId="5" borderId="19" xfId="36" applyFont="1" applyFill="1" applyBorder="1" applyAlignment="1">
      <alignment horizontal="center" vertical="center" wrapText="1"/>
    </xf>
    <xf numFmtId="2" fontId="30" fillId="5" borderId="6" xfId="22" applyNumberFormat="1" applyFont="1" applyFill="1" applyBorder="1" applyAlignment="1">
      <alignment vertical="center"/>
    </xf>
    <xf numFmtId="165" fontId="30" fillId="5" borderId="5" xfId="22" applyNumberFormat="1" applyFont="1" applyFill="1" applyBorder="1" applyAlignment="1">
      <alignment vertical="center"/>
    </xf>
    <xf numFmtId="4" fontId="30" fillId="5" borderId="24" xfId="22" applyNumberFormat="1" applyFont="1" applyFill="1" applyBorder="1" applyAlignment="1">
      <alignment vertical="center"/>
    </xf>
    <xf numFmtId="2" fontId="30" fillId="2" borderId="16" xfId="22" applyNumberFormat="1" applyFont="1" applyFill="1" applyBorder="1" applyAlignment="1">
      <alignment vertical="center"/>
    </xf>
    <xf numFmtId="165" fontId="30" fillId="2" borderId="30" xfId="22" applyNumberFormat="1" applyFont="1" applyFill="1" applyBorder="1" applyAlignment="1">
      <alignment vertical="center"/>
    </xf>
    <xf numFmtId="4" fontId="30" fillId="2" borderId="0" xfId="22" applyNumberFormat="1" applyFont="1" applyFill="1" applyBorder="1" applyAlignment="1">
      <alignment vertical="center"/>
    </xf>
    <xf numFmtId="4" fontId="30" fillId="2" borderId="14" xfId="22" applyNumberFormat="1" applyFont="1" applyFill="1" applyBorder="1" applyAlignment="1">
      <alignment vertical="center"/>
    </xf>
    <xf numFmtId="2" fontId="28" fillId="2" borderId="16" xfId="22" applyNumberFormat="1" applyFont="1" applyFill="1" applyBorder="1" applyAlignment="1">
      <alignment vertical="center"/>
    </xf>
    <xf numFmtId="4" fontId="28" fillId="2" borderId="14" xfId="22" applyNumberFormat="1" applyFont="1" applyFill="1" applyBorder="1" applyAlignment="1">
      <alignment vertical="center"/>
    </xf>
    <xf numFmtId="4" fontId="28" fillId="2" borderId="0" xfId="22" applyNumberFormat="1" applyFont="1" applyFill="1" applyBorder="1"/>
    <xf numFmtId="4" fontId="28" fillId="2" borderId="0" xfId="22" applyNumberFormat="1" applyFont="1" applyFill="1"/>
    <xf numFmtId="2" fontId="30" fillId="2" borderId="16" xfId="22" applyNumberFormat="1" applyFont="1" applyFill="1" applyBorder="1" applyAlignment="1">
      <alignment vertical="center" wrapText="1"/>
    </xf>
    <xf numFmtId="165" fontId="28" fillId="2" borderId="0" xfId="22" applyNumberFormat="1" applyFont="1" applyFill="1"/>
    <xf numFmtId="2" fontId="28" fillId="0" borderId="16" xfId="22" applyNumberFormat="1" applyFont="1" applyFill="1" applyBorder="1" applyAlignment="1">
      <alignment vertical="center"/>
    </xf>
    <xf numFmtId="4" fontId="28" fillId="0" borderId="14" xfId="22" applyNumberFormat="1" applyFont="1" applyFill="1" applyBorder="1" applyAlignment="1">
      <alignment vertical="center"/>
    </xf>
    <xf numFmtId="49" fontId="28" fillId="2" borderId="0" xfId="22" applyNumberFormat="1" applyFont="1" applyFill="1" applyBorder="1" applyAlignment="1">
      <alignment wrapText="1"/>
    </xf>
    <xf numFmtId="2" fontId="35" fillId="2" borderId="0" xfId="22" applyNumberFormat="1" applyFont="1" applyFill="1" applyBorder="1" applyAlignment="1">
      <alignment vertical="center"/>
    </xf>
    <xf numFmtId="2" fontId="28" fillId="2" borderId="0" xfId="22" applyNumberFormat="1" applyFont="1" applyFill="1" applyBorder="1" applyAlignment="1">
      <alignment wrapText="1"/>
    </xf>
    <xf numFmtId="0" fontId="28" fillId="2" borderId="0" xfId="0" applyNumberFormat="1" applyFont="1" applyFill="1" applyBorder="1" applyAlignment="1" applyProtection="1">
      <protection hidden="1"/>
    </xf>
    <xf numFmtId="166" fontId="28" fillId="11" borderId="48" xfId="0" applyNumberFormat="1" applyFont="1" applyFill="1" applyBorder="1" applyAlignment="1" applyProtection="1">
      <protection hidden="1"/>
    </xf>
    <xf numFmtId="2" fontId="28" fillId="11" borderId="0" xfId="0" applyNumberFormat="1" applyFont="1" applyFill="1" applyBorder="1" applyAlignment="1" applyProtection="1">
      <alignment horizontal="center" vertical="center"/>
      <protection hidden="1"/>
    </xf>
    <xf numFmtId="2" fontId="28" fillId="11" borderId="28" xfId="0" applyNumberFormat="1" applyFont="1" applyFill="1" applyBorder="1" applyAlignment="1" applyProtection="1">
      <alignment horizontal="center" vertical="center"/>
      <protection hidden="1"/>
    </xf>
    <xf numFmtId="0" fontId="28" fillId="11" borderId="0" xfId="0" applyNumberFormat="1" applyFont="1" applyFill="1" applyBorder="1" applyAlignment="1" applyProtection="1">
      <alignment horizontal="left" vertical="center"/>
      <protection hidden="1"/>
    </xf>
    <xf numFmtId="166" fontId="28" fillId="11" borderId="0" xfId="0" applyNumberFormat="1" applyFont="1" applyFill="1" applyBorder="1" applyAlignment="1" applyProtection="1">
      <protection hidden="1"/>
    </xf>
    <xf numFmtId="0" fontId="28" fillId="11" borderId="28" xfId="22" applyFont="1" applyFill="1" applyBorder="1"/>
    <xf numFmtId="166" fontId="28" fillId="11" borderId="50" xfId="0" applyNumberFormat="1" applyFont="1" applyFill="1" applyBorder="1" applyAlignment="1" applyProtection="1">
      <protection hidden="1"/>
    </xf>
    <xf numFmtId="0" fontId="28" fillId="11" borderId="48" xfId="0" applyNumberFormat="1" applyFont="1" applyFill="1" applyBorder="1" applyAlignment="1" applyProtection="1">
      <protection hidden="1"/>
    </xf>
    <xf numFmtId="0" fontId="28" fillId="11" borderId="48" xfId="0" applyNumberFormat="1" applyFont="1" applyFill="1" applyBorder="1" applyAlignment="1" applyProtection="1">
      <alignment vertical="center"/>
      <protection hidden="1"/>
    </xf>
    <xf numFmtId="2" fontId="28" fillId="11" borderId="48" xfId="0" applyNumberFormat="1" applyFont="1" applyFill="1" applyBorder="1" applyAlignment="1" applyProtection="1">
      <alignment horizontal="center" vertical="center"/>
      <protection hidden="1"/>
    </xf>
    <xf numFmtId="2" fontId="28" fillId="11" borderId="49" xfId="0" applyNumberFormat="1" applyFont="1" applyFill="1" applyBorder="1" applyAlignment="1" applyProtection="1">
      <alignment horizontal="center" vertical="center"/>
      <protection hidden="1"/>
    </xf>
    <xf numFmtId="0" fontId="28" fillId="11" borderId="50" xfId="0" applyNumberFormat="1" applyFont="1" applyFill="1" applyBorder="1" applyAlignment="1" applyProtection="1">
      <alignment horizontal="left" vertical="center"/>
      <protection hidden="1"/>
    </xf>
    <xf numFmtId="2" fontId="28" fillId="11" borderId="50" xfId="0" applyNumberFormat="1" applyFont="1" applyFill="1" applyBorder="1" applyAlignment="1" applyProtection="1">
      <alignment horizontal="center" vertical="center"/>
      <protection hidden="1"/>
    </xf>
    <xf numFmtId="166" fontId="28" fillId="11" borderId="4" xfId="0" applyNumberFormat="1" applyFont="1" applyFill="1" applyBorder="1" applyAlignment="1" applyProtection="1">
      <protection hidden="1"/>
    </xf>
    <xf numFmtId="0" fontId="30" fillId="11" borderId="48" xfId="0" applyNumberFormat="1" applyFont="1" applyFill="1" applyBorder="1" applyAlignment="1" applyProtection="1">
      <alignment horizontal="center"/>
      <protection hidden="1"/>
    </xf>
    <xf numFmtId="0" fontId="30" fillId="11" borderId="49" xfId="22" applyNumberFormat="1" applyFont="1" applyFill="1" applyBorder="1" applyAlignment="1">
      <alignment horizontal="center"/>
    </xf>
    <xf numFmtId="2" fontId="28" fillId="11" borderId="48" xfId="0" applyNumberFormat="1" applyFont="1" applyFill="1" applyBorder="1" applyAlignment="1" applyProtection="1">
      <protection hidden="1"/>
    </xf>
    <xf numFmtId="2" fontId="28" fillId="11" borderId="50" xfId="0" applyNumberFormat="1" applyFont="1" applyFill="1" applyBorder="1" applyAlignment="1" applyProtection="1">
      <protection hidden="1"/>
    </xf>
    <xf numFmtId="2" fontId="28" fillId="11" borderId="49" xfId="0" applyNumberFormat="1" applyFont="1" applyFill="1" applyBorder="1" applyAlignment="1" applyProtection="1">
      <protection hidden="1"/>
    </xf>
    <xf numFmtId="2" fontId="28" fillId="11" borderId="32" xfId="0" applyNumberFormat="1" applyFont="1" applyFill="1" applyBorder="1" applyAlignment="1" applyProtection="1">
      <protection hidden="1"/>
    </xf>
    <xf numFmtId="0" fontId="30" fillId="5" borderId="36" xfId="36" applyFont="1" applyFill="1" applyBorder="1" applyAlignment="1">
      <alignment horizontal="center" vertical="center" wrapText="1"/>
    </xf>
    <xf numFmtId="10" fontId="28" fillId="2" borderId="2" xfId="38" applyNumberFormat="1" applyFont="1" applyFill="1" applyBorder="1" applyAlignment="1" applyProtection="1">
      <alignment vertical="center"/>
      <protection hidden="1"/>
    </xf>
    <xf numFmtId="2" fontId="28" fillId="11" borderId="32" xfId="22" applyNumberFormat="1" applyFont="1" applyFill="1" applyBorder="1" applyAlignment="1">
      <alignment horizontal="center" vertical="center"/>
    </xf>
    <xf numFmtId="0" fontId="28" fillId="2" borderId="0" xfId="22" applyNumberFormat="1" applyFont="1" applyFill="1" applyBorder="1"/>
    <xf numFmtId="49" fontId="28" fillId="2" borderId="0" xfId="22" applyNumberFormat="1" applyFont="1" applyFill="1" applyAlignment="1"/>
    <xf numFmtId="49" fontId="28" fillId="2" borderId="0" xfId="22" applyNumberFormat="1" applyFont="1" applyFill="1" applyAlignment="1">
      <alignment wrapText="1"/>
    </xf>
    <xf numFmtId="0" fontId="28" fillId="2" borderId="0" xfId="22" applyNumberFormat="1" applyFont="1" applyFill="1"/>
    <xf numFmtId="164" fontId="28" fillId="2" borderId="0" xfId="22" applyNumberFormat="1" applyFont="1" applyFill="1" applyBorder="1" applyAlignment="1">
      <alignment vertical="center"/>
    </xf>
    <xf numFmtId="0" fontId="28" fillId="2" borderId="0" xfId="22" applyFont="1" applyFill="1" applyBorder="1" applyAlignment="1"/>
    <xf numFmtId="0" fontId="28" fillId="2" borderId="0" xfId="22" applyFont="1" applyFill="1" applyBorder="1" applyAlignment="1">
      <alignment wrapText="1"/>
    </xf>
    <xf numFmtId="0" fontId="28" fillId="2" borderId="0" xfId="22" applyFont="1" applyFill="1" applyBorder="1" applyAlignment="1">
      <alignment horizontal="center" wrapText="1"/>
    </xf>
    <xf numFmtId="0" fontId="28" fillId="2" borderId="0" xfId="22" applyFont="1" applyFill="1" applyBorder="1" applyAlignment="1">
      <alignment horizontal="right"/>
    </xf>
    <xf numFmtId="0" fontId="33" fillId="2" borderId="0" xfId="22" applyFont="1" applyFill="1" applyBorder="1" applyAlignment="1"/>
    <xf numFmtId="0" fontId="28" fillId="2" borderId="0" xfId="22" applyFont="1" applyFill="1" applyAlignment="1">
      <alignment wrapText="1"/>
    </xf>
    <xf numFmtId="0" fontId="33" fillId="2" borderId="0" xfId="22" applyFont="1" applyFill="1" applyBorder="1" applyAlignment="1">
      <alignment horizontal="center" wrapText="1"/>
    </xf>
    <xf numFmtId="0" fontId="33" fillId="2" borderId="0" xfId="22" applyFont="1" applyFill="1" applyBorder="1" applyAlignment="1">
      <alignment horizontal="center"/>
    </xf>
    <xf numFmtId="2" fontId="28" fillId="2" borderId="0" xfId="22" applyNumberFormat="1" applyFont="1" applyFill="1" applyBorder="1" applyAlignment="1">
      <alignment horizontal="right"/>
    </xf>
    <xf numFmtId="0" fontId="34" fillId="2" borderId="0" xfId="22" applyFont="1" applyFill="1" applyBorder="1"/>
    <xf numFmtId="0" fontId="28" fillId="2" borderId="35" xfId="22" applyFont="1" applyFill="1" applyBorder="1"/>
    <xf numFmtId="2" fontId="30" fillId="2" borderId="6" xfId="22" applyNumberFormat="1" applyFont="1" applyFill="1" applyBorder="1" applyAlignment="1">
      <alignment vertical="center"/>
    </xf>
    <xf numFmtId="165" fontId="30" fillId="2" borderId="5" xfId="22" applyNumberFormat="1" applyFont="1" applyFill="1" applyBorder="1" applyAlignment="1">
      <alignment vertical="center"/>
    </xf>
    <xf numFmtId="4" fontId="30" fillId="2" borderId="24" xfId="22" applyNumberFormat="1" applyFont="1" applyFill="1" applyBorder="1" applyAlignment="1">
      <alignment vertical="center"/>
    </xf>
    <xf numFmtId="0" fontId="29" fillId="12" borderId="6" xfId="22" applyFont="1" applyFill="1" applyBorder="1" applyAlignment="1">
      <alignment vertical="center"/>
    </xf>
    <xf numFmtId="0" fontId="30" fillId="8" borderId="33" xfId="22" applyFont="1" applyFill="1" applyBorder="1" applyAlignment="1">
      <alignment horizontal="center" vertical="center" wrapText="1"/>
    </xf>
    <xf numFmtId="2" fontId="30" fillId="8" borderId="6" xfId="22" applyNumberFormat="1" applyFont="1" applyFill="1" applyBorder="1" applyAlignment="1">
      <alignment vertical="center"/>
    </xf>
    <xf numFmtId="165" fontId="30" fillId="2" borderId="30" xfId="36" applyNumberFormat="1" applyFont="1" applyFill="1" applyBorder="1" applyAlignment="1">
      <alignment vertical="center"/>
    </xf>
    <xf numFmtId="165" fontId="28" fillId="0" borderId="30" xfId="36" applyNumberFormat="1" applyFont="1" applyFill="1" applyBorder="1" applyAlignment="1">
      <alignment vertical="center"/>
    </xf>
    <xf numFmtId="165" fontId="28" fillId="2" borderId="30" xfId="36" applyNumberFormat="1" applyFont="1" applyFill="1" applyBorder="1" applyAlignment="1">
      <alignment vertical="center"/>
    </xf>
    <xf numFmtId="2" fontId="28" fillId="2" borderId="16" xfId="22" applyNumberFormat="1" applyFont="1" applyFill="1" applyBorder="1" applyAlignment="1">
      <alignment vertical="center" wrapText="1"/>
    </xf>
    <xf numFmtId="0" fontId="28" fillId="2" borderId="0" xfId="22" applyFont="1" applyFill="1" applyAlignment="1">
      <alignment vertical="center"/>
    </xf>
    <xf numFmtId="0" fontId="30" fillId="8" borderId="36" xfId="22" applyFont="1" applyFill="1" applyBorder="1" applyAlignment="1">
      <alignment horizontal="center" vertical="center" wrapText="1"/>
    </xf>
    <xf numFmtId="4" fontId="30" fillId="2" borderId="14" xfId="36" applyNumberFormat="1" applyFont="1" applyFill="1" applyBorder="1" applyAlignment="1">
      <alignment vertical="center"/>
    </xf>
    <xf numFmtId="0" fontId="32" fillId="2" borderId="0" xfId="22" applyFont="1" applyFill="1" applyBorder="1"/>
    <xf numFmtId="165" fontId="30" fillId="5" borderId="5" xfId="36" applyNumberFormat="1" applyFont="1" applyFill="1" applyBorder="1" applyAlignment="1">
      <alignment vertical="center"/>
    </xf>
    <xf numFmtId="165" fontId="30" fillId="2" borderId="5" xfId="36" applyNumberFormat="1" applyFont="1" applyFill="1" applyBorder="1" applyAlignment="1">
      <alignment vertical="center"/>
    </xf>
    <xf numFmtId="0" fontId="32" fillId="2" borderId="22" xfId="36" applyFont="1" applyFill="1" applyBorder="1" applyAlignment="1"/>
    <xf numFmtId="165" fontId="30" fillId="5" borderId="11" xfId="36" applyNumberFormat="1" applyFont="1" applyFill="1" applyBorder="1" applyAlignment="1">
      <alignment vertical="center"/>
    </xf>
    <xf numFmtId="165" fontId="30" fillId="0" borderId="30" xfId="36" applyNumberFormat="1" applyFont="1" applyFill="1" applyBorder="1" applyAlignment="1">
      <alignment vertical="center"/>
    </xf>
    <xf numFmtId="0" fontId="29" fillId="7" borderId="6" xfId="22" applyFont="1" applyFill="1" applyBorder="1" applyAlignment="1">
      <alignment vertical="center"/>
    </xf>
    <xf numFmtId="0" fontId="30" fillId="6" borderId="33" xfId="22" applyFont="1" applyFill="1" applyBorder="1" applyAlignment="1">
      <alignment horizontal="center" vertical="center" wrapText="1"/>
    </xf>
    <xf numFmtId="0" fontId="30" fillId="6" borderId="19" xfId="22" applyFont="1" applyFill="1" applyBorder="1" applyAlignment="1">
      <alignment horizontal="center" vertical="center" wrapText="1"/>
    </xf>
    <xf numFmtId="0" fontId="30" fillId="6" borderId="22" xfId="22" applyFont="1" applyFill="1" applyBorder="1" applyAlignment="1">
      <alignment horizontal="center" vertical="center" wrapText="1"/>
    </xf>
    <xf numFmtId="0" fontId="30" fillId="6" borderId="37" xfId="22" applyFont="1" applyFill="1" applyBorder="1" applyAlignment="1">
      <alignment horizontal="center" vertical="center" wrapText="1"/>
    </xf>
    <xf numFmtId="0" fontId="30" fillId="6" borderId="18" xfId="22" applyFont="1" applyFill="1" applyBorder="1" applyAlignment="1">
      <alignment horizontal="center" vertical="center" wrapText="1"/>
    </xf>
    <xf numFmtId="165" fontId="30" fillId="6" borderId="5" xfId="22" applyNumberFormat="1" applyFont="1" applyFill="1" applyBorder="1" applyAlignment="1">
      <alignment vertical="center"/>
    </xf>
    <xf numFmtId="0" fontId="29" fillId="2" borderId="0" xfId="22" applyFont="1" applyFill="1" applyBorder="1"/>
    <xf numFmtId="0" fontId="29" fillId="2" borderId="0" xfId="22" applyFont="1" applyFill="1" applyBorder="1" applyAlignment="1">
      <alignment vertical="center"/>
    </xf>
    <xf numFmtId="165" fontId="30" fillId="6" borderId="11" xfId="36" applyNumberFormat="1" applyFont="1" applyFill="1" applyBorder="1" applyAlignment="1">
      <alignment vertical="center"/>
    </xf>
    <xf numFmtId="165" fontId="30" fillId="6" borderId="5" xfId="36" applyNumberFormat="1" applyFont="1" applyFill="1" applyBorder="1" applyAlignment="1">
      <alignment vertical="center"/>
    </xf>
    <xf numFmtId="2" fontId="30" fillId="6" borderId="6" xfId="22" applyNumberFormat="1" applyFont="1" applyFill="1" applyBorder="1" applyAlignment="1">
      <alignment vertical="center"/>
    </xf>
    <xf numFmtId="0" fontId="2" fillId="0" borderId="0" xfId="37" applyFont="1"/>
    <xf numFmtId="0" fontId="29" fillId="9" borderId="6" xfId="22" applyFont="1" applyFill="1" applyBorder="1" applyAlignment="1">
      <alignment vertical="center"/>
    </xf>
    <xf numFmtId="0" fontId="38" fillId="0" borderId="0" xfId="0" applyFont="1"/>
    <xf numFmtId="175" fontId="0" fillId="0" borderId="0" xfId="0" applyNumberFormat="1"/>
    <xf numFmtId="0" fontId="28" fillId="2" borderId="35" xfId="22" applyFont="1" applyFill="1" applyBorder="1" applyAlignment="1"/>
    <xf numFmtId="0" fontId="30" fillId="5" borderId="0" xfId="36" applyFont="1" applyFill="1" applyBorder="1" applyAlignment="1">
      <alignment horizontal="center" vertical="center" wrapText="1"/>
    </xf>
    <xf numFmtId="165" fontId="28" fillId="10" borderId="30" xfId="36" applyNumberFormat="1" applyFont="1" applyFill="1" applyBorder="1" applyAlignment="1">
      <alignment vertical="center"/>
    </xf>
    <xf numFmtId="4" fontId="28" fillId="10" borderId="14" xfId="22" applyNumberFormat="1" applyFont="1" applyFill="1" applyBorder="1" applyAlignment="1">
      <alignment vertical="center"/>
    </xf>
    <xf numFmtId="165" fontId="30" fillId="10" borderId="5" xfId="22" applyNumberFormat="1" applyFont="1" applyFill="1" applyBorder="1" applyAlignment="1">
      <alignment vertical="center"/>
    </xf>
    <xf numFmtId="4" fontId="30" fillId="10" borderId="24" xfId="22" applyNumberFormat="1" applyFont="1" applyFill="1" applyBorder="1" applyAlignment="1">
      <alignment vertical="center"/>
    </xf>
    <xf numFmtId="0" fontId="28" fillId="2" borderId="0" xfId="39" applyFont="1" applyFill="1"/>
    <xf numFmtId="2" fontId="35" fillId="2" borderId="0" xfId="39" applyNumberFormat="1" applyFont="1" applyFill="1" applyBorder="1" applyAlignment="1">
      <alignment vertical="center"/>
    </xf>
    <xf numFmtId="0" fontId="28" fillId="2" borderId="0" xfId="39" applyFont="1" applyFill="1" applyBorder="1"/>
    <xf numFmtId="49" fontId="28" fillId="2" borderId="0" xfId="39" applyNumberFormat="1" applyFont="1" applyFill="1" applyBorder="1" applyAlignment="1">
      <alignment wrapText="1"/>
    </xf>
    <xf numFmtId="49" fontId="28" fillId="2" borderId="0" xfId="39" applyNumberFormat="1" applyFont="1" applyFill="1" applyAlignment="1">
      <alignment horizontal="right" wrapText="1"/>
    </xf>
    <xf numFmtId="165" fontId="28" fillId="2" borderId="21" xfId="39" applyNumberFormat="1" applyFont="1" applyFill="1" applyBorder="1"/>
    <xf numFmtId="0" fontId="28" fillId="2" borderId="21" xfId="39" applyFont="1" applyFill="1" applyBorder="1"/>
    <xf numFmtId="165" fontId="28" fillId="2" borderId="0" xfId="39" applyNumberFormat="1" applyFont="1" applyFill="1" applyBorder="1" applyAlignment="1">
      <alignment vertical="center"/>
    </xf>
    <xf numFmtId="2" fontId="30" fillId="2" borderId="10" xfId="22" applyNumberFormat="1" applyFont="1" applyFill="1" applyBorder="1" applyAlignment="1">
      <alignment vertical="center"/>
    </xf>
    <xf numFmtId="0" fontId="28" fillId="2" borderId="10" xfId="22" applyFont="1" applyFill="1" applyBorder="1"/>
    <xf numFmtId="165" fontId="28" fillId="2" borderId="0" xfId="39" applyNumberFormat="1" applyFont="1" applyFill="1" applyBorder="1"/>
    <xf numFmtId="4" fontId="28" fillId="2" borderId="0" xfId="39" applyNumberFormat="1" applyFont="1" applyFill="1" applyBorder="1"/>
    <xf numFmtId="0" fontId="28" fillId="2" borderId="16" xfId="22" applyFont="1" applyFill="1" applyBorder="1"/>
    <xf numFmtId="0" fontId="30" fillId="5" borderId="22" xfId="36" applyFont="1" applyFill="1" applyBorder="1" applyAlignment="1">
      <alignment horizontal="center" vertical="center" wrapText="1"/>
    </xf>
    <xf numFmtId="0" fontId="30" fillId="5" borderId="37" xfId="36" applyFont="1" applyFill="1" applyBorder="1" applyAlignment="1">
      <alignment horizontal="center" vertical="center" wrapText="1"/>
    </xf>
    <xf numFmtId="0" fontId="30" fillId="5" borderId="11" xfId="36" applyFont="1" applyFill="1" applyBorder="1" applyAlignment="1">
      <alignment horizontal="center" vertical="center" wrapText="1"/>
    </xf>
    <xf numFmtId="166" fontId="31" fillId="2" borderId="0" xfId="0" applyNumberFormat="1" applyFont="1" applyFill="1" applyBorder="1" applyAlignment="1" applyProtection="1">
      <alignment vertical="center"/>
      <protection hidden="1"/>
    </xf>
    <xf numFmtId="166" fontId="28" fillId="2" borderId="0" xfId="0" applyNumberFormat="1" applyFont="1" applyFill="1" applyBorder="1" applyAlignment="1" applyProtection="1">
      <alignment vertical="center"/>
      <protection hidden="1"/>
    </xf>
    <xf numFmtId="165" fontId="30" fillId="14" borderId="30" xfId="22" applyNumberFormat="1" applyFont="1" applyFill="1" applyBorder="1" applyAlignment="1">
      <alignment vertical="center"/>
    </xf>
    <xf numFmtId="165" fontId="30" fillId="14" borderId="5" xfId="22" applyNumberFormat="1" applyFont="1" applyFill="1" applyBorder="1" applyAlignment="1">
      <alignment vertical="center"/>
    </xf>
    <xf numFmtId="165" fontId="30" fillId="14" borderId="30" xfId="36" applyNumberFormat="1" applyFont="1" applyFill="1" applyBorder="1" applyAlignment="1">
      <alignment vertical="center"/>
    </xf>
    <xf numFmtId="165" fontId="28" fillId="14" borderId="30" xfId="36" applyNumberFormat="1" applyFont="1" applyFill="1" applyBorder="1" applyAlignment="1">
      <alignment vertical="center"/>
    </xf>
    <xf numFmtId="165" fontId="30" fillId="14" borderId="5" xfId="36" applyNumberFormat="1" applyFont="1" applyFill="1" applyBorder="1" applyAlignment="1">
      <alignment vertical="center"/>
    </xf>
    <xf numFmtId="165" fontId="28" fillId="2" borderId="0" xfId="22" applyNumberFormat="1" applyFont="1" applyFill="1" applyBorder="1"/>
    <xf numFmtId="165" fontId="28" fillId="2" borderId="0" xfId="22" applyNumberFormat="1" applyFont="1" applyFill="1" applyBorder="1" applyAlignment="1"/>
    <xf numFmtId="165" fontId="28" fillId="2" borderId="0" xfId="22" applyNumberFormat="1" applyFont="1" applyFill="1" applyBorder="1" applyAlignment="1">
      <alignment wrapText="1"/>
    </xf>
    <xf numFmtId="2" fontId="28" fillId="2" borderId="0" xfId="22" applyNumberFormat="1" applyFont="1" applyFill="1" applyBorder="1"/>
    <xf numFmtId="176" fontId="28" fillId="2" borderId="0" xfId="22" applyNumberFormat="1" applyFont="1" applyFill="1"/>
    <xf numFmtId="2" fontId="28" fillId="2" borderId="6" xfId="22" applyNumberFormat="1" applyFont="1" applyFill="1" applyBorder="1" applyAlignment="1">
      <alignment vertical="center"/>
    </xf>
    <xf numFmtId="165" fontId="28" fillId="2" borderId="5" xfId="36" applyNumberFormat="1" applyFont="1" applyFill="1" applyBorder="1" applyAlignment="1">
      <alignment vertical="center"/>
    </xf>
    <xf numFmtId="165" fontId="28" fillId="14" borderId="5" xfId="36" applyNumberFormat="1" applyFont="1" applyFill="1" applyBorder="1" applyAlignment="1">
      <alignment vertical="center"/>
    </xf>
    <xf numFmtId="2" fontId="28" fillId="2" borderId="0" xfId="22" applyNumberFormat="1" applyFont="1" applyFill="1"/>
    <xf numFmtId="0" fontId="40" fillId="2" borderId="22" xfId="36" applyFont="1" applyFill="1" applyBorder="1" applyAlignment="1"/>
    <xf numFmtId="165" fontId="28" fillId="2" borderId="21" xfId="36" applyNumberFormat="1" applyFont="1" applyFill="1" applyBorder="1" applyAlignment="1">
      <alignment horizontal="center" wrapText="1"/>
    </xf>
    <xf numFmtId="0" fontId="17" fillId="2" borderId="0" xfId="22" applyFont="1" applyFill="1"/>
    <xf numFmtId="2" fontId="17" fillId="2" borderId="16" xfId="22" applyNumberFormat="1" applyFont="1" applyFill="1" applyBorder="1" applyAlignment="1">
      <alignment vertical="center"/>
    </xf>
    <xf numFmtId="0" fontId="17" fillId="2" borderId="0" xfId="22" applyFont="1" applyFill="1" applyBorder="1"/>
    <xf numFmtId="0" fontId="43" fillId="2" borderId="0" xfId="22" applyFont="1" applyFill="1" applyBorder="1"/>
    <xf numFmtId="2" fontId="17" fillId="2" borderId="0" xfId="22" applyNumberFormat="1" applyFont="1" applyFill="1" applyBorder="1" applyAlignment="1">
      <alignment horizontal="right"/>
    </xf>
    <xf numFmtId="0" fontId="17" fillId="2" borderId="0" xfId="22" applyFont="1" applyFill="1" applyAlignment="1">
      <alignment wrapText="1"/>
    </xf>
    <xf numFmtId="165" fontId="30" fillId="2" borderId="16" xfId="22" applyNumberFormat="1" applyFont="1" applyFill="1" applyBorder="1" applyAlignment="1">
      <alignment vertical="center"/>
    </xf>
    <xf numFmtId="167" fontId="30" fillId="5" borderId="36" xfId="22" applyNumberFormat="1" applyFont="1" applyFill="1" applyBorder="1" applyAlignment="1">
      <alignment vertical="center"/>
    </xf>
    <xf numFmtId="167" fontId="30" fillId="2" borderId="12" xfId="22" applyNumberFormat="1" applyFont="1" applyFill="1" applyBorder="1" applyAlignment="1">
      <alignment vertical="center"/>
    </xf>
    <xf numFmtId="167" fontId="28" fillId="2" borderId="12" xfId="22" applyNumberFormat="1" applyFont="1" applyFill="1" applyBorder="1" applyAlignment="1">
      <alignment vertical="center"/>
    </xf>
    <xf numFmtId="167" fontId="30" fillId="5" borderId="13" xfId="22" applyNumberFormat="1" applyFont="1" applyFill="1" applyBorder="1" applyAlignment="1">
      <alignment vertical="center"/>
    </xf>
    <xf numFmtId="167" fontId="30" fillId="2" borderId="12" xfId="36" applyNumberFormat="1" applyFont="1" applyFill="1" applyBorder="1" applyAlignment="1">
      <alignment vertical="center"/>
    </xf>
    <xf numFmtId="167" fontId="30" fillId="2" borderId="13" xfId="22" applyNumberFormat="1" applyFont="1" applyFill="1" applyBorder="1" applyAlignment="1">
      <alignment vertical="center"/>
    </xf>
    <xf numFmtId="167" fontId="30" fillId="5" borderId="24" xfId="36" applyNumberFormat="1" applyFont="1" applyFill="1" applyBorder="1" applyAlignment="1">
      <alignment vertical="center"/>
    </xf>
    <xf numFmtId="167" fontId="30" fillId="2" borderId="14" xfId="36" applyNumberFormat="1" applyFont="1" applyFill="1" applyBorder="1" applyAlignment="1">
      <alignment vertical="center"/>
    </xf>
    <xf numFmtId="167" fontId="28" fillId="2" borderId="14" xfId="36" applyNumberFormat="1" applyFont="1" applyFill="1" applyBorder="1" applyAlignment="1">
      <alignment vertical="center"/>
    </xf>
    <xf numFmtId="167" fontId="30" fillId="2" borderId="24" xfId="36" applyNumberFormat="1" applyFont="1" applyFill="1" applyBorder="1" applyAlignment="1">
      <alignment vertical="center"/>
    </xf>
    <xf numFmtId="167" fontId="28" fillId="2" borderId="24" xfId="36" applyNumberFormat="1" applyFont="1" applyFill="1" applyBorder="1" applyAlignment="1">
      <alignment vertical="center"/>
    </xf>
    <xf numFmtId="167" fontId="28" fillId="0" borderId="14" xfId="36" applyNumberFormat="1" applyFont="1" applyFill="1" applyBorder="1" applyAlignment="1">
      <alignment vertical="center"/>
    </xf>
    <xf numFmtId="167" fontId="30" fillId="14" borderId="12" xfId="22" applyNumberFormat="1" applyFont="1" applyFill="1" applyBorder="1" applyAlignment="1">
      <alignment vertical="center"/>
    </xf>
    <xf numFmtId="167" fontId="28" fillId="14" borderId="12" xfId="22" applyNumberFormat="1" applyFont="1" applyFill="1" applyBorder="1" applyAlignment="1">
      <alignment vertical="center"/>
    </xf>
    <xf numFmtId="167" fontId="30" fillId="14" borderId="12" xfId="36" applyNumberFormat="1" applyFont="1" applyFill="1" applyBorder="1" applyAlignment="1">
      <alignment vertical="center"/>
    </xf>
    <xf numFmtId="167" fontId="30" fillId="14" borderId="13" xfId="22" applyNumberFormat="1" applyFont="1" applyFill="1" applyBorder="1" applyAlignment="1">
      <alignment horizontal="center" vertical="center"/>
    </xf>
    <xf numFmtId="167" fontId="28" fillId="14" borderId="13" xfId="22" applyNumberFormat="1" applyFont="1" applyFill="1" applyBorder="1" applyAlignment="1">
      <alignment horizontal="center" vertical="center"/>
    </xf>
    <xf numFmtId="167" fontId="30" fillId="14" borderId="12" xfId="22" applyNumberFormat="1" applyFont="1" applyFill="1" applyBorder="1" applyAlignment="1">
      <alignment horizontal="center" vertical="center"/>
    </xf>
    <xf numFmtId="167" fontId="30" fillId="14" borderId="13" xfId="22" applyNumberFormat="1" applyFont="1" applyFill="1" applyBorder="1" applyAlignment="1">
      <alignment vertical="center"/>
    </xf>
    <xf numFmtId="167" fontId="30" fillId="6" borderId="24" xfId="22" applyNumberFormat="1" applyFont="1" applyFill="1" applyBorder="1" applyAlignment="1">
      <alignment vertical="center"/>
    </xf>
    <xf numFmtId="167" fontId="30" fillId="2" borderId="0" xfId="22" applyNumberFormat="1" applyFont="1" applyFill="1" applyBorder="1" applyAlignment="1">
      <alignment vertical="center"/>
    </xf>
    <xf numFmtId="167" fontId="28" fillId="2" borderId="14" xfId="22" applyNumberFormat="1" applyFont="1" applyFill="1" applyBorder="1" applyAlignment="1">
      <alignment vertical="center"/>
    </xf>
    <xf numFmtId="167" fontId="30" fillId="2" borderId="14" xfId="22" applyNumberFormat="1" applyFont="1" applyFill="1" applyBorder="1" applyAlignment="1">
      <alignment vertical="center"/>
    </xf>
    <xf numFmtId="167" fontId="30" fillId="2" borderId="24" xfId="22" applyNumberFormat="1" applyFont="1" applyFill="1" applyBorder="1" applyAlignment="1">
      <alignment vertical="center"/>
    </xf>
    <xf numFmtId="167" fontId="28" fillId="2" borderId="24" xfId="22" applyNumberFormat="1" applyFont="1" applyFill="1" applyBorder="1" applyAlignment="1">
      <alignment vertical="center"/>
    </xf>
    <xf numFmtId="167" fontId="28" fillId="0" borderId="14" xfId="22" applyNumberFormat="1" applyFont="1" applyFill="1" applyBorder="1" applyAlignment="1">
      <alignment vertical="center"/>
    </xf>
    <xf numFmtId="167" fontId="30" fillId="14" borderId="0" xfId="22" applyNumberFormat="1" applyFont="1" applyFill="1" applyBorder="1" applyAlignment="1">
      <alignment vertical="center"/>
    </xf>
    <xf numFmtId="167" fontId="28" fillId="14" borderId="14" xfId="22" applyNumberFormat="1" applyFont="1" applyFill="1" applyBorder="1" applyAlignment="1">
      <alignment vertical="center"/>
    </xf>
    <xf numFmtId="167" fontId="30" fillId="14" borderId="14" xfId="22" applyNumberFormat="1" applyFont="1" applyFill="1" applyBorder="1" applyAlignment="1">
      <alignment vertical="center"/>
    </xf>
    <xf numFmtId="167" fontId="30" fillId="14" borderId="24" xfId="22" applyNumberFormat="1" applyFont="1" applyFill="1" applyBorder="1" applyAlignment="1">
      <alignment vertical="center"/>
    </xf>
    <xf numFmtId="167" fontId="28" fillId="14" borderId="24" xfId="22" applyNumberFormat="1" applyFont="1" applyFill="1" applyBorder="1" applyAlignment="1">
      <alignment vertical="center"/>
    </xf>
    <xf numFmtId="165" fontId="28" fillId="2" borderId="30" xfId="0" applyNumberFormat="1" applyFont="1" applyFill="1" applyBorder="1"/>
    <xf numFmtId="165" fontId="30" fillId="8" borderId="5" xfId="0" applyNumberFormat="1" applyFont="1" applyFill="1" applyBorder="1"/>
    <xf numFmtId="167" fontId="30" fillId="8" borderId="13" xfId="0" applyNumberFormat="1" applyFont="1" applyFill="1" applyBorder="1"/>
    <xf numFmtId="165" fontId="30" fillId="2" borderId="29" xfId="0" applyNumberFormat="1" applyFont="1" applyFill="1" applyBorder="1"/>
    <xf numFmtId="167" fontId="30" fillId="2" borderId="34" xfId="0" applyNumberFormat="1" applyFont="1" applyFill="1" applyBorder="1"/>
    <xf numFmtId="165" fontId="30" fillId="14" borderId="29" xfId="0" applyNumberFormat="1" applyFont="1" applyFill="1" applyBorder="1"/>
    <xf numFmtId="167" fontId="30" fillId="14" borderId="34" xfId="0" applyNumberFormat="1" applyFont="1" applyFill="1" applyBorder="1"/>
    <xf numFmtId="167" fontId="28" fillId="2" borderId="12" xfId="0" applyNumberFormat="1" applyFont="1" applyFill="1" applyBorder="1"/>
    <xf numFmtId="165" fontId="28" fillId="14" borderId="30" xfId="0" applyNumberFormat="1" applyFont="1" applyFill="1" applyBorder="1"/>
    <xf numFmtId="167" fontId="28" fillId="14" borderId="12" xfId="0" applyNumberFormat="1" applyFont="1" applyFill="1" applyBorder="1"/>
    <xf numFmtId="165" fontId="28" fillId="2" borderId="30" xfId="0" applyNumberFormat="1" applyFont="1" applyFill="1" applyBorder="1" applyAlignment="1">
      <alignment vertical="center"/>
    </xf>
    <xf numFmtId="165" fontId="28" fillId="2" borderId="30" xfId="22" applyNumberFormat="1" applyFont="1" applyFill="1" applyBorder="1" applyAlignment="1">
      <alignment vertical="center"/>
    </xf>
    <xf numFmtId="165" fontId="30" fillId="2" borderId="30" xfId="0" applyNumberFormat="1" applyFont="1" applyFill="1" applyBorder="1"/>
    <xf numFmtId="167" fontId="28" fillId="2" borderId="12" xfId="0" applyNumberFormat="1" applyFont="1" applyFill="1" applyBorder="1" applyAlignment="1">
      <alignment vertical="center"/>
    </xf>
    <xf numFmtId="165" fontId="28" fillId="14" borderId="30" xfId="0" applyNumberFormat="1" applyFont="1" applyFill="1" applyBorder="1" applyAlignment="1">
      <alignment vertical="center"/>
    </xf>
    <xf numFmtId="167" fontId="28" fillId="14" borderId="12" xfId="0" applyNumberFormat="1" applyFont="1" applyFill="1" applyBorder="1" applyAlignment="1">
      <alignment vertical="center"/>
    </xf>
    <xf numFmtId="165" fontId="28" fillId="14" borderId="30" xfId="22" applyNumberFormat="1" applyFont="1" applyFill="1" applyBorder="1" applyAlignment="1">
      <alignment vertical="center"/>
    </xf>
    <xf numFmtId="167" fontId="28" fillId="2" borderId="12" xfId="36" applyNumberFormat="1" applyFont="1" applyFill="1" applyBorder="1" applyAlignment="1">
      <alignment vertical="center"/>
    </xf>
    <xf numFmtId="167" fontId="30" fillId="2" borderId="12" xfId="0" applyNumberFormat="1" applyFont="1" applyFill="1" applyBorder="1"/>
    <xf numFmtId="165" fontId="30" fillId="14" borderId="30" xfId="0" applyNumberFormat="1" applyFont="1" applyFill="1" applyBorder="1"/>
    <xf numFmtId="167" fontId="30" fillId="14" borderId="12" xfId="0" applyNumberFormat="1" applyFont="1" applyFill="1" applyBorder="1"/>
    <xf numFmtId="165" fontId="30" fillId="8" borderId="5" xfId="22" applyNumberFormat="1" applyFont="1" applyFill="1" applyBorder="1" applyAlignment="1">
      <alignment vertical="center"/>
    </xf>
    <xf numFmtId="167" fontId="30" fillId="8" borderId="13" xfId="22" applyNumberFormat="1" applyFont="1" applyFill="1" applyBorder="1" applyAlignment="1">
      <alignment vertical="center"/>
    </xf>
    <xf numFmtId="167" fontId="30" fillId="8" borderId="13" xfId="36" applyNumberFormat="1" applyFont="1" applyFill="1" applyBorder="1" applyAlignment="1">
      <alignment vertical="center"/>
    </xf>
    <xf numFmtId="165" fontId="30" fillId="2" borderId="11" xfId="0" applyNumberFormat="1" applyFont="1" applyFill="1" applyBorder="1"/>
    <xf numFmtId="165" fontId="30" fillId="2" borderId="15" xfId="0" applyNumberFormat="1" applyFont="1" applyFill="1" applyBorder="1"/>
    <xf numFmtId="165" fontId="30" fillId="2" borderId="5" xfId="0" applyNumberFormat="1" applyFont="1" applyFill="1" applyBorder="1"/>
    <xf numFmtId="165" fontId="30" fillId="8" borderId="5" xfId="36" applyNumberFormat="1" applyFont="1" applyFill="1" applyBorder="1" applyAlignment="1">
      <alignment vertical="center"/>
    </xf>
    <xf numFmtId="167" fontId="30" fillId="2" borderId="36" xfId="0" applyNumberFormat="1" applyFont="1" applyFill="1" applyBorder="1"/>
    <xf numFmtId="165" fontId="30" fillId="14" borderId="11" xfId="0" applyNumberFormat="1" applyFont="1" applyFill="1" applyBorder="1"/>
    <xf numFmtId="167" fontId="30" fillId="14" borderId="36" xfId="0" applyNumberFormat="1" applyFont="1" applyFill="1" applyBorder="1"/>
    <xf numFmtId="167" fontId="30" fillId="2" borderId="53" xfId="0" applyNumberFormat="1" applyFont="1" applyFill="1" applyBorder="1"/>
    <xf numFmtId="165" fontId="30" fillId="14" borderId="15" xfId="0" applyNumberFormat="1" applyFont="1" applyFill="1" applyBorder="1"/>
    <xf numFmtId="167" fontId="30" fillId="14" borderId="53" xfId="0" applyNumberFormat="1" applyFont="1" applyFill="1" applyBorder="1"/>
    <xf numFmtId="167" fontId="30" fillId="2" borderId="13" xfId="0" applyNumberFormat="1" applyFont="1" applyFill="1" applyBorder="1"/>
    <xf numFmtId="165" fontId="30" fillId="14" borderId="5" xfId="0" applyNumberFormat="1" applyFont="1" applyFill="1" applyBorder="1"/>
    <xf numFmtId="167" fontId="30" fillId="14" borderId="13" xfId="0" applyNumberFormat="1" applyFont="1" applyFill="1" applyBorder="1"/>
    <xf numFmtId="165" fontId="28" fillId="2" borderId="29" xfId="36" applyNumberFormat="1" applyFont="1" applyFill="1" applyBorder="1"/>
    <xf numFmtId="165" fontId="28" fillId="2" borderId="30" xfId="36" applyNumberFormat="1" applyFont="1" applyFill="1" applyBorder="1"/>
    <xf numFmtId="167" fontId="28" fillId="2" borderId="34" xfId="0" applyNumberFormat="1" applyFont="1" applyFill="1" applyBorder="1"/>
    <xf numFmtId="165" fontId="28" fillId="14" borderId="29" xfId="0" applyNumberFormat="1" applyFont="1" applyFill="1" applyBorder="1"/>
    <xf numFmtId="167" fontId="28" fillId="14" borderId="34" xfId="0" applyNumberFormat="1" applyFont="1" applyFill="1" applyBorder="1"/>
    <xf numFmtId="167" fontId="28" fillId="14" borderId="12" xfId="0" applyNumberFormat="1" applyFont="1" applyFill="1" applyBorder="1" applyAlignment="1">
      <alignment horizontal="center"/>
    </xf>
    <xf numFmtId="167" fontId="30" fillId="2" borderId="13" xfId="36" applyNumberFormat="1" applyFont="1" applyFill="1" applyBorder="1" applyAlignment="1">
      <alignment vertical="center"/>
    </xf>
    <xf numFmtId="167" fontId="30" fillId="5" borderId="19" xfId="22" applyNumberFormat="1" applyFont="1" applyFill="1" applyBorder="1" applyAlignment="1">
      <alignment vertical="center"/>
    </xf>
    <xf numFmtId="167" fontId="28" fillId="14" borderId="12" xfId="22" applyNumberFormat="1" applyFont="1" applyFill="1" applyBorder="1" applyAlignment="1">
      <alignment horizontal="center" vertical="center"/>
    </xf>
    <xf numFmtId="175" fontId="59" fillId="46" borderId="64" xfId="174" applyNumberFormat="1" applyFont="1" applyFill="1" applyBorder="1" applyAlignment="1" applyProtection="1">
      <alignment horizontal="center" vertical="center"/>
      <protection hidden="1"/>
    </xf>
    <xf numFmtId="175" fontId="60" fillId="46" borderId="64" xfId="174" applyNumberFormat="1" applyFont="1" applyFill="1" applyBorder="1" applyAlignment="1" applyProtection="1">
      <alignment horizontal="center" vertical="center"/>
      <protection hidden="1"/>
    </xf>
    <xf numFmtId="167" fontId="28" fillId="14" borderId="12" xfId="22" applyNumberFormat="1" applyFont="1" applyFill="1" applyBorder="1" applyAlignment="1">
      <alignment horizontal="right" vertical="center"/>
    </xf>
    <xf numFmtId="175" fontId="59" fillId="2" borderId="30" xfId="169" applyNumberFormat="1" applyFont="1" applyFill="1" applyBorder="1" applyAlignment="1" applyProtection="1">
      <alignment horizontal="center" vertical="center"/>
      <protection hidden="1"/>
    </xf>
    <xf numFmtId="167" fontId="30" fillId="5" borderId="24" xfId="22" applyNumberFormat="1" applyFont="1" applyFill="1" applyBorder="1" applyAlignment="1">
      <alignment vertical="center"/>
    </xf>
    <xf numFmtId="175" fontId="59" fillId="2" borderId="30" xfId="179" applyNumberFormat="1" applyFont="1" applyFill="1" applyBorder="1" applyAlignment="1" applyProtection="1">
      <alignment horizontal="center" vertical="center"/>
      <protection hidden="1"/>
    </xf>
    <xf numFmtId="175" fontId="59" fillId="2" borderId="30" xfId="84" applyNumberFormat="1" applyFont="1" applyFill="1" applyBorder="1" applyAlignment="1" applyProtection="1">
      <alignment horizontal="center" vertical="center"/>
      <protection hidden="1"/>
    </xf>
    <xf numFmtId="175" fontId="59" fillId="2" borderId="30" xfId="98" applyNumberFormat="1" applyFont="1" applyFill="1" applyBorder="1" applyAlignment="1" applyProtection="1">
      <alignment horizontal="center" vertical="center"/>
      <protection hidden="1"/>
    </xf>
    <xf numFmtId="175" fontId="59" fillId="2" borderId="30" xfId="184" applyNumberFormat="1" applyFont="1" applyFill="1" applyBorder="1" applyAlignment="1" applyProtection="1">
      <alignment horizontal="center" vertical="center"/>
      <protection hidden="1"/>
    </xf>
    <xf numFmtId="175" fontId="59" fillId="2" borderId="30" xfId="181" applyNumberFormat="1" applyFont="1" applyFill="1" applyBorder="1" applyAlignment="1" applyProtection="1">
      <alignment horizontal="center" vertical="center"/>
      <protection hidden="1"/>
    </xf>
    <xf numFmtId="175" fontId="59" fillId="2" borderId="30" xfId="85" applyNumberFormat="1" applyFont="1" applyFill="1" applyBorder="1" applyAlignment="1" applyProtection="1">
      <alignment horizontal="center" vertical="center"/>
      <protection hidden="1"/>
    </xf>
    <xf numFmtId="175" fontId="59" fillId="2" borderId="30" xfId="171" applyNumberFormat="1" applyFont="1" applyFill="1" applyBorder="1" applyAlignment="1" applyProtection="1">
      <alignment horizontal="center" vertical="center"/>
      <protection hidden="1"/>
    </xf>
    <xf numFmtId="175" fontId="59" fillId="2" borderId="30" xfId="180" applyNumberFormat="1" applyFont="1" applyFill="1" applyBorder="1" applyAlignment="1" applyProtection="1">
      <alignment horizontal="center" vertical="center"/>
      <protection hidden="1"/>
    </xf>
    <xf numFmtId="175" fontId="59" fillId="2" borderId="30" xfId="172" applyNumberFormat="1" applyFont="1" applyFill="1" applyBorder="1" applyAlignment="1" applyProtection="1">
      <alignment horizontal="center" vertical="center"/>
      <protection hidden="1"/>
    </xf>
    <xf numFmtId="175" fontId="59" fillId="2" borderId="30" xfId="90" applyNumberFormat="1" applyFont="1" applyFill="1" applyBorder="1" applyAlignment="1" applyProtection="1">
      <alignment horizontal="center" vertical="center"/>
      <protection hidden="1"/>
    </xf>
    <xf numFmtId="175" fontId="59" fillId="2" borderId="30" xfId="83" applyNumberFormat="1" applyFont="1" applyFill="1" applyBorder="1" applyAlignment="1" applyProtection="1">
      <alignment horizontal="center" vertical="center"/>
      <protection hidden="1"/>
    </xf>
    <xf numFmtId="175" fontId="59" fillId="2" borderId="63" xfId="99" applyNumberFormat="1" applyFont="1" applyFill="1" applyBorder="1" applyAlignment="1" applyProtection="1">
      <alignment horizontal="center" vertical="center"/>
      <protection hidden="1"/>
    </xf>
    <xf numFmtId="175" fontId="59" fillId="2" borderId="63" xfId="104" applyNumberFormat="1" applyFont="1" applyFill="1" applyBorder="1" applyAlignment="1" applyProtection="1">
      <alignment horizontal="center" vertical="center"/>
      <protection hidden="1"/>
    </xf>
    <xf numFmtId="175" fontId="59" fillId="2" borderId="63" xfId="81" applyNumberFormat="1" applyFont="1" applyFill="1" applyBorder="1" applyAlignment="1" applyProtection="1">
      <alignment horizontal="center" vertical="center"/>
      <protection hidden="1"/>
    </xf>
    <xf numFmtId="175" fontId="59" fillId="2" borderId="63" xfId="174" applyNumberFormat="1" applyFont="1" applyFill="1" applyBorder="1" applyAlignment="1" applyProtection="1">
      <alignment horizontal="center" vertical="center"/>
      <protection hidden="1"/>
    </xf>
    <xf numFmtId="175" fontId="59" fillId="2" borderId="30" xfId="175" applyNumberFormat="1" applyFont="1" applyFill="1" applyBorder="1" applyAlignment="1" applyProtection="1">
      <alignment horizontal="center"/>
      <protection hidden="1"/>
    </xf>
    <xf numFmtId="175" fontId="59" fillId="2" borderId="30" xfId="87" applyNumberFormat="1" applyFont="1" applyFill="1" applyBorder="1" applyAlignment="1" applyProtection="1">
      <alignment horizontal="center"/>
      <protection hidden="1"/>
    </xf>
    <xf numFmtId="175" fontId="59" fillId="2" borderId="30" xfId="92" applyNumberFormat="1" applyFont="1" applyFill="1" applyBorder="1" applyAlignment="1" applyProtection="1">
      <alignment horizontal="center"/>
      <protection hidden="1"/>
    </xf>
    <xf numFmtId="175" fontId="59" fillId="2" borderId="30" xfId="89" applyNumberFormat="1" applyFont="1" applyFill="1" applyBorder="1" applyAlignment="1" applyProtection="1">
      <alignment horizontal="center"/>
      <protection hidden="1"/>
    </xf>
    <xf numFmtId="175" fontId="59" fillId="2" borderId="30" xfId="177" applyNumberFormat="1" applyFont="1" applyFill="1" applyBorder="1" applyAlignment="1" applyProtection="1">
      <alignment horizontal="center"/>
      <protection hidden="1"/>
    </xf>
    <xf numFmtId="175" fontId="59" fillId="2" borderId="30" xfId="173" applyNumberFormat="1" applyFont="1" applyFill="1" applyBorder="1" applyAlignment="1" applyProtection="1">
      <alignment horizontal="center"/>
      <protection hidden="1"/>
    </xf>
    <xf numFmtId="175" fontId="59" fillId="2" borderId="30" xfId="183" applyNumberFormat="1" applyFont="1" applyFill="1" applyBorder="1" applyAlignment="1" applyProtection="1">
      <alignment horizontal="center"/>
      <protection hidden="1"/>
    </xf>
    <xf numFmtId="175" fontId="63" fillId="2" borderId="30" xfId="93" applyNumberFormat="1" applyFont="1" applyFill="1" applyBorder="1" applyAlignment="1" applyProtection="1">
      <alignment horizontal="center" vertical="center"/>
      <protection hidden="1"/>
    </xf>
    <xf numFmtId="175" fontId="63" fillId="2" borderId="11" xfId="93" applyNumberFormat="1" applyFont="1" applyFill="1" applyBorder="1" applyAlignment="1" applyProtection="1">
      <alignment horizontal="center" vertical="center"/>
      <protection hidden="1"/>
    </xf>
    <xf numFmtId="175" fontId="63" fillId="2" borderId="30" xfId="171" applyNumberFormat="1" applyFont="1" applyFill="1" applyBorder="1" applyAlignment="1" applyProtection="1">
      <alignment horizontal="center" vertical="center"/>
      <protection hidden="1"/>
    </xf>
    <xf numFmtId="175" fontId="63" fillId="2" borderId="11" xfId="171" applyNumberFormat="1" applyFont="1" applyFill="1" applyBorder="1" applyAlignment="1" applyProtection="1">
      <alignment horizontal="center" vertical="center"/>
      <protection hidden="1"/>
    </xf>
    <xf numFmtId="175" fontId="63" fillId="2" borderId="30" xfId="180" applyNumberFormat="1" applyFont="1" applyFill="1" applyBorder="1" applyAlignment="1" applyProtection="1">
      <alignment horizontal="center" vertical="center"/>
      <protection hidden="1"/>
    </xf>
    <xf numFmtId="175" fontId="63" fillId="2" borderId="11" xfId="180" applyNumberFormat="1" applyFont="1" applyFill="1" applyBorder="1" applyAlignment="1" applyProtection="1">
      <alignment horizontal="center" vertical="center"/>
      <protection hidden="1"/>
    </xf>
    <xf numFmtId="175" fontId="63" fillId="2" borderId="30" xfId="91" applyNumberFormat="1" applyFont="1" applyFill="1" applyBorder="1" applyAlignment="1" applyProtection="1">
      <alignment horizontal="center" vertical="center"/>
      <protection hidden="1"/>
    </xf>
    <xf numFmtId="175" fontId="63" fillId="2" borderId="30" xfId="178" applyNumberFormat="1" applyFont="1" applyFill="1" applyBorder="1" applyAlignment="1" applyProtection="1">
      <alignment horizontal="center" vertical="center"/>
      <protection hidden="1"/>
    </xf>
    <xf numFmtId="175" fontId="63" fillId="2" borderId="30" xfId="176" applyNumberFormat="1" applyFont="1" applyFill="1" applyBorder="1" applyAlignment="1" applyProtection="1">
      <alignment horizontal="center" vertical="center"/>
      <protection hidden="1"/>
    </xf>
    <xf numFmtId="175" fontId="63" fillId="2" borderId="11" xfId="182" applyNumberFormat="1" applyFont="1" applyFill="1" applyBorder="1" applyAlignment="1" applyProtection="1">
      <alignment horizontal="center" vertical="center"/>
      <protection hidden="1"/>
    </xf>
    <xf numFmtId="175" fontId="63" fillId="2" borderId="11" xfId="104" applyNumberFormat="1" applyFont="1" applyFill="1" applyBorder="1" applyAlignment="1" applyProtection="1">
      <alignment horizontal="center" vertical="center"/>
      <protection hidden="1"/>
    </xf>
    <xf numFmtId="175" fontId="63" fillId="2" borderId="11" xfId="81" applyNumberFormat="1" applyFont="1" applyFill="1" applyBorder="1" applyAlignment="1" applyProtection="1">
      <alignment horizontal="center" vertical="center"/>
      <protection hidden="1"/>
    </xf>
    <xf numFmtId="175" fontId="63" fillId="46" borderId="5" xfId="182" applyNumberFormat="1" applyFont="1" applyFill="1" applyBorder="1" applyAlignment="1" applyProtection="1">
      <alignment horizontal="center" vertical="center"/>
      <protection hidden="1"/>
    </xf>
    <xf numFmtId="175" fontId="63" fillId="46" borderId="5" xfId="104" applyNumberFormat="1" applyFont="1" applyFill="1" applyBorder="1" applyAlignment="1" applyProtection="1">
      <alignment horizontal="center" vertical="center"/>
      <protection hidden="1"/>
    </xf>
    <xf numFmtId="175" fontId="63" fillId="46" borderId="5" xfId="81" applyNumberFormat="1" applyFont="1" applyFill="1" applyBorder="1" applyAlignment="1" applyProtection="1">
      <alignment horizontal="center" vertical="center"/>
      <protection hidden="1"/>
    </xf>
    <xf numFmtId="175" fontId="63" fillId="2" borderId="30" xfId="182" applyNumberFormat="1" applyFont="1" applyFill="1" applyBorder="1" applyAlignment="1" applyProtection="1">
      <alignment horizontal="center" vertical="center"/>
      <protection hidden="1"/>
    </xf>
    <xf numFmtId="175" fontId="63" fillId="2" borderId="65" xfId="182" applyNumberFormat="1" applyFont="1" applyFill="1" applyBorder="1" applyAlignment="1" applyProtection="1">
      <alignment horizontal="center" vertical="center"/>
      <protection hidden="1"/>
    </xf>
    <xf numFmtId="175" fontId="63" fillId="2" borderId="30" xfId="104" applyNumberFormat="1" applyFont="1" applyFill="1" applyBorder="1" applyAlignment="1" applyProtection="1">
      <alignment horizontal="center" vertical="center"/>
      <protection hidden="1"/>
    </xf>
    <xf numFmtId="175" fontId="63" fillId="2" borderId="65" xfId="104" applyNumberFormat="1" applyFont="1" applyFill="1" applyBorder="1" applyAlignment="1" applyProtection="1">
      <alignment horizontal="center" vertical="center"/>
      <protection hidden="1"/>
    </xf>
    <xf numFmtId="175" fontId="63" fillId="2" borderId="30" xfId="81" applyNumberFormat="1" applyFont="1" applyFill="1" applyBorder="1" applyAlignment="1" applyProtection="1">
      <alignment horizontal="center" vertical="center"/>
      <protection hidden="1"/>
    </xf>
    <xf numFmtId="175" fontId="63" fillId="2" borderId="65" xfId="81" applyNumberFormat="1" applyFont="1" applyFill="1" applyBorder="1" applyAlignment="1" applyProtection="1">
      <alignment horizontal="center" vertical="center"/>
      <protection hidden="1"/>
    </xf>
    <xf numFmtId="175" fontId="63" fillId="14" borderId="5" xfId="177" applyNumberFormat="1" applyFont="1" applyFill="1" applyBorder="1" applyAlignment="1" applyProtection="1">
      <alignment horizontal="center"/>
      <protection hidden="1"/>
    </xf>
    <xf numFmtId="175" fontId="63" fillId="14" borderId="5" xfId="173" applyNumberFormat="1" applyFont="1" applyFill="1" applyBorder="1" applyAlignment="1" applyProtection="1">
      <alignment horizontal="center"/>
      <protection hidden="1"/>
    </xf>
    <xf numFmtId="175" fontId="63" fillId="14" borderId="5" xfId="183" applyNumberFormat="1" applyFont="1" applyFill="1" applyBorder="1" applyAlignment="1" applyProtection="1">
      <alignment horizontal="center"/>
      <protection hidden="1"/>
    </xf>
    <xf numFmtId="167" fontId="28" fillId="14" borderId="12" xfId="0" applyNumberFormat="1" applyFont="1" applyFill="1" applyBorder="1" applyAlignment="1">
      <alignment horizontal="right"/>
    </xf>
    <xf numFmtId="0" fontId="30" fillId="5" borderId="26" xfId="36" applyFont="1" applyFill="1" applyBorder="1" applyAlignment="1">
      <alignment horizontal="center" vertical="center"/>
    </xf>
    <xf numFmtId="0" fontId="30" fillId="5" borderId="27" xfId="36" applyFont="1" applyFill="1" applyBorder="1" applyAlignment="1">
      <alignment horizontal="center" vertical="center"/>
    </xf>
    <xf numFmtId="166" fontId="28" fillId="5" borderId="6" xfId="0" applyNumberFormat="1" applyFont="1" applyFill="1" applyBorder="1" applyAlignment="1" applyProtection="1">
      <alignment horizontal="center" vertical="center"/>
      <protection hidden="1"/>
    </xf>
    <xf numFmtId="166" fontId="28" fillId="5" borderId="23" xfId="0" applyNumberFormat="1" applyFont="1" applyFill="1" applyBorder="1" applyAlignment="1" applyProtection="1">
      <alignment horizontal="center" vertical="center"/>
      <protection hidden="1"/>
    </xf>
    <xf numFmtId="166" fontId="28" fillId="5" borderId="24" xfId="0" applyNumberFormat="1" applyFont="1" applyFill="1" applyBorder="1" applyAlignment="1" applyProtection="1">
      <alignment horizontal="center" vertical="center"/>
      <protection hidden="1"/>
    </xf>
    <xf numFmtId="0" fontId="37" fillId="13" borderId="20" xfId="22" applyFont="1" applyFill="1" applyBorder="1" applyAlignment="1">
      <alignment horizontal="center" vertical="center"/>
    </xf>
    <xf numFmtId="0" fontId="37" fillId="13" borderId="18" xfId="22" applyFont="1" applyFill="1" applyBorder="1" applyAlignment="1">
      <alignment horizontal="center" vertical="center"/>
    </xf>
    <xf numFmtId="166" fontId="28" fillId="0" borderId="16" xfId="0" applyNumberFormat="1" applyFont="1" applyFill="1" applyBorder="1" applyAlignment="1" applyProtection="1">
      <alignment horizontal="center" vertical="center"/>
      <protection hidden="1"/>
    </xf>
    <xf numFmtId="166" fontId="28" fillId="0" borderId="0" xfId="0" applyNumberFormat="1" applyFont="1" applyFill="1" applyBorder="1" applyAlignment="1" applyProtection="1">
      <alignment horizontal="center" vertical="center"/>
      <protection hidden="1"/>
    </xf>
    <xf numFmtId="166" fontId="28" fillId="5" borderId="10" xfId="0" applyNumberFormat="1" applyFont="1" applyFill="1" applyBorder="1" applyAlignment="1" applyProtection="1">
      <alignment horizontal="center" vertical="center"/>
      <protection hidden="1"/>
    </xf>
    <xf numFmtId="0" fontId="30" fillId="5" borderId="51" xfId="36" applyFont="1" applyFill="1" applyBorder="1" applyAlignment="1">
      <alignment horizontal="center" vertical="center"/>
    </xf>
    <xf numFmtId="0" fontId="30" fillId="5" borderId="52" xfId="36" applyFont="1" applyFill="1" applyBorder="1" applyAlignment="1">
      <alignment horizontal="center" vertical="center"/>
    </xf>
    <xf numFmtId="166" fontId="28" fillId="0" borderId="14" xfId="0" applyNumberFormat="1" applyFont="1" applyFill="1" applyBorder="1" applyAlignment="1" applyProtection="1">
      <alignment horizontal="center" vertical="center"/>
      <protection hidden="1"/>
    </xf>
    <xf numFmtId="0" fontId="39" fillId="2" borderId="22" xfId="36" applyFont="1" applyFill="1" applyBorder="1" applyAlignment="1">
      <alignment horizontal="center" wrapText="1"/>
    </xf>
    <xf numFmtId="165" fontId="39" fillId="2" borderId="22" xfId="36" applyNumberFormat="1" applyFont="1" applyFill="1" applyBorder="1" applyAlignment="1">
      <alignment horizontal="center" wrapText="1"/>
    </xf>
    <xf numFmtId="0" fontId="30" fillId="8" borderId="51" xfId="22" applyFont="1" applyFill="1" applyBorder="1" applyAlignment="1">
      <alignment horizontal="center" vertical="center"/>
    </xf>
    <xf numFmtId="0" fontId="30" fillId="8" borderId="52" xfId="22" applyFont="1" applyFill="1" applyBorder="1" applyAlignment="1">
      <alignment horizontal="center" vertical="center"/>
    </xf>
    <xf numFmtId="166" fontId="28" fillId="0" borderId="16" xfId="0" applyNumberFormat="1" applyFont="1" applyFill="1" applyBorder="1" applyAlignment="1">
      <alignment horizontal="center" vertical="center"/>
    </xf>
    <xf numFmtId="166" fontId="28" fillId="0" borderId="14" xfId="0" applyNumberFormat="1" applyFont="1" applyFill="1" applyBorder="1" applyAlignment="1">
      <alignment horizontal="center" vertical="center"/>
    </xf>
    <xf numFmtId="166" fontId="28" fillId="8" borderId="6" xfId="0" applyNumberFormat="1" applyFont="1" applyFill="1" applyBorder="1" applyAlignment="1">
      <alignment horizontal="center" vertical="center"/>
    </xf>
    <xf numFmtId="166" fontId="28" fillId="8" borderId="24" xfId="0" applyNumberFormat="1" applyFont="1" applyFill="1" applyBorder="1" applyAlignment="1">
      <alignment horizontal="center" vertical="center"/>
    </xf>
    <xf numFmtId="166" fontId="28" fillId="0" borderId="0" xfId="0" applyNumberFormat="1" applyFont="1" applyFill="1" applyBorder="1" applyAlignment="1">
      <alignment horizontal="center" vertical="center"/>
    </xf>
    <xf numFmtId="166" fontId="28" fillId="8" borderId="6" xfId="0" applyNumberFormat="1" applyFont="1" applyFill="1" applyBorder="1" applyAlignment="1" applyProtection="1">
      <alignment horizontal="center" vertical="center"/>
      <protection hidden="1"/>
    </xf>
    <xf numFmtId="166" fontId="28" fillId="8" borderId="23" xfId="0" applyNumberFormat="1" applyFont="1" applyFill="1" applyBorder="1" applyAlignment="1" applyProtection="1">
      <alignment horizontal="center" vertical="center"/>
      <protection hidden="1"/>
    </xf>
    <xf numFmtId="166" fontId="28" fillId="8" borderId="24" xfId="0" applyNumberFormat="1" applyFont="1" applyFill="1" applyBorder="1" applyAlignment="1" applyProtection="1">
      <alignment horizontal="center" vertical="center"/>
      <protection hidden="1"/>
    </xf>
    <xf numFmtId="0" fontId="41" fillId="2" borderId="22" xfId="22" applyFont="1" applyFill="1" applyBorder="1" applyAlignment="1">
      <alignment horizontal="center"/>
    </xf>
    <xf numFmtId="0" fontId="37" fillId="12" borderId="20" xfId="22" applyFont="1" applyFill="1" applyBorder="1" applyAlignment="1">
      <alignment horizontal="center" vertical="center"/>
    </xf>
    <xf numFmtId="0" fontId="37" fillId="12" borderId="18" xfId="22" applyFont="1" applyFill="1" applyBorder="1" applyAlignment="1">
      <alignment horizontal="center" vertical="center"/>
    </xf>
    <xf numFmtId="166" fontId="28" fillId="6" borderId="6" xfId="0" applyNumberFormat="1" applyFont="1" applyFill="1" applyBorder="1" applyAlignment="1">
      <alignment horizontal="center" vertical="center"/>
    </xf>
    <xf numFmtId="166" fontId="28" fillId="6" borderId="24" xfId="0" applyNumberFormat="1" applyFont="1" applyFill="1" applyBorder="1" applyAlignment="1">
      <alignment horizontal="center" vertical="center"/>
    </xf>
    <xf numFmtId="166" fontId="28" fillId="6" borderId="6" xfId="0" applyNumberFormat="1" applyFont="1" applyFill="1" applyBorder="1" applyAlignment="1" applyProtection="1">
      <alignment horizontal="center" vertical="center"/>
      <protection hidden="1"/>
    </xf>
    <xf numFmtId="166" fontId="28" fillId="6" borderId="23" xfId="0" applyNumberFormat="1" applyFont="1" applyFill="1" applyBorder="1" applyAlignment="1" applyProtection="1">
      <alignment horizontal="center" vertical="center"/>
      <protection hidden="1"/>
    </xf>
    <xf numFmtId="166" fontId="28" fillId="6" borderId="24" xfId="0" applyNumberFormat="1" applyFont="1" applyFill="1" applyBorder="1" applyAlignment="1" applyProtection="1">
      <alignment horizontal="center" vertical="center"/>
      <protection hidden="1"/>
    </xf>
    <xf numFmtId="0" fontId="37" fillId="7" borderId="20" xfId="22" applyFont="1" applyFill="1" applyBorder="1" applyAlignment="1">
      <alignment horizontal="center" vertical="center"/>
    </xf>
    <xf numFmtId="0" fontId="37" fillId="7" borderId="18" xfId="22" applyFont="1" applyFill="1" applyBorder="1" applyAlignment="1">
      <alignment horizontal="center" vertical="center"/>
    </xf>
    <xf numFmtId="0" fontId="30" fillId="6" borderId="26" xfId="22" applyFont="1" applyFill="1" applyBorder="1" applyAlignment="1">
      <alignment horizontal="center" vertical="center"/>
    </xf>
    <xf numFmtId="0" fontId="30" fillId="6" borderId="27" xfId="22" applyFont="1" applyFill="1" applyBorder="1" applyAlignment="1">
      <alignment horizontal="center" vertical="center"/>
    </xf>
    <xf numFmtId="0" fontId="42" fillId="2" borderId="22" xfId="22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 textRotation="45"/>
    </xf>
    <xf numFmtId="0" fontId="17" fillId="0" borderId="0" xfId="0" applyFont="1" applyFill="1" applyAlignment="1">
      <alignment horizontal="center" vertical="center" textRotation="45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6" fontId="17" fillId="0" borderId="0" xfId="0" applyNumberFormat="1" applyFont="1" applyFill="1" applyAlignment="1">
      <alignment horizontal="center" vertical="center"/>
    </xf>
  </cellXfs>
  <cellStyles count="185">
    <cellStyle name="1 indent" xfId="1"/>
    <cellStyle name="1 indent 2" xfId="150"/>
    <cellStyle name="1 indent 3" xfId="94"/>
    <cellStyle name="2 indents" xfId="2"/>
    <cellStyle name="2 indents 2" xfId="151"/>
    <cellStyle name="2 indents 3" xfId="95"/>
    <cellStyle name="20% - Accent1" xfId="56" builtinId="30" customBuiltin="1"/>
    <cellStyle name="20% - Accent1 2" xfId="138"/>
    <cellStyle name="20% - Accent2" xfId="60" builtinId="34" customBuiltin="1"/>
    <cellStyle name="20% - Accent2 2" xfId="140"/>
    <cellStyle name="20% - Accent3" xfId="64" builtinId="38" customBuiltin="1"/>
    <cellStyle name="20% - Accent3 2" xfId="142"/>
    <cellStyle name="20% - Accent4" xfId="68" builtinId="42" customBuiltin="1"/>
    <cellStyle name="20% - Accent4 2" xfId="144"/>
    <cellStyle name="20% - Accent5" xfId="72" builtinId="46" customBuiltin="1"/>
    <cellStyle name="20% - Accent5 2" xfId="146"/>
    <cellStyle name="20% - Accent6" xfId="76" builtinId="50" customBuiltin="1"/>
    <cellStyle name="20% - Accent6 2" xfId="148"/>
    <cellStyle name="3 indents" xfId="3"/>
    <cellStyle name="3 indents 2" xfId="152"/>
    <cellStyle name="3 indents 3" xfId="96"/>
    <cellStyle name="4 indents" xfId="4"/>
    <cellStyle name="4 indents 2" xfId="161"/>
    <cellStyle name="4 indents 3" xfId="97"/>
    <cellStyle name="40% - Accent1" xfId="57" builtinId="31" customBuiltin="1"/>
    <cellStyle name="40% - Accent1 2" xfId="139"/>
    <cellStyle name="40% - Accent2" xfId="61" builtinId="35" customBuiltin="1"/>
    <cellStyle name="40% - Accent2 2" xfId="141"/>
    <cellStyle name="40% - Accent3" xfId="65" builtinId="39" customBuiltin="1"/>
    <cellStyle name="40% - Accent3 2" xfId="143"/>
    <cellStyle name="40% - Accent4" xfId="69" builtinId="43" customBuiltin="1"/>
    <cellStyle name="40% - Accent4 2" xfId="145"/>
    <cellStyle name="40% - Accent5" xfId="73" builtinId="47" customBuiltin="1"/>
    <cellStyle name="40% - Accent5 2" xfId="147"/>
    <cellStyle name="40% - Accent6" xfId="77" builtinId="51" customBuiltin="1"/>
    <cellStyle name="40% - Accent6 2" xfId="149"/>
    <cellStyle name="60% - Accent1" xfId="58" builtinId="32" customBuiltin="1"/>
    <cellStyle name="60% - Accent2" xfId="62" builtinId="36" customBuiltin="1"/>
    <cellStyle name="60% - Accent3" xfId="66" builtinId="40" customBuiltin="1"/>
    <cellStyle name="60% - Accent4" xfId="70" builtinId="44" customBuiltin="1"/>
    <cellStyle name="60% - Accent5" xfId="74" builtinId="48" customBuiltin="1"/>
    <cellStyle name="60% - Accent6" xfId="78" builtinId="52" customBuiltin="1"/>
    <cellStyle name="Accent1" xfId="55" builtinId="29" customBuiltin="1"/>
    <cellStyle name="Accent2" xfId="59" builtinId="33" customBuiltin="1"/>
    <cellStyle name="Accent3" xfId="63" builtinId="37" customBuiltin="1"/>
    <cellStyle name="Accent4" xfId="67" builtinId="41" customBuiltin="1"/>
    <cellStyle name="Accent5" xfId="71" builtinId="45" customBuiltin="1"/>
    <cellStyle name="Accent6" xfId="75" builtinId="49" customBuiltin="1"/>
    <cellStyle name="Bad" xfId="45" builtinId="27" customBuiltin="1"/>
    <cellStyle name="Bad 2" xfId="117"/>
    <cellStyle name="Calculation" xfId="49" builtinId="22" customBuiltin="1"/>
    <cellStyle name="Check Cell" xfId="51" builtinId="23" customBuiltin="1"/>
    <cellStyle name="Date" xfId="5"/>
    <cellStyle name="Explanatory Text" xfId="53" builtinId="53" customBuiltin="1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Good" xfId="44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HEADING1" xfId="14"/>
    <cellStyle name="HEADING2" xfId="15"/>
    <cellStyle name="imf-one decimal" xfId="16"/>
    <cellStyle name="imf-one decimal 2" xfId="153"/>
    <cellStyle name="imf-one decimal 3" xfId="101"/>
    <cellStyle name="imf-zero decimal" xfId="17"/>
    <cellStyle name="imf-zero decimal 2" xfId="154"/>
    <cellStyle name="imf-zero decimal 3" xfId="102"/>
    <cellStyle name="Input" xfId="47" builtinId="20" customBuiltin="1"/>
    <cellStyle name="Label" xfId="18"/>
    <cellStyle name="Label 2" xfId="103"/>
    <cellStyle name="Linked Cell" xfId="50" builtinId="24" customBuiltin="1"/>
    <cellStyle name="Neutral" xfId="46" builtinId="28" customBuiltin="1"/>
    <cellStyle name="Normal" xfId="0" builtinId="0"/>
    <cellStyle name="Normal - Style1" xfId="19"/>
    <cellStyle name="Normal - Style2" xfId="20"/>
    <cellStyle name="Normal - Style3" xfId="21"/>
    <cellStyle name="Normal 10" xfId="33"/>
    <cellStyle name="Normal 10 2" xfId="113"/>
    <cellStyle name="Normal 11" xfId="34"/>
    <cellStyle name="Normal 11 2" xfId="114"/>
    <cellStyle name="Normal 12" xfId="35"/>
    <cellStyle name="Normal 12 2" xfId="115"/>
    <cellStyle name="Normal 13" xfId="116"/>
    <cellStyle name="Normal 14" xfId="125"/>
    <cellStyle name="Normal 15" xfId="127"/>
    <cellStyle name="Normal 16" xfId="131"/>
    <cellStyle name="Normal 16 2" xfId="155"/>
    <cellStyle name="Normal 17" xfId="133"/>
    <cellStyle name="Normal 17 2" xfId="156"/>
    <cellStyle name="Normal 18" xfId="134"/>
    <cellStyle name="Normal 19" xfId="129"/>
    <cellStyle name="Normal 19 2" xfId="157"/>
    <cellStyle name="Normal 2" xfId="22"/>
    <cellStyle name="Normal 2 2" xfId="36"/>
    <cellStyle name="Normal 2 2 2" xfId="39"/>
    <cellStyle name="Normal 20" xfId="128"/>
    <cellStyle name="Normal 21" xfId="130"/>
    <cellStyle name="Normal 22" xfId="132"/>
    <cellStyle name="Normal 23" xfId="135"/>
    <cellStyle name="Normal 24" xfId="136"/>
    <cellStyle name="Normal 25" xfId="121"/>
    <cellStyle name="Normal 26" xfId="163"/>
    <cellStyle name="Normal 27" xfId="120"/>
    <cellStyle name="Normal 28" xfId="124"/>
    <cellStyle name="Normal 29" xfId="168"/>
    <cellStyle name="Normal 3" xfId="26"/>
    <cellStyle name="Normal 30" xfId="164"/>
    <cellStyle name="Normal 31" xfId="119"/>
    <cellStyle name="Normal 32" xfId="167"/>
    <cellStyle name="Normal 33" xfId="166"/>
    <cellStyle name="Normal 34" xfId="165"/>
    <cellStyle name="Normal 35" xfId="122"/>
    <cellStyle name="Normal 36" xfId="123"/>
    <cellStyle name="Normal 37" xfId="79"/>
    <cellStyle name="Normal 38" xfId="86"/>
    <cellStyle name="Normal 39" xfId="100"/>
    <cellStyle name="Normal 4" xfId="27"/>
    <cellStyle name="Normal 4 2" xfId="37"/>
    <cellStyle name="Normal 4 2 2" xfId="158"/>
    <cellStyle name="Normal 4 3" xfId="107"/>
    <cellStyle name="Normal 40" xfId="170"/>
    <cellStyle name="Normal 41" xfId="105"/>
    <cellStyle name="Normal 42" xfId="88"/>
    <cellStyle name="Normal 43" xfId="82"/>
    <cellStyle name="Normal 44" xfId="169"/>
    <cellStyle name="Normal 45" xfId="98"/>
    <cellStyle name="Normal 46" xfId="85"/>
    <cellStyle name="Normal 47" xfId="93"/>
    <cellStyle name="Normal 48" xfId="91"/>
    <cellStyle name="Normal 49" xfId="172"/>
    <cellStyle name="Normal 5" xfId="28"/>
    <cellStyle name="Normal 5 2" xfId="162"/>
    <cellStyle name="Normal 5 3" xfId="108"/>
    <cellStyle name="Normal 50" xfId="182"/>
    <cellStyle name="Normal 51" xfId="174"/>
    <cellStyle name="Normal 52" xfId="175"/>
    <cellStyle name="Normal 53" xfId="99"/>
    <cellStyle name="Normal 54" xfId="89"/>
    <cellStyle name="Normal 55" xfId="177"/>
    <cellStyle name="Normal 56" xfId="179"/>
    <cellStyle name="Normal 57" xfId="184"/>
    <cellStyle name="Normal 58" xfId="171"/>
    <cellStyle name="Normal 59" xfId="178"/>
    <cellStyle name="Normal 6" xfId="29"/>
    <cellStyle name="Normal 6 2" xfId="109"/>
    <cellStyle name="Normal 60" xfId="90"/>
    <cellStyle name="Normal 61" xfId="104"/>
    <cellStyle name="Normal 62" xfId="87"/>
    <cellStyle name="Normal 63" xfId="173"/>
    <cellStyle name="Normal 64" xfId="84"/>
    <cellStyle name="Normal 65" xfId="181"/>
    <cellStyle name="Normal 66" xfId="180"/>
    <cellStyle name="Normal 67" xfId="176"/>
    <cellStyle name="Normal 68" xfId="83"/>
    <cellStyle name="Normal 69" xfId="81"/>
    <cellStyle name="Normal 7" xfId="30"/>
    <cellStyle name="Normal 7 2" xfId="110"/>
    <cellStyle name="Normal 70" xfId="92"/>
    <cellStyle name="Normal 71" xfId="183"/>
    <cellStyle name="Normal 8" xfId="31"/>
    <cellStyle name="Normal 8 2" xfId="111"/>
    <cellStyle name="Normal 9" xfId="32"/>
    <cellStyle name="Normal 9 2" xfId="112"/>
    <cellStyle name="Note 2" xfId="126"/>
    <cellStyle name="Note 3" xfId="137"/>
    <cellStyle name="Obično_KnjigaZIKS i Min pomorstva i saobracaja" xfId="23"/>
    <cellStyle name="Output" xfId="48" builtinId="21" customBuiltin="1"/>
    <cellStyle name="Percent" xfId="38" builtinId="5"/>
    <cellStyle name="Percent 2" xfId="80"/>
    <cellStyle name="percentage difference" xfId="24"/>
    <cellStyle name="percentage difference 2" xfId="159"/>
    <cellStyle name="percentage difference 3" xfId="106"/>
    <cellStyle name="Publication" xfId="25"/>
    <cellStyle name="Standard_Tabellenteil in EURO" xfId="160"/>
    <cellStyle name="Title 2" xfId="118"/>
    <cellStyle name="Total" xfId="54" builtinId="25" customBuiltin="1"/>
    <cellStyle name="Warning Text" xfId="52" builtinId="11" customBuiltin="1"/>
  </cellStyles>
  <dxfs count="0"/>
  <tableStyles count="0" defaultTableStyle="TableStyleMedium9" defaultPivotStyle="PivotStyleLight16"/>
  <colors>
    <mruColors>
      <color rgb="FF7E0000"/>
      <color rgb="FFCCECFF"/>
      <color rgb="FFCCFFFF"/>
      <color rgb="FFFFFFCC"/>
      <color rgb="FF910000"/>
      <color rgb="FF820000"/>
      <color rgb="FF5A0000"/>
      <color rgb="FF640000"/>
      <color rgb="FF6E0000"/>
      <color rgb="FF73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ME" sz="1100"/>
              <a:t>Izvorni prihodi budžeta - I kvartal 2014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1081714785651793"/>
          <c:y val="0.17171296296296423"/>
          <c:w val="0.85862729658793113"/>
          <c:h val="0.74403579760863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'Cental Budget'!$O$20</c:f>
              <c:strCache>
                <c:ptCount val="1"/>
                <c:pt idx="0">
                  <c:v>2014 - ostvarenje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'Cental Budget'!$P$19:$R$19</c:f>
            </c:strRef>
          </c:cat>
          <c:val>
            <c:numRef>
              <c:f>'Cental Budget'!$P$20:$R$20</c:f>
            </c:numRef>
          </c:val>
        </c:ser>
        <c:ser>
          <c:idx val="1"/>
          <c:order val="1"/>
          <c:tx>
            <c:strRef>
              <c:f>'Cental Budget'!$O$21</c:f>
              <c:strCache>
                <c:ptCount val="1"/>
                <c:pt idx="0">
                  <c:v>2014 - plan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rgbClr val="7E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'Cental Budget'!$P$19:$R$19</c:f>
            </c:strRef>
          </c:cat>
          <c:val>
            <c:numRef>
              <c:f>'Cental Budget'!$P$21:$R$21</c:f>
            </c:numRef>
          </c:val>
        </c:ser>
        <c:ser>
          <c:idx val="2"/>
          <c:order val="2"/>
          <c:tx>
            <c:strRef>
              <c:f>'Cental Budget'!$O$22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7E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'Cental Budget'!$P$19:$R$19</c:f>
            </c:strRef>
          </c:cat>
          <c:val>
            <c:numRef>
              <c:f>'Cental Budget'!$P$22:$R$22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8253008"/>
        <c:axId val="238251920"/>
      </c:barChart>
      <c:catAx>
        <c:axId val="23825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251920"/>
        <c:crosses val="autoZero"/>
        <c:auto val="1"/>
        <c:lblAlgn val="ctr"/>
        <c:lblOffset val="100"/>
        <c:noMultiLvlLbl val="0"/>
      </c:catAx>
      <c:valAx>
        <c:axId val="23825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253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304724409448826"/>
          <c:y val="0.19965223097112891"/>
          <c:w val="0.5083499562554686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ME"/>
              <a:t>Pregled javne potrošnje - III kvartal 2015.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'Public Expenditure'!$Q$17</c:f>
              <c:strCache>
                <c:ptCount val="1"/>
                <c:pt idx="0">
                  <c:v>2015 - ostvarenje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'Public Expenditure'!$R$16:$T$16</c:f>
            </c:strRef>
          </c:cat>
          <c:val>
            <c:numRef>
              <c:f>'Public Expenditure'!$R$17:$T$17</c:f>
            </c:numRef>
          </c:val>
        </c:ser>
        <c:ser>
          <c:idx val="1"/>
          <c:order val="1"/>
          <c:tx>
            <c:strRef>
              <c:f>'Public Expenditure'!$Q$18</c:f>
              <c:strCache>
                <c:ptCount val="1"/>
                <c:pt idx="0">
                  <c:v>2015 - plan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rgbClr val="7E0000"/>
              </a:solidFill>
            </a:ln>
            <a:effectLst/>
          </c:spPr>
          <c:invertIfNegative val="0"/>
          <c:cat>
            <c:strRef>
              <c:f>'Public Expenditure'!$R$16:$T$16</c:f>
            </c:strRef>
          </c:cat>
          <c:val>
            <c:numRef>
              <c:f>'Public Expenditure'!$R$18:$T$18</c:f>
            </c:numRef>
          </c:val>
        </c:ser>
        <c:ser>
          <c:idx val="2"/>
          <c:order val="2"/>
          <c:tx>
            <c:strRef>
              <c:f>'Public Expenditure'!$Q$19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7E0000"/>
            </a:solidFill>
            <a:ln>
              <a:solidFill>
                <a:srgbClr val="7E0000"/>
              </a:solidFill>
            </a:ln>
            <a:effectLst/>
          </c:spPr>
          <c:invertIfNegative val="0"/>
          <c:cat>
            <c:strRef>
              <c:f>'Public Expenditure'!$R$16:$T$16</c:f>
            </c:strRef>
          </c:cat>
          <c:val>
            <c:numRef>
              <c:f>'Public Expenditure'!$R$19:$T$19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8252464"/>
        <c:axId val="238263344"/>
      </c:barChart>
      <c:catAx>
        <c:axId val="23825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263344"/>
        <c:crosses val="autoZero"/>
        <c:auto val="1"/>
        <c:lblAlgn val="ctr"/>
        <c:lblOffset val="100"/>
        <c:noMultiLvlLbl val="0"/>
      </c:catAx>
      <c:valAx>
        <c:axId val="23826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,,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3825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630087378318533E-2"/>
          <c:y val="9.3067220764072589E-2"/>
          <c:w val="0.91423489152463533"/>
          <c:h val="0.80647637795274907"/>
        </c:manualLayout>
      </c:layout>
      <c:lineChart>
        <c:grouping val="standar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Mjesečni plan prihoda 2014</c:v>
                </c:pt>
              </c:strCache>
            </c:strRef>
          </c:tx>
          <c:spPr>
            <a:ln>
              <a:solidFill>
                <a:srgbClr val="910000"/>
              </a:solidFill>
              <a:prstDash val="sysDash"/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Sheet1!$D$5:$O$5</c:f>
              <c:numCache>
                <c:formatCode>#,##0.0,,</c:formatCode>
                <c:ptCount val="12"/>
                <c:pt idx="0">
                  <c:v>62425293.156965584</c:v>
                </c:pt>
                <c:pt idx="1">
                  <c:v>79762187.59852089</c:v>
                </c:pt>
                <c:pt idx="2">
                  <c:v>89318688.151918903</c:v>
                </c:pt>
                <c:pt idx="3">
                  <c:v>106294081.27535464</c:v>
                </c:pt>
                <c:pt idx="4">
                  <c:v>97189661.825924918</c:v>
                </c:pt>
                <c:pt idx="5">
                  <c:v>105191801.34506513</c:v>
                </c:pt>
                <c:pt idx="6">
                  <c:v>123272889.17858437</c:v>
                </c:pt>
                <c:pt idx="7">
                  <c:v>125579133.65326507</c:v>
                </c:pt>
                <c:pt idx="8">
                  <c:v>121047897.33843082</c:v>
                </c:pt>
                <c:pt idx="9">
                  <c:v>114789505.85515907</c:v>
                </c:pt>
                <c:pt idx="10">
                  <c:v>97406301.479715049</c:v>
                </c:pt>
                <c:pt idx="11">
                  <c:v>145778958.57826602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Sheet1!$C$6</c:f>
              <c:strCache>
                <c:ptCount val="1"/>
                <c:pt idx="0">
                  <c:v>Mjesečna procjena prihoda 2014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</c:dPt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Sheet1!$D$6:$O$6</c:f>
              <c:numCache>
                <c:formatCode>#,##0.0,,</c:formatCode>
                <c:ptCount val="12"/>
                <c:pt idx="0">
                  <c:v>70632268.589999989</c:v>
                </c:pt>
                <c:pt idx="1">
                  <c:v>81381758.450000018</c:v>
                </c:pt>
                <c:pt idx="2">
                  <c:v>100495765.61000001</c:v>
                </c:pt>
                <c:pt idx="3">
                  <c:v>107356417.33534782</c:v>
                </c:pt>
                <c:pt idx="4">
                  <c:v>98816734.644163221</c:v>
                </c:pt>
                <c:pt idx="5">
                  <c:v>107147051.5707173</c:v>
                </c:pt>
                <c:pt idx="6">
                  <c:v>125666748.8575906</c:v>
                </c:pt>
                <c:pt idx="7">
                  <c:v>127890096.38694921</c:v>
                </c:pt>
                <c:pt idx="8">
                  <c:v>123465322.33433203</c:v>
                </c:pt>
                <c:pt idx="9">
                  <c:v>117130344.73943919</c:v>
                </c:pt>
                <c:pt idx="10">
                  <c:v>99294843.070796907</c:v>
                </c:pt>
                <c:pt idx="11">
                  <c:v>149056317.49743444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Sheet1!$C$7</c:f>
              <c:strCache>
                <c:ptCount val="1"/>
                <c:pt idx="0">
                  <c:v>Ostvarenje prihoda 2013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Sheet1!$D$7:$O$7</c:f>
              <c:numCache>
                <c:formatCode>#,##0.0,,</c:formatCode>
                <c:ptCount val="12"/>
                <c:pt idx="0">
                  <c:v>54757461.979999989</c:v>
                </c:pt>
                <c:pt idx="1">
                  <c:v>75673443.909999996</c:v>
                </c:pt>
                <c:pt idx="2">
                  <c:v>88296245.580000013</c:v>
                </c:pt>
                <c:pt idx="3">
                  <c:v>103948239.19999999</c:v>
                </c:pt>
                <c:pt idx="4">
                  <c:v>93997829.679999992</c:v>
                </c:pt>
                <c:pt idx="5">
                  <c:v>99561632.659999996</c:v>
                </c:pt>
                <c:pt idx="6">
                  <c:v>122021331.04999998</c:v>
                </c:pt>
                <c:pt idx="7">
                  <c:v>125053427.64999999</c:v>
                </c:pt>
                <c:pt idx="8">
                  <c:v>116342017.78000002</c:v>
                </c:pt>
                <c:pt idx="9">
                  <c:v>117283627.60000001</c:v>
                </c:pt>
                <c:pt idx="10">
                  <c:v>95781753.159999996</c:v>
                </c:pt>
                <c:pt idx="11">
                  <c:v>142429369.22999999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250832"/>
        <c:axId val="238280752"/>
      </c:lineChart>
      <c:catAx>
        <c:axId val="238250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800"/>
            </a:pPr>
            <a:endParaRPr lang="sr-Latn-RS"/>
          </a:p>
        </c:txPr>
        <c:crossAx val="238280752"/>
        <c:crosses val="autoZero"/>
        <c:auto val="1"/>
        <c:lblAlgn val="ctr"/>
        <c:lblOffset val="100"/>
        <c:noMultiLvlLbl val="0"/>
      </c:catAx>
      <c:valAx>
        <c:axId val="238280752"/>
        <c:scaling>
          <c:orientation val="minMax"/>
          <c:max val="130000000"/>
          <c:min val="50000000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lang="en-US" sz="800"/>
            </a:pPr>
            <a:endParaRPr lang="sr-Latn-RS"/>
          </a:p>
        </c:txPr>
        <c:crossAx val="238250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71983122362938"/>
          <c:y val="0.63831291921843114"/>
          <c:w val="0.24343466560350838"/>
          <c:h val="0.21760170603674542"/>
        </c:manualLayout>
      </c:layout>
      <c:overlay val="0"/>
      <c:txPr>
        <a:bodyPr/>
        <a:lstStyle/>
        <a:p>
          <a:pPr>
            <a:defRPr lang="en-US"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000"/>
            </a:pPr>
            <a:r>
              <a:rPr lang="vi-VN" sz="1000"/>
              <a:t>Poređenje scenarija - sa i bez autoputa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878743296101454E-2"/>
          <c:y val="5.6030183727034118E-2"/>
          <c:w val="0.8849550981015266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Sheet3!$C$5</c:f>
              <c:strCache>
                <c:ptCount val="1"/>
                <c:pt idx="0">
                  <c:v>Deficit - osnovni scenario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Sheet3!$D$5:$G$5</c:f>
              <c:numCache>
                <c:formatCode>#,##0.0,,</c:formatCode>
                <c:ptCount val="4"/>
                <c:pt idx="0">
                  <c:v>-26424601.993229389</c:v>
                </c:pt>
                <c:pt idx="1">
                  <c:v>-24569497.372829676</c:v>
                </c:pt>
                <c:pt idx="2">
                  <c:v>33498994.005818129</c:v>
                </c:pt>
                <c:pt idx="3">
                  <c:v>103834080.12588143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Sheet3!$C$6</c:f>
              <c:strCache>
                <c:ptCount val="1"/>
                <c:pt idx="0">
                  <c:v>Deficit - scenario sa auto putem</c:v>
                </c:pt>
              </c:strCache>
            </c:strRef>
          </c:tx>
          <c:spPr>
            <a:ln>
              <a:solidFill>
                <a:srgbClr val="910000"/>
              </a:solidFill>
              <a:prstDash val="sysDot"/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Sheet3!$D$6:$G$6</c:f>
              <c:numCache>
                <c:formatCode>#,##0.0,,</c:formatCode>
                <c:ptCount val="4"/>
                <c:pt idx="0">
                  <c:v>-51424601.993229389</c:v>
                </c:pt>
                <c:pt idx="1">
                  <c:v>-149569497.37282968</c:v>
                </c:pt>
                <c:pt idx="2">
                  <c:v>-191501005.99418187</c:v>
                </c:pt>
                <c:pt idx="3">
                  <c:v>-221165919.87411857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258992"/>
        <c:axId val="238260624"/>
      </c:lineChart>
      <c:catAx>
        <c:axId val="238258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800"/>
            </a:pPr>
            <a:endParaRPr lang="sr-Latn-RS"/>
          </a:p>
        </c:txPr>
        <c:crossAx val="238260624"/>
        <c:crosses val="autoZero"/>
        <c:auto val="1"/>
        <c:lblAlgn val="ctr"/>
        <c:lblOffset val="100"/>
        <c:noMultiLvlLbl val="0"/>
      </c:catAx>
      <c:valAx>
        <c:axId val="238260624"/>
        <c:scaling>
          <c:orientation val="minMax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lang="en-US" sz="700"/>
            </a:pPr>
            <a:endParaRPr lang="sr-Latn-RS"/>
          </a:p>
        </c:txPr>
        <c:crossAx val="238258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491661075997865"/>
          <c:y val="0.55478783902012263"/>
          <c:w val="0.28062788115611131"/>
          <c:h val="0.14506780402449862"/>
        </c:manualLayout>
      </c:layout>
      <c:overlay val="0"/>
      <c:txPr>
        <a:bodyPr/>
        <a:lstStyle/>
        <a:p>
          <a:pPr>
            <a:defRPr lang="en-US"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347381</xdr:colOff>
      <xdr:row>23</xdr:row>
      <xdr:rowOff>100853</xdr:rowOff>
    </xdr:from>
    <xdr:to>
      <xdr:col>23</xdr:col>
      <xdr:colOff>493058</xdr:colOff>
      <xdr:row>35</xdr:row>
      <xdr:rowOff>156882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37896" name="List Box 8" hidden="1">
              <a:extLst>
                <a:ext uri="{63B3BB69-23CF-44E3-9099-C40C66FF867C}">
                  <a14:compatExt spid="_x0000_s3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43009" name="List Box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458109</xdr:colOff>
      <xdr:row>21</xdr:row>
      <xdr:rowOff>95702</xdr:rowOff>
    </xdr:from>
    <xdr:to>
      <xdr:col>24</xdr:col>
      <xdr:colOff>529166</xdr:colOff>
      <xdr:row>42</xdr:row>
      <xdr:rowOff>120953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1</xdr:row>
          <xdr:rowOff>123825</xdr:rowOff>
        </xdr:to>
        <xdr:sp macro="" textlink="">
          <xdr:nvSpPr>
            <xdr:cNvPr id="46081" name="List Box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15</xdr:row>
      <xdr:rowOff>85725</xdr:rowOff>
    </xdr:from>
    <xdr:to>
      <xdr:col>15</xdr:col>
      <xdr:colOff>200025</xdr:colOff>
      <xdr:row>32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0.02785</cdr:x>
      <cdr:y>0.42708</cdr:y>
    </cdr:from>
    <cdr:to>
      <cdr:x>0.1962</cdr:x>
      <cdr:y>0.56597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9550" y="1171575"/>
          <a:ext cx="1266826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sr-Latn-ME" sz="800" i="1"/>
            <a:t>Ostvarenje</a:t>
          </a:r>
          <a:r>
            <a:rPr lang="sr-Latn-ME" sz="800" i="1" baseline="0"/>
            <a:t> prihoda </a:t>
          </a:r>
        </a:p>
        <a:p xmlns:a="http://schemas.openxmlformats.org/drawingml/2006/main">
          <a:pPr algn="r"/>
          <a:r>
            <a:rPr lang="sr-Latn-ME" sz="800" i="1" baseline="0"/>
            <a:t>u prvom kvartalu 2014.</a:t>
          </a:r>
          <a:endParaRPr lang="en-US" sz="800" i="1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142875</xdr:rowOff>
    </xdr:from>
    <xdr:to>
      <xdr:col>10</xdr:col>
      <xdr:colOff>438150</xdr:colOff>
      <xdr:row>26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os.popovic/Dropbox/MINISTARSTVO%20FINANSIJA/SEP/05_Zavrsni%202013/Smjernice%202014-04-04%20sa%20projekcijama%20du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al Budget"/>
      <sheetName val="Cental Budget - hwy"/>
      <sheetName val="Local Government"/>
      <sheetName val="Public Expenditure"/>
      <sheetName val="Public Expenditure -hwy"/>
      <sheetName val="PRIMICI"/>
      <sheetName val="DEFICIT Tabela"/>
      <sheetName val="MasterShee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>
            <v>2</v>
          </cell>
        </row>
        <row r="151">
          <cell r="B151" t="str">
            <v>Izvor: Ministarstvo finansija Crne Gore</v>
          </cell>
          <cell r="C151" t="str">
            <v>Source: Ministry of Finance of Montenegro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CC77"/>
  <sheetViews>
    <sheetView tabSelected="1" topLeftCell="C1" workbookViewId="0">
      <pane ySplit="15" topLeftCell="A16" activePane="bottomLeft" state="frozen"/>
      <selection pane="bottomLeft" activeCell="AC39" sqref="AC39"/>
    </sheetView>
  </sheetViews>
  <sheetFormatPr defaultColWidth="9.140625" defaultRowHeight="12.75"/>
  <cols>
    <col min="1" max="2" width="9.140625" style="80" customWidth="1"/>
    <col min="3" max="3" width="57.28515625" style="80" customWidth="1"/>
    <col min="4" max="13" width="7.85546875" style="80" customWidth="1"/>
    <col min="14" max="14" width="9.140625" style="80" customWidth="1"/>
    <col min="15" max="24" width="9.140625" style="80" hidden="1" customWidth="1"/>
    <col min="25" max="73" width="9.140625" style="80" customWidth="1"/>
    <col min="74" max="74" width="9.140625" style="80"/>
    <col min="75" max="75" width="15.42578125" style="80" customWidth="1"/>
    <col min="76" max="76" width="12.7109375" style="80" customWidth="1"/>
    <col min="77" max="77" width="11.85546875" style="80" customWidth="1"/>
    <col min="78" max="16384" width="9.140625" style="80"/>
  </cols>
  <sheetData>
    <row r="1" spans="2:73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</row>
    <row r="2" spans="2:73" ht="15" hidden="1" customHeight="1">
      <c r="C2" s="81"/>
      <c r="D2" s="116"/>
      <c r="E2" s="116"/>
      <c r="F2" s="116"/>
      <c r="G2" s="123">
        <v>2014</v>
      </c>
      <c r="H2" s="123"/>
      <c r="I2" s="123"/>
      <c r="J2" s="124">
        <v>2017</v>
      </c>
      <c r="L2" s="123"/>
      <c r="M2" s="123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</row>
    <row r="3" spans="2:73" ht="15" hidden="1" customHeight="1">
      <c r="C3" s="81"/>
      <c r="D3" s="117"/>
      <c r="E3" s="117"/>
      <c r="F3" s="117"/>
      <c r="G3" s="118">
        <v>5.4037200000000007</v>
      </c>
      <c r="H3" s="118"/>
      <c r="I3" s="118"/>
      <c r="J3" s="119">
        <v>6.0799999999999965</v>
      </c>
      <c r="L3" s="118"/>
      <c r="M3" s="118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</row>
    <row r="4" spans="2:73" ht="15" hidden="1" customHeight="1">
      <c r="C4" s="81"/>
      <c r="D4" s="112"/>
      <c r="E4" s="112"/>
      <c r="F4" s="112"/>
      <c r="G4" s="110">
        <v>3.54</v>
      </c>
      <c r="H4" s="110"/>
      <c r="I4" s="110"/>
      <c r="J4" s="111">
        <v>4</v>
      </c>
      <c r="L4" s="110"/>
      <c r="M4" s="110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</row>
    <row r="5" spans="2:73" ht="15" hidden="1" customHeight="1">
      <c r="C5" s="81"/>
      <c r="D5" s="120"/>
      <c r="E5" s="120"/>
      <c r="F5" s="120"/>
      <c r="G5" s="121">
        <v>1.8</v>
      </c>
      <c r="H5" s="121"/>
      <c r="I5" s="121"/>
      <c r="J5" s="131">
        <v>2</v>
      </c>
      <c r="L5" s="121"/>
      <c r="M5" s="12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</row>
    <row r="6" spans="2:73" ht="15" hidden="1" customHeight="1">
      <c r="C6" s="81"/>
      <c r="D6" s="122"/>
      <c r="E6" s="122"/>
      <c r="F6" s="122"/>
      <c r="G6" s="130">
        <v>2.3E-2</v>
      </c>
      <c r="H6" s="130"/>
      <c r="I6" s="130"/>
      <c r="J6" s="130">
        <v>5.1999999999999998E-2</v>
      </c>
      <c r="L6" s="130"/>
      <c r="M6" s="130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</row>
    <row r="7" spans="2:73" ht="15" hidden="1" customHeight="1">
      <c r="C7" s="81"/>
      <c r="D7" s="113"/>
      <c r="E7" s="113"/>
      <c r="F7" s="113"/>
      <c r="G7" s="113"/>
      <c r="H7" s="113"/>
      <c r="I7" s="113"/>
      <c r="J7" s="114"/>
      <c r="L7" s="113"/>
      <c r="M7" s="113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</row>
    <row r="8" spans="2:73" ht="15" hidden="1" customHeight="1">
      <c r="C8" s="81"/>
      <c r="D8" s="109"/>
      <c r="E8" s="109"/>
      <c r="F8" s="109"/>
      <c r="G8" s="125">
        <f>+J16/F16*100-100</f>
        <v>-1.638699272345562</v>
      </c>
      <c r="H8" s="125"/>
      <c r="I8" s="125"/>
      <c r="J8" s="127" t="e">
        <f>+#REF!/#REF!*100-100</f>
        <v>#REF!</v>
      </c>
      <c r="L8" s="125"/>
      <c r="M8" s="125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</row>
    <row r="9" spans="2:73" ht="15" hidden="1" customHeight="1">
      <c r="C9" s="81"/>
      <c r="D9" s="115"/>
      <c r="E9" s="115"/>
      <c r="F9" s="115"/>
      <c r="G9" s="126" t="e">
        <f>+J16/#REF!*100-100</f>
        <v>#REF!</v>
      </c>
      <c r="H9" s="126"/>
      <c r="I9" s="126"/>
      <c r="J9" s="128" t="e">
        <f>+#REF!/#REF!*100-100</f>
        <v>#REF!</v>
      </c>
      <c r="L9" s="126"/>
      <c r="M9" s="126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</row>
    <row r="10" spans="2:73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</row>
    <row r="11" spans="2:73" ht="18.75" customHeight="1" thickTop="1" thickBot="1">
      <c r="C11" s="180" t="str">
        <f>IF(MasterSheet!$A$1=1,MasterSheet!B67,MasterSheet!B66)</f>
        <v>BDP (u mil. €)</v>
      </c>
      <c r="D11" s="361">
        <v>3660700000</v>
      </c>
      <c r="E11" s="362"/>
      <c r="F11" s="362"/>
      <c r="G11" s="363"/>
      <c r="H11" s="366"/>
      <c r="I11" s="371"/>
      <c r="J11" s="368">
        <v>3457900000</v>
      </c>
      <c r="K11" s="368">
        <v>0</v>
      </c>
      <c r="L11" s="366"/>
      <c r="M11" s="367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</row>
    <row r="12" spans="2:73" ht="19.5" customHeight="1" thickTop="1">
      <c r="C12" s="81"/>
      <c r="D12" s="222"/>
      <c r="E12" s="222"/>
      <c r="F12" s="83"/>
      <c r="G12" s="83"/>
      <c r="H12" s="82"/>
      <c r="I12" s="82"/>
      <c r="J12" s="82"/>
      <c r="K12" s="82"/>
      <c r="L12" s="82"/>
      <c r="M12" s="8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</row>
    <row r="13" spans="2:73" ht="17.25" customHeight="1" thickBot="1">
      <c r="B13" s="85"/>
      <c r="C13" s="86"/>
      <c r="D13" s="373"/>
      <c r="E13" s="373"/>
      <c r="F13" s="221"/>
      <c r="G13" s="221"/>
      <c r="H13" s="221"/>
      <c r="I13" s="221"/>
      <c r="J13" s="372"/>
      <c r="K13" s="372"/>
      <c r="L13" s="164"/>
      <c r="M13" s="164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</row>
    <row r="14" spans="2:73" ht="15.75" customHeight="1" thickTop="1">
      <c r="B14" s="87"/>
      <c r="C14" s="364" t="str">
        <f>IF(MasterSheet!$A$1=1,MasterSheet!B71,MasterSheet!B70)</f>
        <v>Budžet Crne Gore</v>
      </c>
      <c r="D14" s="359" t="s">
        <v>469</v>
      </c>
      <c r="E14" s="360"/>
      <c r="F14" s="359" t="s">
        <v>470</v>
      </c>
      <c r="G14" s="360"/>
      <c r="H14" s="359" t="s">
        <v>453</v>
      </c>
      <c r="I14" s="360"/>
      <c r="J14" s="359" t="s">
        <v>471</v>
      </c>
      <c r="K14" s="360"/>
      <c r="L14" s="369" t="str">
        <f>+H14</f>
        <v>Odstupanje</v>
      </c>
      <c r="M14" s="370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</row>
    <row r="15" spans="2:73" ht="15" customHeight="1" thickBot="1">
      <c r="C15" s="365" t="str">
        <f>IF(MasterSheet!$A$1=1,MasterSheet!B71,MasterSheet!B70)</f>
        <v>Budžet Crne Gore</v>
      </c>
      <c r="D15" s="88" t="str">
        <f>+F15</f>
        <v>mil. €</v>
      </c>
      <c r="E15" s="203" t="str">
        <f>+G15</f>
        <v>% BDP</v>
      </c>
      <c r="F15" s="88" t="s">
        <v>263</v>
      </c>
      <c r="G15" s="89" t="s">
        <v>150</v>
      </c>
      <c r="H15" s="202" t="s">
        <v>263</v>
      </c>
      <c r="I15" s="202" t="s">
        <v>442</v>
      </c>
      <c r="J15" s="88" t="s">
        <v>263</v>
      </c>
      <c r="K15" s="89" t="s">
        <v>150</v>
      </c>
      <c r="L15" s="204" t="s">
        <v>263</v>
      </c>
      <c r="M15" s="129" t="s">
        <v>442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</row>
    <row r="16" spans="2:73" ht="15" customHeight="1" thickTop="1" thickBot="1">
      <c r="B16" s="80">
        <v>7</v>
      </c>
      <c r="C16" s="90" t="str">
        <f>IF(MasterSheet!$A$1=1,MasterSheet!C72,MasterSheet!B72)</f>
        <v>Izvorni prihodi</v>
      </c>
      <c r="D16" s="162">
        <f>+D17+D25+SUM(D30:D34)</f>
        <v>963602767.43000019</v>
      </c>
      <c r="E16" s="305">
        <f>+D16/$D$11*100</f>
        <v>26.322910028956215</v>
      </c>
      <c r="F16" s="162">
        <f>+F17+F25+SUM(F30:F34)</f>
        <v>955555829.71845198</v>
      </c>
      <c r="G16" s="305">
        <f>+F16/$D$11*100</f>
        <v>26.103090384856774</v>
      </c>
      <c r="H16" s="165">
        <f>+D16-F16</f>
        <v>8046937.7115482092</v>
      </c>
      <c r="I16" s="233">
        <f>+IF(ISNUMBER(D16/F16*100-100),D16/F16*100-100,"...")</f>
        <v>0.84212114680093464</v>
      </c>
      <c r="J16" s="162">
        <f>+J17+J25+SUM(J30:J34)</f>
        <v>939897143.2900002</v>
      </c>
      <c r="K16" s="305">
        <f>+J16/$J$11*100</f>
        <v>27.181154553052441</v>
      </c>
      <c r="L16" s="165">
        <f>+D16-J16</f>
        <v>23705624.139999986</v>
      </c>
      <c r="M16" s="230">
        <f t="shared" ref="M16:M57" si="0">+IF(ISNUMBER(D16/J16*100-100),D16/J16*100-100,"...")</f>
        <v>2.5221508873855214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</row>
    <row r="17" spans="2:80" ht="15" customHeight="1" thickTop="1">
      <c r="B17" s="80">
        <v>711</v>
      </c>
      <c r="C17" s="93" t="str">
        <f>IF(MasterSheet!$A$1=1,MasterSheet!C73,MasterSheet!B73)</f>
        <v>Porezi</v>
      </c>
      <c r="D17" s="154">
        <f>+SUM(D18:D24)</f>
        <v>600370542.26000011</v>
      </c>
      <c r="E17" s="252">
        <f t="shared" ref="E17:E72" si="1">+D17/$D$11*100</f>
        <v>16.400430034146478</v>
      </c>
      <c r="F17" s="154">
        <f>+SUM(F18:F24)</f>
        <v>623384700.18670416</v>
      </c>
      <c r="G17" s="252">
        <f t="shared" ref="G17:G72" si="2">+F17/$D$11*100</f>
        <v>17.029111923585766</v>
      </c>
      <c r="H17" s="209">
        <f t="shared" ref="H17:H65" si="3">+D17-F17</f>
        <v>-23014157.926704049</v>
      </c>
      <c r="I17" s="242">
        <f t="shared" ref="I17:I65" si="4">+IF(ISNUMBER(D17/F17*100-100),D17/F17*100-100,"...")</f>
        <v>-3.6918066676662562</v>
      </c>
      <c r="J17" s="154">
        <f>+SUM(J18:J24)</f>
        <v>604162316.42000008</v>
      </c>
      <c r="K17" s="252">
        <f t="shared" ref="K17:K65" si="5">+J17/$J$11*100</f>
        <v>17.471942983313575</v>
      </c>
      <c r="L17" s="209">
        <f t="shared" ref="L17:L35" si="6">+D17-J17</f>
        <v>-3791774.1599999666</v>
      </c>
      <c r="M17" s="242">
        <f t="shared" si="0"/>
        <v>-0.62760851793410666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</row>
    <row r="18" spans="2:80" ht="15" customHeight="1">
      <c r="B18" s="80">
        <v>7111</v>
      </c>
      <c r="C18" s="97" t="str">
        <f>IF(MasterSheet!$A$1=1,MasterSheet!C74,MasterSheet!B74)</f>
        <v>Porez na dohodak fizičkih lica</v>
      </c>
      <c r="D18" s="310">
        <v>64599677.309999995</v>
      </c>
      <c r="E18" s="251">
        <f t="shared" si="1"/>
        <v>1.7646809984429208</v>
      </c>
      <c r="F18" s="312">
        <v>74202550.347830832</v>
      </c>
      <c r="G18" s="251">
        <f t="shared" si="2"/>
        <v>2.0270044075677012</v>
      </c>
      <c r="H18" s="210">
        <f t="shared" si="3"/>
        <v>-9602873.0378308371</v>
      </c>
      <c r="I18" s="243">
        <f t="shared" si="4"/>
        <v>-12.941432596071891</v>
      </c>
      <c r="J18" s="313">
        <v>70728405.040000007</v>
      </c>
      <c r="K18" s="251">
        <f t="shared" si="5"/>
        <v>2.0454149929147749</v>
      </c>
      <c r="L18" s="210">
        <f t="shared" si="6"/>
        <v>-6128727.7300000116</v>
      </c>
      <c r="M18" s="243">
        <f t="shared" si="0"/>
        <v>-8.6651575509640679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</row>
    <row r="19" spans="2:80" ht="15" customHeight="1">
      <c r="B19" s="80">
        <v>7112</v>
      </c>
      <c r="C19" s="97" t="str">
        <f>IF(MasterSheet!$A$1=1,MasterSheet!C75,MasterSheet!B75)</f>
        <v>Porez na dobit pravnih lica</v>
      </c>
      <c r="D19" s="310">
        <v>39601686.299999997</v>
      </c>
      <c r="E19" s="251">
        <f t="shared" si="1"/>
        <v>1.0818063840249132</v>
      </c>
      <c r="F19" s="312">
        <v>42600118.444735721</v>
      </c>
      <c r="G19" s="251">
        <f t="shared" si="2"/>
        <v>1.1637150939638792</v>
      </c>
      <c r="H19" s="210">
        <f t="shared" si="3"/>
        <v>-2998432.1447357237</v>
      </c>
      <c r="I19" s="243">
        <f t="shared" si="4"/>
        <v>-7.0385535397642798</v>
      </c>
      <c r="J19" s="313">
        <v>41275475.609999999</v>
      </c>
      <c r="K19" s="251">
        <f t="shared" si="5"/>
        <v>1.1936572951791549</v>
      </c>
      <c r="L19" s="210">
        <f t="shared" si="6"/>
        <v>-1673789.3100000024</v>
      </c>
      <c r="M19" s="243">
        <f t="shared" si="0"/>
        <v>-4.0551666219794811</v>
      </c>
      <c r="N19" s="138"/>
      <c r="O19" s="81"/>
      <c r="P19" s="81" t="s">
        <v>452</v>
      </c>
      <c r="Q19" s="81" t="s">
        <v>12</v>
      </c>
      <c r="R19" s="81" t="s">
        <v>19</v>
      </c>
      <c r="S19" s="138"/>
      <c r="T19" s="138"/>
      <c r="U19" s="138"/>
      <c r="V19" s="138"/>
      <c r="W19" s="138"/>
      <c r="X19" s="138"/>
      <c r="Y19" s="139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W19" s="81"/>
    </row>
    <row r="20" spans="2:80" ht="15" customHeight="1">
      <c r="B20" s="80">
        <v>7113</v>
      </c>
      <c r="C20" s="97" t="str">
        <f>IF(MasterSheet!$A$1=1,MasterSheet!C76,MasterSheet!B76)</f>
        <v>Porez na promet nepokretnosti</v>
      </c>
      <c r="D20" s="310">
        <v>987133.71000000008</v>
      </c>
      <c r="E20" s="251">
        <f t="shared" si="1"/>
        <v>2.6965709017401047E-2</v>
      </c>
      <c r="F20" s="312">
        <v>1130162.5272250539</v>
      </c>
      <c r="G20" s="251">
        <f t="shared" si="2"/>
        <v>3.087285293045193E-2</v>
      </c>
      <c r="H20" s="210">
        <f t="shared" si="3"/>
        <v>-143028.81722505379</v>
      </c>
      <c r="I20" s="243">
        <f t="shared" si="4"/>
        <v>-12.655597206557516</v>
      </c>
      <c r="J20" s="313">
        <v>1089851.2399999998</v>
      </c>
      <c r="K20" s="251">
        <f t="shared" si="5"/>
        <v>3.1517720003470306E-2</v>
      </c>
      <c r="L20" s="210">
        <f t="shared" si="6"/>
        <v>-102717.52999999968</v>
      </c>
      <c r="M20" s="243">
        <f t="shared" si="0"/>
        <v>-9.424912889946313</v>
      </c>
      <c r="N20" s="138"/>
      <c r="O20" s="81" t="s">
        <v>446</v>
      </c>
      <c r="P20" s="212">
        <f>+D21</f>
        <v>349290997.13999999</v>
      </c>
      <c r="Q20" s="212">
        <f>+D22</f>
        <v>123893072.74000001</v>
      </c>
      <c r="R20" s="212">
        <f>+D25</f>
        <v>305506518.59000003</v>
      </c>
      <c r="S20" s="138"/>
      <c r="T20" s="138"/>
      <c r="U20" s="138"/>
      <c r="V20" s="138"/>
      <c r="W20" s="138"/>
      <c r="X20" s="138"/>
      <c r="Y20" s="139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</row>
    <row r="21" spans="2:80" ht="15" customHeight="1">
      <c r="B21" s="80">
        <v>7114</v>
      </c>
      <c r="C21" s="97" t="str">
        <f>IF(MasterSheet!$A$1=1,MasterSheet!C77,MasterSheet!B77)</f>
        <v>Porez na dodatu vrijednost</v>
      </c>
      <c r="D21" s="310">
        <v>349290997.13999999</v>
      </c>
      <c r="E21" s="251">
        <f t="shared" si="1"/>
        <v>9.5416449624388768</v>
      </c>
      <c r="F21" s="312">
        <v>358236984.08605129</v>
      </c>
      <c r="G21" s="251">
        <f t="shared" si="2"/>
        <v>9.7860240961032385</v>
      </c>
      <c r="H21" s="210">
        <f t="shared" si="3"/>
        <v>-8945986.9460512996</v>
      </c>
      <c r="I21" s="243">
        <f t="shared" si="4"/>
        <v>-2.4972259547334659</v>
      </c>
      <c r="J21" s="313">
        <v>351975206.79000002</v>
      </c>
      <c r="K21" s="251">
        <f t="shared" si="5"/>
        <v>10.178871765811619</v>
      </c>
      <c r="L21" s="210">
        <f t="shared" si="6"/>
        <v>-2684209.6500000358</v>
      </c>
      <c r="M21" s="243">
        <f t="shared" si="0"/>
        <v>-0.76261327452007777</v>
      </c>
      <c r="O21" s="81" t="s">
        <v>447</v>
      </c>
      <c r="P21" s="212">
        <f>+F21</f>
        <v>358236984.08605129</v>
      </c>
      <c r="Q21" s="212">
        <f>+F22</f>
        <v>125587232.0919148</v>
      </c>
      <c r="R21" s="212">
        <f>+F25</f>
        <v>277645712.97294897</v>
      </c>
    </row>
    <row r="22" spans="2:80" ht="15" customHeight="1">
      <c r="B22" s="80">
        <v>7115</v>
      </c>
      <c r="C22" s="97" t="str">
        <f>IF(MasterSheet!$A$1=1,MasterSheet!C78,MasterSheet!B78)</f>
        <v>Akcize</v>
      </c>
      <c r="D22" s="310">
        <v>123893072.74000001</v>
      </c>
      <c r="E22" s="251">
        <f t="shared" si="1"/>
        <v>3.3844093408364522</v>
      </c>
      <c r="F22" s="312">
        <v>125587232.0919148</v>
      </c>
      <c r="G22" s="251">
        <f t="shared" si="2"/>
        <v>3.4306889964191218</v>
      </c>
      <c r="H22" s="210">
        <f t="shared" si="3"/>
        <v>-1694159.3519147933</v>
      </c>
      <c r="I22" s="243">
        <f t="shared" si="4"/>
        <v>-1.348990119214406</v>
      </c>
      <c r="J22" s="313">
        <v>117793527.76000001</v>
      </c>
      <c r="K22" s="251">
        <f t="shared" si="5"/>
        <v>3.4065047502819636</v>
      </c>
      <c r="L22" s="210">
        <f t="shared" si="6"/>
        <v>6099544.9800000042</v>
      </c>
      <c r="M22" s="243">
        <f t="shared" si="0"/>
        <v>5.178166488423372</v>
      </c>
      <c r="O22" s="137">
        <v>2013</v>
      </c>
      <c r="P22" s="213">
        <f>+J21</f>
        <v>351975206.79000002</v>
      </c>
      <c r="Q22" s="214">
        <f>+J22</f>
        <v>117793527.76000001</v>
      </c>
      <c r="R22" s="214">
        <f>+J25</f>
        <v>284773148.30000007</v>
      </c>
    </row>
    <row r="23" spans="2:80" ht="15" customHeight="1">
      <c r="B23" s="80">
        <v>7116</v>
      </c>
      <c r="C23" s="97" t="str">
        <f>IF(MasterSheet!$A$1=1,MasterSheet!C79,MasterSheet!B79)</f>
        <v>Porez na međunarodnu trgovinu i transakcije</v>
      </c>
      <c r="D23" s="310">
        <v>16991768.359999999</v>
      </c>
      <c r="E23" s="251">
        <f t="shared" si="1"/>
        <v>0.46416719097440379</v>
      </c>
      <c r="F23" s="312">
        <v>17352205.703869566</v>
      </c>
      <c r="G23" s="251">
        <f t="shared" si="2"/>
        <v>0.47401332269428159</v>
      </c>
      <c r="H23" s="210">
        <f t="shared" si="3"/>
        <v>-360437.34386956692</v>
      </c>
      <c r="I23" s="243">
        <f t="shared" si="4"/>
        <v>-2.077184595553689</v>
      </c>
      <c r="J23" s="313">
        <v>16878989.120000001</v>
      </c>
      <c r="K23" s="251">
        <f t="shared" si="5"/>
        <v>0.48812831834350329</v>
      </c>
      <c r="L23" s="210">
        <f t="shared" si="6"/>
        <v>112779.23999999836</v>
      </c>
      <c r="M23" s="243">
        <f t="shared" si="0"/>
        <v>0.66816347352440175</v>
      </c>
      <c r="BX23" s="140"/>
      <c r="BY23" s="140"/>
      <c r="BZ23" s="81"/>
    </row>
    <row r="24" spans="2:80" ht="15" customHeight="1">
      <c r="B24" s="80">
        <v>7118</v>
      </c>
      <c r="C24" s="97" t="str">
        <f>IF(MasterSheet!$A$1=1,MasterSheet!C80,MasterSheet!B80)</f>
        <v>Ostali republički prihodi</v>
      </c>
      <c r="D24" s="314">
        <v>5006206.6999999993</v>
      </c>
      <c r="E24" s="251">
        <f t="shared" si="1"/>
        <v>0.13675544841150597</v>
      </c>
      <c r="F24" s="315">
        <v>4275446.9850768447</v>
      </c>
      <c r="G24" s="251">
        <f t="shared" si="2"/>
        <v>0.11679315390709002</v>
      </c>
      <c r="H24" s="210">
        <f t="shared" si="3"/>
        <v>730759.71492315456</v>
      </c>
      <c r="I24" s="243">
        <f t="shared" si="4"/>
        <v>17.092007396508976</v>
      </c>
      <c r="J24" s="316">
        <v>4420860.8600000003</v>
      </c>
      <c r="K24" s="251">
        <f t="shared" si="5"/>
        <v>0.1278481407790856</v>
      </c>
      <c r="L24" s="210">
        <f t="shared" si="6"/>
        <v>585345.83999999892</v>
      </c>
      <c r="M24" s="243">
        <f t="shared" si="0"/>
        <v>13.240539762203667</v>
      </c>
      <c r="BX24" s="140"/>
      <c r="BY24" s="140"/>
      <c r="BZ24" s="81"/>
    </row>
    <row r="25" spans="2:80" ht="15" customHeight="1">
      <c r="B25" s="80">
        <v>712</v>
      </c>
      <c r="C25" s="93" t="str">
        <f>IF(MasterSheet!$A$1=1,MasterSheet!C81,MasterSheet!B81)</f>
        <v>Doprinosi</v>
      </c>
      <c r="D25" s="154">
        <f>+SUM(D26:D29)</f>
        <v>305506518.59000003</v>
      </c>
      <c r="E25" s="252">
        <f t="shared" si="1"/>
        <v>8.3455764905619159</v>
      </c>
      <c r="F25" s="154">
        <f>+SUM(F26:F29)</f>
        <v>277645712.97294897</v>
      </c>
      <c r="G25" s="252">
        <f t="shared" si="2"/>
        <v>7.5844978548624296</v>
      </c>
      <c r="H25" s="209">
        <f t="shared" si="3"/>
        <v>27860805.617051065</v>
      </c>
      <c r="I25" s="242">
        <f t="shared" si="4"/>
        <v>10.034660834026838</v>
      </c>
      <c r="J25" s="154">
        <f>+SUM(J26:J29)</f>
        <v>284773148.30000007</v>
      </c>
      <c r="K25" s="252">
        <f t="shared" si="5"/>
        <v>8.2354361982706301</v>
      </c>
      <c r="L25" s="209">
        <f t="shared" si="6"/>
        <v>20733370.289999962</v>
      </c>
      <c r="M25" s="242">
        <f t="shared" si="0"/>
        <v>7.2806619633105214</v>
      </c>
      <c r="BX25" s="140"/>
      <c r="BY25" s="140"/>
      <c r="BZ25" s="81"/>
    </row>
    <row r="26" spans="2:80" ht="15" customHeight="1">
      <c r="B26" s="80">
        <v>7121</v>
      </c>
      <c r="C26" s="97" t="str">
        <f>IF(MasterSheet!$A$1=1,MasterSheet!C82,MasterSheet!B82)</f>
        <v>Doprinosi za penzijsko i invalidsko osiguranje</v>
      </c>
      <c r="D26" s="317">
        <v>184155249.08000004</v>
      </c>
      <c r="E26" s="251">
        <f t="shared" si="1"/>
        <v>5.0306020455104221</v>
      </c>
      <c r="F26" s="318">
        <v>164796139.64279217</v>
      </c>
      <c r="G26" s="251">
        <f t="shared" si="2"/>
        <v>4.5017657727427034</v>
      </c>
      <c r="H26" s="210">
        <f t="shared" si="3"/>
        <v>19359109.437207878</v>
      </c>
      <c r="I26" s="243">
        <f t="shared" si="4"/>
        <v>11.747307600269139</v>
      </c>
      <c r="J26" s="319">
        <v>173649012.32000002</v>
      </c>
      <c r="K26" s="251">
        <f t="shared" si="5"/>
        <v>5.0218054981347064</v>
      </c>
      <c r="L26" s="210">
        <f t="shared" si="6"/>
        <v>10506236.76000002</v>
      </c>
      <c r="M26" s="243">
        <f t="shared" si="0"/>
        <v>6.0502715331539889</v>
      </c>
      <c r="BX26" s="140"/>
      <c r="BY26" s="140"/>
      <c r="BZ26" s="81"/>
    </row>
    <row r="27" spans="2:80" ht="15" customHeight="1">
      <c r="B27" s="80">
        <v>7122</v>
      </c>
      <c r="C27" s="97" t="str">
        <f>IF(MasterSheet!$A$1=1,MasterSheet!C83,MasterSheet!B83)</f>
        <v>Doprinosi za zdravstveno osiguranje</v>
      </c>
      <c r="D27" s="317">
        <v>105016435.16999994</v>
      </c>
      <c r="E27" s="251">
        <f t="shared" si="1"/>
        <v>2.8687528388013206</v>
      </c>
      <c r="F27" s="318">
        <v>96122415.835395679</v>
      </c>
      <c r="G27" s="251">
        <f t="shared" si="2"/>
        <v>2.6257933137213012</v>
      </c>
      <c r="H27" s="210">
        <f t="shared" si="3"/>
        <v>8894019.3346042633</v>
      </c>
      <c r="I27" s="243">
        <f t="shared" si="4"/>
        <v>9.2528046213848683</v>
      </c>
      <c r="J27" s="319">
        <v>96553528.709999993</v>
      </c>
      <c r="K27" s="251">
        <f t="shared" si="5"/>
        <v>2.7922591373376902</v>
      </c>
      <c r="L27" s="210">
        <f t="shared" si="6"/>
        <v>8462906.4599999487</v>
      </c>
      <c r="M27" s="243">
        <f t="shared" si="0"/>
        <v>8.764989299788752</v>
      </c>
      <c r="BX27" s="140"/>
      <c r="BY27" s="140"/>
      <c r="BZ27" s="81"/>
    </row>
    <row r="28" spans="2:80" ht="15" customHeight="1">
      <c r="B28" s="80">
        <v>7123</v>
      </c>
      <c r="C28" s="97" t="str">
        <f>IF(MasterSheet!$A$1=1,MasterSheet!C84,MasterSheet!B84)</f>
        <v>Doprinosi za osiguranje od nezaposlenosti</v>
      </c>
      <c r="D28" s="317">
        <v>8483679.1799999997</v>
      </c>
      <c r="E28" s="251">
        <f t="shared" si="1"/>
        <v>0.23175018930805583</v>
      </c>
      <c r="F28" s="318">
        <v>8361258.4787641969</v>
      </c>
      <c r="G28" s="251">
        <f t="shared" si="2"/>
        <v>0.22840600100429417</v>
      </c>
      <c r="H28" s="210">
        <f t="shared" si="3"/>
        <v>122420.70123580284</v>
      </c>
      <c r="I28" s="243">
        <f t="shared" si="4"/>
        <v>1.4641420492707482</v>
      </c>
      <c r="J28" s="319">
        <v>7768242.3599999994</v>
      </c>
      <c r="K28" s="251">
        <f t="shared" si="5"/>
        <v>0.2246520246392319</v>
      </c>
      <c r="L28" s="210">
        <f t="shared" si="6"/>
        <v>715436.8200000003</v>
      </c>
      <c r="M28" s="243">
        <f t="shared" si="0"/>
        <v>9.2097644080198364</v>
      </c>
      <c r="BX28" s="140"/>
      <c r="BY28" s="140"/>
      <c r="BZ28" s="81"/>
    </row>
    <row r="29" spans="2:80" ht="15" customHeight="1">
      <c r="B29" s="80">
        <v>7124</v>
      </c>
      <c r="C29" s="97" t="str">
        <f>IF(MasterSheet!$A$1=1,MasterSheet!C85,MasterSheet!B85)</f>
        <v>Ostali doprinosi</v>
      </c>
      <c r="D29" s="317">
        <v>7851155.1600000001</v>
      </c>
      <c r="E29" s="251">
        <f t="shared" si="1"/>
        <v>0.21447141694211488</v>
      </c>
      <c r="F29" s="318">
        <v>8365899.0159969619</v>
      </c>
      <c r="G29" s="251">
        <f t="shared" si="2"/>
        <v>0.22853276739413123</v>
      </c>
      <c r="H29" s="210">
        <f t="shared" si="3"/>
        <v>-514743.85599696171</v>
      </c>
      <c r="I29" s="243">
        <f t="shared" si="4"/>
        <v>-6.1528815374496872</v>
      </c>
      <c r="J29" s="319">
        <v>6802364.9100000001</v>
      </c>
      <c r="K29" s="251">
        <f t="shared" si="5"/>
        <v>0.19671953815899823</v>
      </c>
      <c r="L29" s="210">
        <f t="shared" si="6"/>
        <v>1048790.25</v>
      </c>
      <c r="M29" s="243">
        <f t="shared" si="0"/>
        <v>15.418023935443358</v>
      </c>
      <c r="BX29" s="81"/>
      <c r="BY29" s="81"/>
      <c r="BZ29" s="81"/>
    </row>
    <row r="30" spans="2:80" ht="15" customHeight="1">
      <c r="B30" s="80">
        <v>713</v>
      </c>
      <c r="C30" s="93" t="str">
        <f>IF(MasterSheet!$A$1=1,MasterSheet!C86,MasterSheet!B86)</f>
        <v>Takse</v>
      </c>
      <c r="D30" s="334">
        <v>9797974.0899999999</v>
      </c>
      <c r="E30" s="252">
        <f t="shared" si="1"/>
        <v>0.26765301964105226</v>
      </c>
      <c r="F30" s="336">
        <v>12763151.637242066</v>
      </c>
      <c r="G30" s="252">
        <f t="shared" si="2"/>
        <v>0.34865330776195991</v>
      </c>
      <c r="H30" s="209">
        <f t="shared" si="3"/>
        <v>-2965177.5472420659</v>
      </c>
      <c r="I30" s="242">
        <f t="shared" si="4"/>
        <v>-23.232330317144132</v>
      </c>
      <c r="J30" s="338">
        <v>11746420.59</v>
      </c>
      <c r="K30" s="252">
        <f t="shared" si="5"/>
        <v>0.33969809971369908</v>
      </c>
      <c r="L30" s="209">
        <f t="shared" si="6"/>
        <v>-1948446.5</v>
      </c>
      <c r="M30" s="242">
        <f t="shared" si="0"/>
        <v>-16.587576488268752</v>
      </c>
      <c r="BX30" s="81"/>
      <c r="BY30" s="81"/>
      <c r="BZ30" s="81"/>
    </row>
    <row r="31" spans="2:80" ht="15" customHeight="1">
      <c r="B31" s="80">
        <v>714</v>
      </c>
      <c r="C31" s="93" t="str">
        <f>IF(MasterSheet!$A$1=1,MasterSheet!C91,MasterSheet!B91)</f>
        <v>Naknade</v>
      </c>
      <c r="D31" s="334">
        <v>20641803.080000002</v>
      </c>
      <c r="E31" s="252">
        <f t="shared" si="1"/>
        <v>0.56387584560329995</v>
      </c>
      <c r="F31" s="336">
        <v>9634458.1662651524</v>
      </c>
      <c r="G31" s="252">
        <f t="shared" si="2"/>
        <v>0.26318622575641687</v>
      </c>
      <c r="H31" s="209">
        <f t="shared" si="3"/>
        <v>11007344.91373485</v>
      </c>
      <c r="I31" s="242">
        <f t="shared" si="4"/>
        <v>114.24975565597273</v>
      </c>
      <c r="J31" s="338">
        <v>11632633.620000001</v>
      </c>
      <c r="K31" s="252">
        <f t="shared" si="5"/>
        <v>0.33640746175424396</v>
      </c>
      <c r="L31" s="209">
        <f t="shared" si="6"/>
        <v>9009169.4600000009</v>
      </c>
      <c r="M31" s="242">
        <f t="shared" si="0"/>
        <v>77.447375670033352</v>
      </c>
      <c r="BX31" s="140"/>
      <c r="BY31" s="140"/>
      <c r="BZ31" s="140"/>
    </row>
    <row r="32" spans="2:80" ht="15" customHeight="1">
      <c r="B32" s="80">
        <v>715</v>
      </c>
      <c r="C32" s="93" t="str">
        <f>IF(MasterSheet!$A$1=1,MasterSheet!C98,MasterSheet!B98)</f>
        <v>Ostali prihodi</v>
      </c>
      <c r="D32" s="334">
        <v>19149969.179999996</v>
      </c>
      <c r="E32" s="252">
        <f t="shared" si="1"/>
        <v>0.52312315076351501</v>
      </c>
      <c r="F32" s="336">
        <v>25794725.673855238</v>
      </c>
      <c r="G32" s="252">
        <f t="shared" si="2"/>
        <v>0.7046391584630054</v>
      </c>
      <c r="H32" s="209">
        <f t="shared" si="3"/>
        <v>-6644756.4938552417</v>
      </c>
      <c r="I32" s="242">
        <f t="shared" si="4"/>
        <v>-25.760136307982407</v>
      </c>
      <c r="J32" s="338">
        <v>21524769.009999998</v>
      </c>
      <c r="K32" s="252">
        <f t="shared" si="5"/>
        <v>0.62248095693918271</v>
      </c>
      <c r="L32" s="209">
        <f t="shared" si="6"/>
        <v>-2374799.8300000019</v>
      </c>
      <c r="M32" s="242">
        <f t="shared" si="0"/>
        <v>-11.032870219869565</v>
      </c>
      <c r="BX32" s="81"/>
      <c r="BY32" s="81"/>
      <c r="BZ32" s="81"/>
      <c r="CA32" s="81"/>
      <c r="CB32" s="81"/>
    </row>
    <row r="33" spans="1:81">
      <c r="B33" s="80">
        <v>73</v>
      </c>
      <c r="C33" s="101" t="str">
        <f>IF(MasterSheet!$A$1=1,MasterSheet!C103,MasterSheet!B103)</f>
        <v>Primici od otplate kredita i sredstva prenijeta iz prethodne godine</v>
      </c>
      <c r="D33" s="334">
        <v>4824939.16</v>
      </c>
      <c r="E33" s="252">
        <f t="shared" si="1"/>
        <v>0.13180373043407001</v>
      </c>
      <c r="F33" s="336">
        <v>2614055.379957906</v>
      </c>
      <c r="G33" s="252">
        <f t="shared" si="2"/>
        <v>7.1408620754443292E-2</v>
      </c>
      <c r="H33" s="209">
        <f t="shared" si="3"/>
        <v>2210883.7800420942</v>
      </c>
      <c r="I33" s="242">
        <f t="shared" si="4"/>
        <v>84.576776643412046</v>
      </c>
      <c r="J33" s="338">
        <v>2903471.64</v>
      </c>
      <c r="K33" s="252">
        <f t="shared" si="5"/>
        <v>8.3966327539836322E-2</v>
      </c>
      <c r="L33" s="209">
        <f t="shared" si="6"/>
        <v>1921467.52</v>
      </c>
      <c r="M33" s="242">
        <f t="shared" si="0"/>
        <v>66.178277532616079</v>
      </c>
      <c r="BW33" s="100"/>
      <c r="BX33" s="100"/>
      <c r="BY33" s="99"/>
      <c r="BZ33" s="145"/>
      <c r="CA33" s="145"/>
      <c r="CB33" s="145"/>
      <c r="CC33" s="142"/>
    </row>
    <row r="34" spans="1:81" ht="13.5" customHeight="1" thickBot="1">
      <c r="B34" s="80">
        <v>74</v>
      </c>
      <c r="C34" s="93" t="s">
        <v>123</v>
      </c>
      <c r="D34" s="335">
        <v>3311021.07</v>
      </c>
      <c r="E34" s="252">
        <f t="shared" si="1"/>
        <v>9.0447757805884113E-2</v>
      </c>
      <c r="F34" s="337">
        <v>3719025.701478377</v>
      </c>
      <c r="G34" s="252">
        <f t="shared" si="2"/>
        <v>0.10159329367275048</v>
      </c>
      <c r="H34" s="209">
        <f t="shared" si="3"/>
        <v>-408004.63147837715</v>
      </c>
      <c r="I34" s="242">
        <f t="shared" si="4"/>
        <v>-10.970739764347101</v>
      </c>
      <c r="J34" s="339">
        <v>3154383.71</v>
      </c>
      <c r="K34" s="252">
        <f t="shared" si="5"/>
        <v>9.1222525521270137E-2</v>
      </c>
      <c r="L34" s="209">
        <f t="shared" si="6"/>
        <v>156637.35999999987</v>
      </c>
      <c r="M34" s="242">
        <f t="shared" si="0"/>
        <v>4.9657040614123673</v>
      </c>
      <c r="BX34" s="161"/>
      <c r="BY34" s="161"/>
      <c r="BZ34" s="145"/>
      <c r="CA34" s="145"/>
      <c r="CB34" s="145"/>
      <c r="CC34" s="142"/>
    </row>
    <row r="35" spans="1:81" ht="15" customHeight="1" thickTop="1" thickBot="1">
      <c r="B35" s="102"/>
      <c r="C35" s="90" t="s">
        <v>467</v>
      </c>
      <c r="D35" s="91">
        <f>+D37+D48+SUM(D54:D60)</f>
        <v>1208982772.3700001</v>
      </c>
      <c r="E35" s="311">
        <f t="shared" si="1"/>
        <v>33.02599973693556</v>
      </c>
      <c r="F35" s="91">
        <f>+F37+F48+SUM(F54:F60)</f>
        <v>1173726612.0899999</v>
      </c>
      <c r="G35" s="236">
        <f t="shared" si="2"/>
        <v>32.062900868413138</v>
      </c>
      <c r="H35" s="91">
        <f t="shared" si="3"/>
        <v>35256160.28000021</v>
      </c>
      <c r="I35" s="233">
        <f t="shared" si="4"/>
        <v>3.0037795783824919</v>
      </c>
      <c r="J35" s="91">
        <f>+J37+J48+SUM(J54:J59)</f>
        <v>1009474377.0300001</v>
      </c>
      <c r="K35" s="311">
        <f t="shared" si="5"/>
        <v>29.193278493594381</v>
      </c>
      <c r="L35" s="91">
        <f t="shared" si="6"/>
        <v>199508395.34000003</v>
      </c>
      <c r="M35" s="233">
        <f t="shared" si="0"/>
        <v>19.76359181369007</v>
      </c>
      <c r="BX35" s="81"/>
      <c r="BY35" s="81"/>
      <c r="BZ35" s="145"/>
      <c r="CA35" s="145"/>
      <c r="CB35" s="145"/>
      <c r="CC35" s="142"/>
    </row>
    <row r="36" spans="1:81" ht="13.5" customHeight="1" thickTop="1" thickBot="1">
      <c r="C36" s="90" t="s">
        <v>63</v>
      </c>
      <c r="D36" s="91">
        <f>+D35-D55</f>
        <v>1013157613.9200001</v>
      </c>
      <c r="E36" s="311">
        <f t="shared" si="1"/>
        <v>27.676608679214361</v>
      </c>
      <c r="F36" s="91">
        <f>+F35-F55</f>
        <v>960203804.33999991</v>
      </c>
      <c r="G36" s="236">
        <f t="shared" si="2"/>
        <v>26.230059943180262</v>
      </c>
      <c r="H36" s="91">
        <f t="shared" si="3"/>
        <v>52953809.580000162</v>
      </c>
      <c r="I36" s="233">
        <f t="shared" si="4"/>
        <v>5.514851049397592</v>
      </c>
      <c r="J36" s="162">
        <f>+J35-J55</f>
        <v>967666453.75000012</v>
      </c>
      <c r="K36" s="311">
        <f t="shared" si="5"/>
        <v>27.984223191821627</v>
      </c>
      <c r="L36" s="91">
        <f t="shared" ref="L36:L72" si="7">+D36-J36</f>
        <v>45491160.169999957</v>
      </c>
      <c r="M36" s="233">
        <f t="shared" si="0"/>
        <v>4.701119894536788</v>
      </c>
      <c r="N36" s="220"/>
      <c r="BX36" s="161"/>
      <c r="BY36" s="161"/>
      <c r="BZ36" s="145"/>
      <c r="CA36" s="145"/>
      <c r="CB36" s="145"/>
      <c r="CC36" s="142"/>
    </row>
    <row r="37" spans="1:81" ht="13.5" customHeight="1" thickTop="1">
      <c r="A37" s="80">
        <v>41</v>
      </c>
      <c r="C37" s="93" t="s">
        <v>454</v>
      </c>
      <c r="D37" s="94">
        <f>+SUM(D38:D47)</f>
        <v>477226149.31</v>
      </c>
      <c r="E37" s="252">
        <f t="shared" si="1"/>
        <v>13.036472513726881</v>
      </c>
      <c r="F37" s="94">
        <f>+SUM(F38:F47)</f>
        <v>473869765.55249995</v>
      </c>
      <c r="G37" s="237">
        <f t="shared" si="2"/>
        <v>12.944785575231514</v>
      </c>
      <c r="H37" s="207">
        <f t="shared" si="3"/>
        <v>3356383.7575000525</v>
      </c>
      <c r="I37" s="242">
        <f t="shared" si="4"/>
        <v>0.70829244688923154</v>
      </c>
      <c r="J37" s="94">
        <f>+SUM(J38:J47)</f>
        <v>465691336.56000012</v>
      </c>
      <c r="K37" s="252">
        <f t="shared" si="5"/>
        <v>13.467461076375839</v>
      </c>
      <c r="L37" s="207">
        <f t="shared" si="7"/>
        <v>11534812.749999881</v>
      </c>
      <c r="M37" s="242">
        <f t="shared" si="0"/>
        <v>2.4769223398498212</v>
      </c>
      <c r="BX37" s="161"/>
      <c r="BY37" s="161"/>
      <c r="BZ37" s="145"/>
      <c r="CA37" s="145"/>
      <c r="CB37" s="145"/>
      <c r="CC37" s="142"/>
    </row>
    <row r="38" spans="1:81" ht="13.5" customHeight="1">
      <c r="B38" s="80">
        <v>411</v>
      </c>
      <c r="C38" s="93" t="s">
        <v>64</v>
      </c>
      <c r="D38" s="340">
        <v>283409058.75999999</v>
      </c>
      <c r="E38" s="252">
        <f t="shared" si="1"/>
        <v>7.7419362078291032</v>
      </c>
      <c r="F38" s="341">
        <v>284522697.54750001</v>
      </c>
      <c r="G38" s="237">
        <f t="shared" si="2"/>
        <v>7.7723576787909421</v>
      </c>
      <c r="H38" s="209">
        <f t="shared" si="3"/>
        <v>-1113638.7875000238</v>
      </c>
      <c r="I38" s="242">
        <f t="shared" si="4"/>
        <v>-0.39140595709912418</v>
      </c>
      <c r="J38" s="342">
        <v>286637267.34000009</v>
      </c>
      <c r="K38" s="252">
        <f t="shared" si="5"/>
        <v>8.2893451904335027</v>
      </c>
      <c r="L38" s="209">
        <f t="shared" si="7"/>
        <v>-3228208.5800001025</v>
      </c>
      <c r="M38" s="242">
        <f t="shared" si="0"/>
        <v>-1.1262347739908165</v>
      </c>
      <c r="BX38" s="161"/>
      <c r="BY38" s="161"/>
      <c r="BZ38" s="145"/>
      <c r="CA38" s="145"/>
      <c r="CB38" s="145"/>
      <c r="CC38" s="142"/>
    </row>
    <row r="39" spans="1:81" ht="13.5" customHeight="1">
      <c r="B39" s="80">
        <v>412</v>
      </c>
      <c r="C39" s="93" t="s">
        <v>75</v>
      </c>
      <c r="D39" s="340">
        <v>9425462.3200000022</v>
      </c>
      <c r="E39" s="252">
        <f t="shared" si="1"/>
        <v>0.25747704865189724</v>
      </c>
      <c r="F39" s="341">
        <v>8714703.7649999987</v>
      </c>
      <c r="G39" s="237">
        <f t="shared" si="2"/>
        <v>0.2380611294287977</v>
      </c>
      <c r="H39" s="209">
        <f t="shared" si="3"/>
        <v>710758.55500000343</v>
      </c>
      <c r="I39" s="242">
        <f t="shared" si="4"/>
        <v>8.1558544520417655</v>
      </c>
      <c r="J39" s="342">
        <v>7243628.9699999932</v>
      </c>
      <c r="K39" s="252">
        <f t="shared" si="5"/>
        <v>0.20948057983168955</v>
      </c>
      <c r="L39" s="209">
        <f t="shared" si="7"/>
        <v>2181833.3500000089</v>
      </c>
      <c r="M39" s="242">
        <f t="shared" si="0"/>
        <v>30.120722072268308</v>
      </c>
      <c r="BX39" s="161"/>
      <c r="BY39" s="161"/>
      <c r="BZ39" s="145"/>
      <c r="CA39" s="145"/>
      <c r="CB39" s="145"/>
      <c r="CC39" s="142"/>
    </row>
    <row r="40" spans="1:81" ht="13.5" customHeight="1">
      <c r="B40" s="80">
        <v>413</v>
      </c>
      <c r="C40" s="93" t="s">
        <v>429</v>
      </c>
      <c r="D40" s="340">
        <v>15667669.019999998</v>
      </c>
      <c r="E40" s="252">
        <f t="shared" si="1"/>
        <v>0.4279965312645122</v>
      </c>
      <c r="F40" s="341">
        <v>22054561.559999999</v>
      </c>
      <c r="G40" s="237">
        <f t="shared" si="2"/>
        <v>0.60246842297921155</v>
      </c>
      <c r="H40" s="209">
        <f t="shared" si="3"/>
        <v>-6386892.540000001</v>
      </c>
      <c r="I40" s="242">
        <f t="shared" si="4"/>
        <v>-28.959508093707939</v>
      </c>
      <c r="J40" s="342">
        <v>17225174.52</v>
      </c>
      <c r="K40" s="252">
        <f t="shared" si="5"/>
        <v>0.4981397530292952</v>
      </c>
      <c r="L40" s="209">
        <f t="shared" si="7"/>
        <v>-1557505.5000000019</v>
      </c>
      <c r="M40" s="242">
        <f t="shared" si="0"/>
        <v>-9.0420303039112611</v>
      </c>
      <c r="BX40" s="161"/>
      <c r="BY40" s="161"/>
      <c r="BZ40" s="145"/>
      <c r="CA40" s="145"/>
      <c r="CB40" s="145"/>
      <c r="CC40" s="142"/>
    </row>
    <row r="41" spans="1:81" ht="13.5" customHeight="1">
      <c r="B41" s="80">
        <v>414</v>
      </c>
      <c r="C41" s="93" t="s">
        <v>430</v>
      </c>
      <c r="D41" s="340">
        <v>35284536.479999997</v>
      </c>
      <c r="E41" s="252">
        <f t="shared" si="1"/>
        <v>0.96387402627912677</v>
      </c>
      <c r="F41" s="341">
        <v>31147930.139999993</v>
      </c>
      <c r="G41" s="237">
        <f t="shared" si="2"/>
        <v>0.85087360723358896</v>
      </c>
      <c r="H41" s="209">
        <f t="shared" si="3"/>
        <v>4136606.3400000036</v>
      </c>
      <c r="I41" s="242">
        <f t="shared" si="4"/>
        <v>13.280517586264253</v>
      </c>
      <c r="J41" s="342">
        <v>32065179.390000027</v>
      </c>
      <c r="K41" s="252">
        <f t="shared" si="5"/>
        <v>0.92730210214291975</v>
      </c>
      <c r="L41" s="209">
        <f t="shared" si="7"/>
        <v>3219357.08999997</v>
      </c>
      <c r="M41" s="242">
        <f t="shared" si="0"/>
        <v>10.040040789554965</v>
      </c>
      <c r="BX41" s="161"/>
      <c r="BY41" s="161"/>
      <c r="BZ41" s="145"/>
      <c r="CA41" s="145"/>
      <c r="CB41" s="145"/>
      <c r="CC41" s="142"/>
    </row>
    <row r="42" spans="1:81" ht="13.5" customHeight="1">
      <c r="B42" s="80">
        <v>415</v>
      </c>
      <c r="C42" s="93" t="s">
        <v>431</v>
      </c>
      <c r="D42" s="340">
        <v>14537643.159999998</v>
      </c>
      <c r="E42" s="252">
        <f t="shared" si="1"/>
        <v>0.39712741169721633</v>
      </c>
      <c r="F42" s="341">
        <v>15608415.997500006</v>
      </c>
      <c r="G42" s="237">
        <f t="shared" si="2"/>
        <v>0.4263779057967057</v>
      </c>
      <c r="H42" s="209">
        <f t="shared" si="3"/>
        <v>-1070772.8375000078</v>
      </c>
      <c r="I42" s="242">
        <f t="shared" si="4"/>
        <v>-6.8602274418590099</v>
      </c>
      <c r="J42" s="342">
        <v>14120192.540000001</v>
      </c>
      <c r="K42" s="252">
        <f t="shared" si="5"/>
        <v>0.40834589028022789</v>
      </c>
      <c r="L42" s="209">
        <f t="shared" si="7"/>
        <v>417450.61999999732</v>
      </c>
      <c r="M42" s="242">
        <f t="shared" si="0"/>
        <v>2.9564088366177259</v>
      </c>
      <c r="BX42" s="161"/>
      <c r="BY42" s="161"/>
      <c r="BZ42" s="145"/>
      <c r="CA42" s="145"/>
      <c r="CB42" s="145"/>
      <c r="CC42" s="142"/>
    </row>
    <row r="43" spans="1:81" ht="13.5" customHeight="1">
      <c r="B43" s="80">
        <v>416</v>
      </c>
      <c r="C43" s="93" t="s">
        <v>80</v>
      </c>
      <c r="D43" s="340">
        <v>72797011.520000011</v>
      </c>
      <c r="E43" s="252">
        <f t="shared" si="1"/>
        <v>1.9886090507280032</v>
      </c>
      <c r="F43" s="341">
        <v>56824412.977499999</v>
      </c>
      <c r="G43" s="237">
        <f t="shared" si="2"/>
        <v>1.5522827048788483</v>
      </c>
      <c r="H43" s="209">
        <f t="shared" si="3"/>
        <v>15972598.542500012</v>
      </c>
      <c r="I43" s="242">
        <f t="shared" si="4"/>
        <v>28.108690799541506</v>
      </c>
      <c r="J43" s="342">
        <v>68162933.670000002</v>
      </c>
      <c r="K43" s="252">
        <f t="shared" si="5"/>
        <v>1.9712233919430868</v>
      </c>
      <c r="L43" s="209">
        <f t="shared" si="7"/>
        <v>4634077.8500000089</v>
      </c>
      <c r="M43" s="242">
        <f t="shared" si="0"/>
        <v>6.7985305216397478</v>
      </c>
      <c r="BX43" s="161"/>
      <c r="BY43" s="161"/>
      <c r="BZ43" s="145"/>
      <c r="CA43" s="145"/>
      <c r="CB43" s="145"/>
      <c r="CC43" s="142"/>
    </row>
    <row r="44" spans="1:81" ht="13.5" customHeight="1">
      <c r="B44" s="80">
        <v>417</v>
      </c>
      <c r="C44" s="93" t="s">
        <v>82</v>
      </c>
      <c r="D44" s="340">
        <v>6436681.3799999999</v>
      </c>
      <c r="E44" s="252">
        <f t="shared" si="1"/>
        <v>0.17583198240773623</v>
      </c>
      <c r="F44" s="341">
        <v>6245970.3674999988</v>
      </c>
      <c r="G44" s="237">
        <f t="shared" si="2"/>
        <v>0.17062229539432347</v>
      </c>
      <c r="H44" s="209">
        <f t="shared" si="3"/>
        <v>190711.01250000112</v>
      </c>
      <c r="I44" s="242">
        <f t="shared" si="4"/>
        <v>3.0533448172014772</v>
      </c>
      <c r="J44" s="342">
        <v>6003495.9799999995</v>
      </c>
      <c r="K44" s="252">
        <f t="shared" si="5"/>
        <v>0.17361681887851005</v>
      </c>
      <c r="L44" s="209">
        <f t="shared" si="7"/>
        <v>433185.40000000037</v>
      </c>
      <c r="M44" s="242">
        <f t="shared" si="0"/>
        <v>7.215552428836645</v>
      </c>
      <c r="BX44" s="161"/>
      <c r="BY44" s="161"/>
      <c r="BZ44" s="145"/>
      <c r="CA44" s="145"/>
      <c r="CB44" s="145"/>
      <c r="CC44" s="142"/>
    </row>
    <row r="45" spans="1:81" ht="13.5" customHeight="1">
      <c r="B45" s="80">
        <v>418</v>
      </c>
      <c r="C45" s="93" t="s">
        <v>84</v>
      </c>
      <c r="D45" s="340">
        <v>10930418.460000001</v>
      </c>
      <c r="E45" s="252">
        <f t="shared" si="1"/>
        <v>0.29858820608080422</v>
      </c>
      <c r="F45" s="341">
        <v>15938699.999999998</v>
      </c>
      <c r="G45" s="237">
        <f t="shared" si="2"/>
        <v>0.43540033326959321</v>
      </c>
      <c r="H45" s="209">
        <f t="shared" si="3"/>
        <v>-5008281.5399999972</v>
      </c>
      <c r="I45" s="242">
        <f t="shared" si="4"/>
        <v>-31.42214572079277</v>
      </c>
      <c r="J45" s="342">
        <v>12079768.830000002</v>
      </c>
      <c r="K45" s="252">
        <f t="shared" si="5"/>
        <v>0.34933829289453139</v>
      </c>
      <c r="L45" s="209">
        <f t="shared" si="7"/>
        <v>-1149350.370000001</v>
      </c>
      <c r="M45" s="242">
        <f t="shared" si="0"/>
        <v>-9.5146718962501922</v>
      </c>
      <c r="BX45" s="161"/>
      <c r="BY45" s="161"/>
      <c r="BZ45" s="145"/>
      <c r="CA45" s="145"/>
      <c r="CB45" s="145"/>
      <c r="CC45" s="142"/>
    </row>
    <row r="46" spans="1:81" ht="13.5" customHeight="1">
      <c r="B46" s="80">
        <v>419</v>
      </c>
      <c r="C46" s="93" t="s">
        <v>86</v>
      </c>
      <c r="D46" s="340">
        <v>18981941.799999997</v>
      </c>
      <c r="E46" s="252">
        <f t="shared" si="1"/>
        <v>0.51853311661704038</v>
      </c>
      <c r="F46" s="341">
        <v>22424965.289999992</v>
      </c>
      <c r="G46" s="237">
        <f t="shared" si="2"/>
        <v>0.61258680826071488</v>
      </c>
      <c r="H46" s="209">
        <f t="shared" si="3"/>
        <v>-3443023.4899999946</v>
      </c>
      <c r="I46" s="242">
        <f t="shared" si="4"/>
        <v>-15.353528736721614</v>
      </c>
      <c r="J46" s="342">
        <v>16052616.050000001</v>
      </c>
      <c r="K46" s="252">
        <f>+J45/$J$11*100</f>
        <v>0.34933829289453139</v>
      </c>
      <c r="L46" s="209">
        <f t="shared" si="7"/>
        <v>2929325.7499999963</v>
      </c>
      <c r="M46" s="242">
        <f t="shared" si="0"/>
        <v>18.248276423455593</v>
      </c>
      <c r="BX46" s="161"/>
      <c r="BY46" s="161"/>
      <c r="BZ46" s="145"/>
      <c r="CA46" s="145"/>
      <c r="CB46" s="145"/>
      <c r="CC46" s="142"/>
    </row>
    <row r="47" spans="1:81" ht="13.5" customHeight="1">
      <c r="B47" s="80">
        <v>441</v>
      </c>
      <c r="C47" s="93" t="s">
        <v>130</v>
      </c>
      <c r="D47" s="340">
        <v>9755726.410000002</v>
      </c>
      <c r="E47" s="237">
        <f t="shared" si="1"/>
        <v>0.26649893217144266</v>
      </c>
      <c r="F47" s="341">
        <v>10387407.907499997</v>
      </c>
      <c r="G47" s="237">
        <f t="shared" si="2"/>
        <v>0.28375468919878705</v>
      </c>
      <c r="H47" s="209">
        <f t="shared" si="3"/>
        <v>-631681.49749999493</v>
      </c>
      <c r="I47" s="244">
        <f t="shared" si="4"/>
        <v>-6.08122356535074</v>
      </c>
      <c r="J47" s="342">
        <v>6101079.2699999996</v>
      </c>
      <c r="K47" s="237">
        <f>+J46/$J$11*100</f>
        <v>0.46423019896468953</v>
      </c>
      <c r="L47" s="209">
        <f t="shared" si="7"/>
        <v>3654647.1400000025</v>
      </c>
      <c r="M47" s="244">
        <f t="shared" si="0"/>
        <v>59.901649827277225</v>
      </c>
      <c r="BX47" s="161"/>
      <c r="BY47" s="161"/>
      <c r="BZ47" s="145"/>
      <c r="CA47" s="145"/>
      <c r="CB47" s="145"/>
      <c r="CC47" s="142"/>
    </row>
    <row r="48" spans="1:81" ht="13.5" customHeight="1">
      <c r="A48" s="80">
        <v>42</v>
      </c>
      <c r="B48" s="80" t="s">
        <v>428</v>
      </c>
      <c r="C48" s="93" t="s">
        <v>87</v>
      </c>
      <c r="D48" s="154">
        <f>+SUM(D49:D53)</f>
        <v>364428157.34000015</v>
      </c>
      <c r="E48" s="252">
        <f t="shared" si="1"/>
        <v>9.9551494888955698</v>
      </c>
      <c r="F48" s="154">
        <f>+SUM(F49:F53)</f>
        <v>378634143.75</v>
      </c>
      <c r="G48" s="237">
        <f t="shared" si="2"/>
        <v>10.343216973529652</v>
      </c>
      <c r="H48" s="207">
        <f t="shared" si="3"/>
        <v>-14205986.409999847</v>
      </c>
      <c r="I48" s="242">
        <f t="shared" si="4"/>
        <v>-3.7519031615330505</v>
      </c>
      <c r="J48" s="154">
        <f>+SUM(J49:J53)</f>
        <v>367964729.96999997</v>
      </c>
      <c r="K48" s="252">
        <f t="shared" si="5"/>
        <v>10.641277364007056</v>
      </c>
      <c r="L48" s="207">
        <f t="shared" si="7"/>
        <v>-3536572.6299998164</v>
      </c>
      <c r="M48" s="242">
        <f t="shared" si="0"/>
        <v>-0.96111728705307087</v>
      </c>
      <c r="BX48" s="161"/>
      <c r="BY48" s="161"/>
      <c r="BZ48" s="145"/>
      <c r="CA48" s="145"/>
      <c r="CB48" s="145"/>
      <c r="CC48" s="142"/>
    </row>
    <row r="49" spans="1:81" ht="13.5" customHeight="1">
      <c r="B49" s="80">
        <v>421</v>
      </c>
      <c r="C49" s="97" t="s">
        <v>89</v>
      </c>
      <c r="D49" s="320">
        <v>45130992.329999998</v>
      </c>
      <c r="E49" s="251">
        <f t="shared" si="1"/>
        <v>1.2328514308738765</v>
      </c>
      <c r="F49" s="321">
        <v>45397968.75</v>
      </c>
      <c r="G49" s="238">
        <f t="shared" si="2"/>
        <v>1.2401444737345315</v>
      </c>
      <c r="H49" s="210">
        <f t="shared" si="3"/>
        <v>-266976.42000000179</v>
      </c>
      <c r="I49" s="243">
        <f t="shared" si="4"/>
        <v>-0.58808009994940846</v>
      </c>
      <c r="J49" s="322">
        <v>46046808.619999997</v>
      </c>
      <c r="K49" s="251">
        <f t="shared" si="5"/>
        <v>1.3316408403944591</v>
      </c>
      <c r="L49" s="210">
        <f t="shared" si="7"/>
        <v>-915816.28999999911</v>
      </c>
      <c r="M49" s="243">
        <f t="shared" si="0"/>
        <v>-1.9888811351895157</v>
      </c>
      <c r="BX49" s="161"/>
      <c r="BY49" s="161"/>
      <c r="BZ49" s="145"/>
      <c r="CA49" s="145"/>
      <c r="CB49" s="145"/>
      <c r="CC49" s="142"/>
    </row>
    <row r="50" spans="1:81" ht="13.5" customHeight="1">
      <c r="B50" s="80">
        <v>422</v>
      </c>
      <c r="C50" s="97" t="s">
        <v>91</v>
      </c>
      <c r="D50" s="320">
        <v>13046157.02</v>
      </c>
      <c r="E50" s="251">
        <f t="shared" si="1"/>
        <v>0.35638421667986997</v>
      </c>
      <c r="F50" s="321">
        <v>14580000</v>
      </c>
      <c r="G50" s="238">
        <f t="shared" si="2"/>
        <v>0.39828448111017017</v>
      </c>
      <c r="H50" s="210">
        <f t="shared" si="3"/>
        <v>-1533842.9800000004</v>
      </c>
      <c r="I50" s="243">
        <f t="shared" si="4"/>
        <v>-10.520185048010973</v>
      </c>
      <c r="J50" s="322">
        <v>17052455.699999999</v>
      </c>
      <c r="K50" s="251">
        <f t="shared" si="5"/>
        <v>0.4931448480291506</v>
      </c>
      <c r="L50" s="210">
        <f t="shared" si="7"/>
        <v>-4006298.6799999997</v>
      </c>
      <c r="M50" s="243">
        <f t="shared" si="0"/>
        <v>-23.493969141347776</v>
      </c>
      <c r="BX50" s="161"/>
      <c r="BY50" s="161"/>
      <c r="BZ50" s="145"/>
      <c r="CA50" s="145"/>
      <c r="CB50" s="145"/>
      <c r="CC50" s="142"/>
    </row>
    <row r="51" spans="1:81" ht="13.5" customHeight="1">
      <c r="B51" s="80">
        <v>423</v>
      </c>
      <c r="C51" s="97" t="s">
        <v>93</v>
      </c>
      <c r="D51" s="320">
        <v>289532440.16000009</v>
      </c>
      <c r="E51" s="251">
        <f t="shared" si="1"/>
        <v>7.9092097183598788</v>
      </c>
      <c r="F51" s="321">
        <v>301841175</v>
      </c>
      <c r="G51" s="238">
        <f t="shared" si="2"/>
        <v>8.2454496407790856</v>
      </c>
      <c r="H51" s="210">
        <f t="shared" si="3"/>
        <v>-12308734.839999914</v>
      </c>
      <c r="I51" s="243">
        <f t="shared" si="4"/>
        <v>-4.0778846159739146</v>
      </c>
      <c r="J51" s="322">
        <v>288390330.13</v>
      </c>
      <c r="K51" s="251">
        <f t="shared" si="5"/>
        <v>8.3400425151103263</v>
      </c>
      <c r="L51" s="210">
        <f t="shared" si="7"/>
        <v>1142110.0300000906</v>
      </c>
      <c r="M51" s="243">
        <f t="shared" si="0"/>
        <v>0.39602923908206833</v>
      </c>
      <c r="BX51" s="161"/>
      <c r="BY51" s="161"/>
      <c r="BZ51" s="145"/>
      <c r="CA51" s="145"/>
      <c r="CB51" s="145"/>
      <c r="CC51" s="142"/>
    </row>
    <row r="52" spans="1:81" ht="13.5" customHeight="1">
      <c r="B52" s="80">
        <v>424</v>
      </c>
      <c r="C52" s="97" t="s">
        <v>95</v>
      </c>
      <c r="D52" s="320">
        <v>10857108.42</v>
      </c>
      <c r="E52" s="251">
        <f t="shared" si="1"/>
        <v>0.29658558253885869</v>
      </c>
      <c r="F52" s="321">
        <v>11250000</v>
      </c>
      <c r="G52" s="238">
        <f t="shared" si="2"/>
        <v>0.30731827246155108</v>
      </c>
      <c r="H52" s="210">
        <f t="shared" si="3"/>
        <v>-392891.58000000007</v>
      </c>
      <c r="I52" s="243">
        <f t="shared" si="4"/>
        <v>-3.4923696000000035</v>
      </c>
      <c r="J52" s="322">
        <v>10816800</v>
      </c>
      <c r="K52" s="251">
        <f t="shared" si="5"/>
        <v>0.31281413574712974</v>
      </c>
      <c r="L52" s="210">
        <f t="shared" si="7"/>
        <v>40308.419999999925</v>
      </c>
      <c r="M52" s="243">
        <f t="shared" si="0"/>
        <v>0.37264643887286297</v>
      </c>
      <c r="BX52" s="161"/>
      <c r="BY52" s="161"/>
      <c r="BZ52" s="145"/>
      <c r="CA52" s="145"/>
      <c r="CB52" s="145"/>
      <c r="CC52" s="142"/>
    </row>
    <row r="53" spans="1:81" ht="13.5" customHeight="1">
      <c r="B53" s="80">
        <v>425</v>
      </c>
      <c r="C53" s="97" t="s">
        <v>432</v>
      </c>
      <c r="D53" s="320">
        <v>5861459.4099999992</v>
      </c>
      <c r="E53" s="251">
        <f t="shared" si="1"/>
        <v>0.16011854044308466</v>
      </c>
      <c r="F53" s="321">
        <v>5564999.9999999981</v>
      </c>
      <c r="G53" s="238">
        <f t="shared" si="2"/>
        <v>0.15202010544431388</v>
      </c>
      <c r="H53" s="210">
        <f t="shared" si="3"/>
        <v>296459.41000000108</v>
      </c>
      <c r="I53" s="243">
        <f t="shared" si="4"/>
        <v>5.3272131176999267</v>
      </c>
      <c r="J53" s="322">
        <v>5658335.5200000005</v>
      </c>
      <c r="K53" s="251">
        <f t="shared" si="5"/>
        <v>0.16363502472598979</v>
      </c>
      <c r="L53" s="210">
        <f t="shared" si="7"/>
        <v>203123.88999999873</v>
      </c>
      <c r="M53" s="243">
        <f t="shared" si="0"/>
        <v>3.5898169926833674</v>
      </c>
      <c r="BX53" s="161"/>
      <c r="BY53" s="161"/>
      <c r="BZ53" s="145"/>
      <c r="CA53" s="145"/>
      <c r="CB53" s="145"/>
      <c r="CC53" s="142"/>
    </row>
    <row r="54" spans="1:81" ht="13.5" customHeight="1" thickBot="1">
      <c r="A54" s="80">
        <v>43</v>
      </c>
      <c r="B54" s="80">
        <v>431</v>
      </c>
      <c r="C54" s="93" t="s">
        <v>433</v>
      </c>
      <c r="D54" s="343">
        <v>93116680.75000003</v>
      </c>
      <c r="E54" s="252">
        <f t="shared" si="1"/>
        <v>2.5436851080394467</v>
      </c>
      <c r="F54" s="344">
        <v>96221022.465000004</v>
      </c>
      <c r="G54" s="237">
        <f t="shared" si="2"/>
        <v>2.6284869687491463</v>
      </c>
      <c r="H54" s="207">
        <f t="shared" si="3"/>
        <v>-3104341.7149999738</v>
      </c>
      <c r="I54" s="242">
        <f t="shared" si="4"/>
        <v>-3.2262614088612054</v>
      </c>
      <c r="J54" s="345">
        <v>69114589.49000001</v>
      </c>
      <c r="K54" s="252">
        <f t="shared" si="5"/>
        <v>1.9987445990340962</v>
      </c>
      <c r="L54" s="207">
        <f t="shared" si="7"/>
        <v>24002091.26000002</v>
      </c>
      <c r="M54" s="242">
        <f t="shared" si="0"/>
        <v>34.727966174888195</v>
      </c>
      <c r="BX54" s="161"/>
      <c r="BY54" s="161"/>
      <c r="BZ54" s="145"/>
      <c r="CA54" s="145"/>
      <c r="CB54" s="145"/>
      <c r="CC54" s="142"/>
    </row>
    <row r="55" spans="1:81" ht="13.5" customHeight="1" thickTop="1" thickBot="1">
      <c r="B55" s="80">
        <v>44</v>
      </c>
      <c r="C55" s="90" t="s">
        <v>131</v>
      </c>
      <c r="D55" s="346">
        <v>195825158.45000002</v>
      </c>
      <c r="E55" s="311">
        <f t="shared" si="1"/>
        <v>5.3493910577212009</v>
      </c>
      <c r="F55" s="347">
        <v>213522807.74999997</v>
      </c>
      <c r="G55" s="236">
        <f t="shared" si="2"/>
        <v>5.8328409252328779</v>
      </c>
      <c r="H55" s="162">
        <f t="shared" si="3"/>
        <v>-17697649.299999952</v>
      </c>
      <c r="I55" s="233">
        <f t="shared" si="4"/>
        <v>-8.2884116626646147</v>
      </c>
      <c r="J55" s="348">
        <v>41807923.280000001</v>
      </c>
      <c r="K55" s="311">
        <f t="shared" si="5"/>
        <v>1.2090553017727523</v>
      </c>
      <c r="L55" s="162">
        <f>+D55-J55</f>
        <v>154017235.17000002</v>
      </c>
      <c r="M55" s="233">
        <f t="shared" si="0"/>
        <v>368.39245551256192</v>
      </c>
      <c r="BX55" s="161"/>
      <c r="BY55" s="161"/>
      <c r="BZ55" s="145"/>
      <c r="CA55" s="145"/>
      <c r="CB55" s="145"/>
      <c r="CC55" s="142"/>
    </row>
    <row r="56" spans="1:81" ht="13.5" customHeight="1" thickTop="1">
      <c r="B56" s="80">
        <v>451</v>
      </c>
      <c r="C56" s="93" t="s">
        <v>111</v>
      </c>
      <c r="D56" s="349">
        <v>1516089.13</v>
      </c>
      <c r="E56" s="252">
        <f t="shared" si="1"/>
        <v>4.141527931816319E-2</v>
      </c>
      <c r="F56" s="351">
        <v>1687500</v>
      </c>
      <c r="G56" s="237">
        <f t="shared" si="2"/>
        <v>4.6097740869232663E-2</v>
      </c>
      <c r="H56" s="209">
        <f t="shared" si="3"/>
        <v>-171410.87000000011</v>
      </c>
      <c r="I56" s="242">
        <f t="shared" si="4"/>
        <v>-10.157681185185197</v>
      </c>
      <c r="J56" s="353">
        <v>1775010.46</v>
      </c>
      <c r="K56" s="252">
        <f t="shared" si="5"/>
        <v>5.1332035628560688E-2</v>
      </c>
      <c r="L56" s="154">
        <f t="shared" si="7"/>
        <v>-258921.33000000007</v>
      </c>
      <c r="M56" s="242">
        <f t="shared" si="0"/>
        <v>-14.587031222339959</v>
      </c>
      <c r="BX56" s="161"/>
      <c r="BY56" s="161"/>
      <c r="BZ56" s="145"/>
      <c r="CA56" s="145"/>
      <c r="CB56" s="145"/>
      <c r="CC56" s="142"/>
    </row>
    <row r="57" spans="1:81" ht="13.5" customHeight="1" thickBot="1">
      <c r="B57" s="80">
        <v>47</v>
      </c>
      <c r="C57" s="93" t="s">
        <v>118</v>
      </c>
      <c r="D57" s="349">
        <v>14239648.460000001</v>
      </c>
      <c r="E57" s="252">
        <f t="shared" si="1"/>
        <v>0.3889870369055099</v>
      </c>
      <c r="F57" s="351">
        <v>9791372.5724999998</v>
      </c>
      <c r="G57" s="237">
        <f t="shared" si="2"/>
        <v>0.26747268480072117</v>
      </c>
      <c r="H57" s="209">
        <f t="shared" si="3"/>
        <v>4448275.8875000011</v>
      </c>
      <c r="I57" s="242">
        <f t="shared" si="4"/>
        <v>45.43056506697954</v>
      </c>
      <c r="J57" s="353">
        <v>8903060.7899999991</v>
      </c>
      <c r="K57" s="252">
        <f t="shared" si="5"/>
        <v>0.25747016368316028</v>
      </c>
      <c r="L57" s="154">
        <f t="shared" si="7"/>
        <v>5336587.6700000018</v>
      </c>
      <c r="M57" s="242">
        <f t="shared" si="0"/>
        <v>59.941044949329182</v>
      </c>
      <c r="BX57" s="161"/>
      <c r="BY57" s="161"/>
      <c r="BZ57" s="145"/>
      <c r="CA57" s="145"/>
      <c r="CB57" s="145"/>
      <c r="CC57" s="142"/>
    </row>
    <row r="58" spans="1:81" ht="13.5" customHeight="1" thickTop="1" thickBot="1">
      <c r="B58" s="80">
        <v>462</v>
      </c>
      <c r="C58" s="148" t="s">
        <v>113</v>
      </c>
      <c r="D58" s="350">
        <v>0</v>
      </c>
      <c r="E58" s="253">
        <f t="shared" si="1"/>
        <v>0</v>
      </c>
      <c r="F58" s="352">
        <v>0</v>
      </c>
      <c r="G58" s="239">
        <f t="shared" si="2"/>
        <v>0</v>
      </c>
      <c r="H58" s="211">
        <f t="shared" si="3"/>
        <v>0</v>
      </c>
      <c r="I58" s="245" t="str">
        <f t="shared" si="4"/>
        <v>...</v>
      </c>
      <c r="J58" s="354">
        <v>15258930.949999999</v>
      </c>
      <c r="K58" s="253">
        <f t="shared" si="5"/>
        <v>0.44127739234795682</v>
      </c>
      <c r="L58" s="163">
        <f t="shared" si="7"/>
        <v>-15258930.949999999</v>
      </c>
      <c r="M58" s="245">
        <f>+IF(ISNUMBER(D58/J58*100-100),D58/J58*100-100,"...")</f>
        <v>-100</v>
      </c>
      <c r="BX58" s="161"/>
      <c r="BY58" s="161"/>
      <c r="BZ58" s="145"/>
      <c r="CA58" s="145"/>
      <c r="CB58" s="145"/>
      <c r="CC58" s="142"/>
    </row>
    <row r="59" spans="1:81" ht="13.5" customHeight="1" thickTop="1" thickBot="1">
      <c r="B59" s="80" t="s">
        <v>456</v>
      </c>
      <c r="C59" s="217" t="s">
        <v>455</v>
      </c>
      <c r="D59" s="323">
        <v>62630888.929999977</v>
      </c>
      <c r="E59" s="254">
        <f t="shared" si="1"/>
        <v>1.7108992523287889</v>
      </c>
      <c r="F59" s="324">
        <v>0</v>
      </c>
      <c r="G59" s="240">
        <f t="shared" si="2"/>
        <v>0</v>
      </c>
      <c r="H59" s="219">
        <f>+D59-F59</f>
        <v>62630888.929999977</v>
      </c>
      <c r="I59" s="246" t="str">
        <f>+IF(ISNUMBER(D59/F59*100-100),D59/F59*100-100,"...")</f>
        <v>...</v>
      </c>
      <c r="J59" s="325">
        <v>38958795.530000016</v>
      </c>
      <c r="K59" s="254">
        <f>+J59/$J$11*100</f>
        <v>1.1266605607449611</v>
      </c>
      <c r="L59" s="219">
        <f>+D59-J59</f>
        <v>23672093.399999961</v>
      </c>
      <c r="M59" s="245">
        <f t="shared" ref="M59:M72" si="8">+IF(ISNUMBER(H59/J59*100-100),H59/J59*100-100,"...")</f>
        <v>60.76187181344298</v>
      </c>
      <c r="BX59" s="161"/>
      <c r="BY59" s="161"/>
      <c r="BZ59" s="145"/>
      <c r="CA59" s="145"/>
      <c r="CB59" s="145"/>
      <c r="CC59" s="142"/>
    </row>
    <row r="60" spans="1:81" ht="13.5" customHeight="1" thickTop="1" thickBot="1">
      <c r="B60" s="80">
        <v>990</v>
      </c>
      <c r="C60" s="201" t="s">
        <v>152</v>
      </c>
      <c r="D60" s="326">
        <v>0</v>
      </c>
      <c r="E60" s="252">
        <f t="shared" si="1"/>
        <v>0</v>
      </c>
      <c r="F60" s="324">
        <v>0</v>
      </c>
      <c r="G60" s="237">
        <f t="shared" si="2"/>
        <v>0</v>
      </c>
      <c r="H60" s="209">
        <f t="shared" si="3"/>
        <v>0</v>
      </c>
      <c r="I60" s="247" t="str">
        <f t="shared" si="4"/>
        <v>...</v>
      </c>
      <c r="J60" s="325">
        <v>0</v>
      </c>
      <c r="K60" s="252">
        <f t="shared" si="5"/>
        <v>0</v>
      </c>
      <c r="L60" s="154">
        <f t="shared" si="7"/>
        <v>0</v>
      </c>
      <c r="M60" s="245" t="str">
        <f t="shared" si="8"/>
        <v>...</v>
      </c>
      <c r="BX60" s="161"/>
      <c r="BY60" s="161"/>
      <c r="BZ60" s="145"/>
      <c r="CA60" s="145"/>
      <c r="CB60" s="145"/>
      <c r="CC60" s="142"/>
    </row>
    <row r="61" spans="1:81" ht="13.5" customHeight="1" thickTop="1" thickBot="1">
      <c r="C61" s="90" t="s">
        <v>451</v>
      </c>
      <c r="D61" s="308">
        <v>-245380004.9400003</v>
      </c>
      <c r="E61" s="311">
        <f t="shared" si="1"/>
        <v>-6.7030897079793563</v>
      </c>
      <c r="F61" s="91">
        <f>+F16-F35</f>
        <v>-218170782.37154794</v>
      </c>
      <c r="G61" s="236">
        <f t="shared" si="2"/>
        <v>-5.9598104835563674</v>
      </c>
      <c r="H61" s="91">
        <f t="shared" si="3"/>
        <v>-27209222.568452358</v>
      </c>
      <c r="I61" s="233">
        <f t="shared" si="4"/>
        <v>12.471524496857086</v>
      </c>
      <c r="J61" s="91">
        <f>+J16-J35-J60</f>
        <v>-69577233.73999989</v>
      </c>
      <c r="K61" s="311">
        <f t="shared" si="5"/>
        <v>-2.0121239405419442</v>
      </c>
      <c r="L61" s="91">
        <f t="shared" si="7"/>
        <v>-175802771.20000041</v>
      </c>
      <c r="M61" s="233">
        <f t="shared" si="8"/>
        <v>-60.893497620027112</v>
      </c>
      <c r="BX61" s="161"/>
      <c r="BY61" s="161"/>
      <c r="BZ61" s="145"/>
      <c r="CA61" s="145"/>
      <c r="CB61" s="145"/>
      <c r="CC61" s="142"/>
    </row>
    <row r="62" spans="1:81" ht="13.5" customHeight="1" thickTop="1" thickBot="1">
      <c r="C62" s="90" t="s">
        <v>458</v>
      </c>
      <c r="D62" s="307">
        <v>-172582993.42000026</v>
      </c>
      <c r="E62" s="311">
        <f t="shared" si="1"/>
        <v>-4.714480657251352</v>
      </c>
      <c r="F62" s="91">
        <f>+F61+F43</f>
        <v>-161346369.39404795</v>
      </c>
      <c r="G62" s="236">
        <f t="shared" si="2"/>
        <v>-4.4075277786775189</v>
      </c>
      <c r="H62" s="91">
        <f t="shared" si="3"/>
        <v>-11236624.025952309</v>
      </c>
      <c r="I62" s="233">
        <f t="shared" si="4"/>
        <v>6.9642868743514725</v>
      </c>
      <c r="J62" s="91">
        <f>+J61+J43</f>
        <v>-1414300.0699998885</v>
      </c>
      <c r="K62" s="311">
        <f t="shared" si="5"/>
        <v>-4.0900548598857361E-2</v>
      </c>
      <c r="L62" s="91">
        <f t="shared" si="7"/>
        <v>-171168693.35000038</v>
      </c>
      <c r="M62" s="233">
        <f t="shared" si="8"/>
        <v>694.50070492842406</v>
      </c>
      <c r="BX62" s="161"/>
      <c r="BY62" s="161"/>
      <c r="BZ62" s="145"/>
      <c r="CA62" s="145"/>
      <c r="CB62" s="145"/>
      <c r="CC62" s="142"/>
    </row>
    <row r="63" spans="1:81" ht="13.5" customHeight="1" thickTop="1" thickBot="1">
      <c r="C63" s="90" t="s">
        <v>459</v>
      </c>
      <c r="D63" s="91">
        <f>+SUM(D64:D66)</f>
        <v>361048718.21000004</v>
      </c>
      <c r="E63" s="311">
        <f t="shared" si="1"/>
        <v>9.8628327426448497</v>
      </c>
      <c r="F63" s="91">
        <f>+SUM(F64:F66)</f>
        <v>298719063.27750003</v>
      </c>
      <c r="G63" s="236">
        <f t="shared" si="2"/>
        <v>8.160162353579917</v>
      </c>
      <c r="H63" s="91">
        <f t="shared" si="3"/>
        <v>62329654.932500005</v>
      </c>
      <c r="I63" s="233">
        <f t="shared" si="4"/>
        <v>20.865643541000864</v>
      </c>
      <c r="J63" s="91">
        <f>+SUM(J64:J66)</f>
        <v>162913436.69999999</v>
      </c>
      <c r="K63" s="311">
        <f t="shared" si="5"/>
        <v>4.7113403134850627</v>
      </c>
      <c r="L63" s="91">
        <f t="shared" si="7"/>
        <v>198135281.51000005</v>
      </c>
      <c r="M63" s="233">
        <f t="shared" si="8"/>
        <v>-61.740629750952877</v>
      </c>
      <c r="BX63" s="161"/>
      <c r="BY63" s="161"/>
      <c r="BZ63" s="145"/>
      <c r="CA63" s="145"/>
      <c r="CB63" s="145"/>
      <c r="CC63" s="142"/>
    </row>
    <row r="64" spans="1:81" ht="13.5" customHeight="1" thickTop="1">
      <c r="B64" s="80">
        <v>4611</v>
      </c>
      <c r="C64" s="97" t="s">
        <v>460</v>
      </c>
      <c r="D64" s="327">
        <v>73322981.840000004</v>
      </c>
      <c r="E64" s="251">
        <f t="shared" si="1"/>
        <v>2.0029770765154207</v>
      </c>
      <c r="F64" s="328">
        <v>35032591.439999998</v>
      </c>
      <c r="G64" s="238">
        <f t="shared" si="2"/>
        <v>0.95699159832818848</v>
      </c>
      <c r="H64" s="210">
        <f t="shared" si="3"/>
        <v>38290390.400000006</v>
      </c>
      <c r="I64" s="243">
        <f t="shared" si="4"/>
        <v>109.2993376341559</v>
      </c>
      <c r="J64" s="329">
        <v>83610401.539999992</v>
      </c>
      <c r="K64" s="251">
        <f t="shared" si="5"/>
        <v>2.4179531374533676</v>
      </c>
      <c r="L64" s="210">
        <f t="shared" si="7"/>
        <v>-10287419.699999988</v>
      </c>
      <c r="M64" s="243">
        <f t="shared" si="8"/>
        <v>-54.203795586747027</v>
      </c>
      <c r="BX64" s="161"/>
      <c r="BY64" s="161"/>
      <c r="BZ64" s="145"/>
      <c r="CA64" s="145"/>
      <c r="CB64" s="145"/>
      <c r="CC64" s="142"/>
    </row>
    <row r="65" spans="2:81" ht="13.5" customHeight="1">
      <c r="B65" s="80">
        <v>4612</v>
      </c>
      <c r="C65" s="97" t="s">
        <v>461</v>
      </c>
      <c r="D65" s="327">
        <v>287725736.37</v>
      </c>
      <c r="E65" s="251">
        <f t="shared" si="1"/>
        <v>7.8598556661294285</v>
      </c>
      <c r="F65" s="328">
        <v>238328161.83750001</v>
      </c>
      <c r="G65" s="238">
        <f t="shared" si="2"/>
        <v>6.5104532422077739</v>
      </c>
      <c r="H65" s="210">
        <f t="shared" si="3"/>
        <v>49397574.532499999</v>
      </c>
      <c r="I65" s="243">
        <f t="shared" si="4"/>
        <v>20.72670478874457</v>
      </c>
      <c r="J65" s="329">
        <v>79303035.160000011</v>
      </c>
      <c r="K65" s="251">
        <f t="shared" si="5"/>
        <v>2.293387176031696</v>
      </c>
      <c r="L65" s="210">
        <f t="shared" si="7"/>
        <v>208422701.20999998</v>
      </c>
      <c r="M65" s="243">
        <f t="shared" si="8"/>
        <v>-37.710360728518687</v>
      </c>
      <c r="BX65" s="161"/>
      <c r="BY65" s="161"/>
      <c r="BZ65" s="145"/>
      <c r="CA65" s="145"/>
      <c r="CB65" s="145"/>
      <c r="CC65" s="142"/>
    </row>
    <row r="66" spans="2:81" ht="13.5" customHeight="1" thickBot="1">
      <c r="B66" s="80" t="s">
        <v>457</v>
      </c>
      <c r="C66" s="97" t="s">
        <v>455</v>
      </c>
      <c r="D66" s="330">
        <v>0</v>
      </c>
      <c r="E66" s="251">
        <f t="shared" si="1"/>
        <v>0</v>
      </c>
      <c r="F66" s="328">
        <v>25358310</v>
      </c>
      <c r="G66" s="238">
        <f t="shared" si="2"/>
        <v>0.69271751304395335</v>
      </c>
      <c r="H66" s="210"/>
      <c r="I66" s="243"/>
      <c r="J66" s="329">
        <v>0</v>
      </c>
      <c r="K66" s="251"/>
      <c r="L66" s="210"/>
      <c r="M66" s="306" t="str">
        <f t="shared" si="8"/>
        <v>...</v>
      </c>
      <c r="BX66" s="161"/>
      <c r="BY66" s="161"/>
      <c r="BZ66" s="145"/>
      <c r="CA66" s="145"/>
      <c r="CB66" s="145"/>
      <c r="CC66" s="142"/>
    </row>
    <row r="67" spans="2:81" ht="13.5" customHeight="1" thickTop="1" thickBot="1">
      <c r="C67" s="90" t="s">
        <v>141</v>
      </c>
      <c r="D67" s="91">
        <f>+D61-D63</f>
        <v>-606428723.15000033</v>
      </c>
      <c r="E67" s="311">
        <f t="shared" si="1"/>
        <v>-16.565922450624207</v>
      </c>
      <c r="F67" s="91">
        <f>+F61-F63</f>
        <v>-516889845.64904797</v>
      </c>
      <c r="G67" s="236">
        <f t="shared" si="2"/>
        <v>-14.119972837136284</v>
      </c>
      <c r="H67" s="91">
        <f t="shared" ref="H67:H72" si="9">+D67-F67</f>
        <v>-89538877.500952363</v>
      </c>
      <c r="I67" s="233">
        <f t="shared" ref="I67:I72" si="10">+IF(ISNUMBER(D67/F67*100-100),D67/F67*100-100,"...")</f>
        <v>17.322622654449745</v>
      </c>
      <c r="J67" s="91">
        <f>+J61-J63</f>
        <v>-232490670.43999988</v>
      </c>
      <c r="K67" s="311">
        <f t="shared" ref="K67:K72" si="11">+J67/$J$11*100</f>
        <v>-6.7234642540270073</v>
      </c>
      <c r="L67" s="91">
        <f t="shared" si="7"/>
        <v>-373938052.71000046</v>
      </c>
      <c r="M67" s="233">
        <f t="shared" si="8"/>
        <v>-61.487109426156458</v>
      </c>
      <c r="BX67" s="161"/>
      <c r="BY67" s="161"/>
      <c r="BZ67" s="145"/>
      <c r="CA67" s="145"/>
      <c r="CB67" s="145"/>
      <c r="CC67" s="142"/>
    </row>
    <row r="68" spans="2:81" ht="13.5" customHeight="1" thickTop="1" thickBot="1">
      <c r="C68" s="90" t="s">
        <v>121</v>
      </c>
      <c r="D68" s="91">
        <f>+SUM(D69:D72)</f>
        <v>606428723.15000021</v>
      </c>
      <c r="E68" s="311">
        <f t="shared" si="1"/>
        <v>16.565922450624203</v>
      </c>
      <c r="F68" s="91">
        <f>+SUM(F69:F72)</f>
        <v>516889845.64904821</v>
      </c>
      <c r="G68" s="236">
        <f t="shared" si="2"/>
        <v>14.119972837136292</v>
      </c>
      <c r="H68" s="91">
        <f t="shared" si="9"/>
        <v>89538877.500952005</v>
      </c>
      <c r="I68" s="233">
        <f t="shared" si="10"/>
        <v>17.322622654449688</v>
      </c>
      <c r="J68" s="91">
        <f>+SUM(J69:J72)</f>
        <v>232490670.44000015</v>
      </c>
      <c r="K68" s="311">
        <f t="shared" si="11"/>
        <v>6.7234642540270144</v>
      </c>
      <c r="L68" s="91">
        <f t="shared" si="7"/>
        <v>373938052.71000004</v>
      </c>
      <c r="M68" s="233">
        <f t="shared" si="8"/>
        <v>-61.487109426156657</v>
      </c>
      <c r="BX68" s="161"/>
      <c r="BY68" s="161"/>
      <c r="BZ68" s="145"/>
      <c r="CA68" s="145"/>
      <c r="CB68" s="145"/>
      <c r="CC68" s="142"/>
    </row>
    <row r="69" spans="2:81" ht="13.5" customHeight="1" thickTop="1">
      <c r="B69" s="80">
        <v>7511</v>
      </c>
      <c r="C69" s="97" t="s">
        <v>462</v>
      </c>
      <c r="D69" s="331">
        <v>35395133.140000001</v>
      </c>
      <c r="E69" s="251">
        <f t="shared" si="1"/>
        <v>0.96689521512279064</v>
      </c>
      <c r="F69" s="332">
        <v>0</v>
      </c>
      <c r="G69" s="238">
        <f t="shared" si="2"/>
        <v>0</v>
      </c>
      <c r="H69" s="210">
        <f t="shared" si="9"/>
        <v>35395133.140000001</v>
      </c>
      <c r="I69" s="306" t="str">
        <f t="shared" si="10"/>
        <v>...</v>
      </c>
      <c r="J69" s="333">
        <v>98410759.670000002</v>
      </c>
      <c r="K69" s="251">
        <f t="shared" si="11"/>
        <v>2.8459689311431795</v>
      </c>
      <c r="L69" s="210">
        <f t="shared" si="7"/>
        <v>-63015626.530000001</v>
      </c>
      <c r="M69" s="243">
        <f t="shared" si="8"/>
        <v>-64.0332690666242</v>
      </c>
      <c r="O69" s="100"/>
      <c r="BX69" s="161"/>
      <c r="BY69" s="161"/>
      <c r="BZ69" s="145"/>
      <c r="CA69" s="145"/>
      <c r="CB69" s="145"/>
      <c r="CC69" s="142"/>
    </row>
    <row r="70" spans="2:81" ht="13.5" customHeight="1">
      <c r="B70" s="80">
        <v>7512</v>
      </c>
      <c r="C70" s="97" t="s">
        <v>463</v>
      </c>
      <c r="D70" s="331">
        <v>503044601.72000003</v>
      </c>
      <c r="E70" s="251">
        <f t="shared" si="1"/>
        <v>13.741759819706614</v>
      </c>
      <c r="F70" s="332">
        <v>475561229.12746286</v>
      </c>
      <c r="G70" s="238">
        <f t="shared" si="2"/>
        <v>12.990991589790553</v>
      </c>
      <c r="H70" s="210">
        <f t="shared" si="9"/>
        <v>27483372.592537165</v>
      </c>
      <c r="I70" s="309">
        <f t="shared" si="10"/>
        <v>5.7791449153587138</v>
      </c>
      <c r="J70" s="333">
        <v>200905417.24999997</v>
      </c>
      <c r="K70" s="251">
        <f t="shared" si="11"/>
        <v>5.8100412750513311</v>
      </c>
      <c r="L70" s="210">
        <f t="shared" si="7"/>
        <v>302139184.47000003</v>
      </c>
      <c r="M70" s="243">
        <f t="shared" si="8"/>
        <v>-86.320243142902527</v>
      </c>
      <c r="O70" s="100"/>
      <c r="BX70" s="161"/>
      <c r="BY70" s="161"/>
      <c r="BZ70" s="145"/>
      <c r="CA70" s="145"/>
      <c r="CB70" s="145"/>
      <c r="CC70" s="142"/>
    </row>
    <row r="71" spans="2:81" ht="13.5" customHeight="1" thickBot="1">
      <c r="B71" s="80">
        <v>72</v>
      </c>
      <c r="C71" s="103" t="s">
        <v>402</v>
      </c>
      <c r="D71" s="331">
        <v>6464366.54</v>
      </c>
      <c r="E71" s="255">
        <f t="shared" si="1"/>
        <v>0.17658826290053814</v>
      </c>
      <c r="F71" s="332">
        <v>0</v>
      </c>
      <c r="G71" s="241">
        <f t="shared" si="2"/>
        <v>0</v>
      </c>
      <c r="H71" s="210">
        <f t="shared" si="9"/>
        <v>6464366.54</v>
      </c>
      <c r="I71" s="306" t="str">
        <f t="shared" si="10"/>
        <v>...</v>
      </c>
      <c r="J71" s="333">
        <v>3267481.98</v>
      </c>
      <c r="K71" s="255">
        <f t="shared" si="11"/>
        <v>9.4493246768269756E-2</v>
      </c>
      <c r="L71" s="210">
        <f t="shared" si="7"/>
        <v>3196884.56</v>
      </c>
      <c r="M71" s="243">
        <f t="shared" si="8"/>
        <v>97.839393746251062</v>
      </c>
      <c r="O71" s="100"/>
      <c r="BX71" s="161"/>
      <c r="BY71" s="161"/>
      <c r="BZ71" s="145"/>
      <c r="CA71" s="145"/>
      <c r="CB71" s="145"/>
      <c r="CC71" s="142"/>
    </row>
    <row r="72" spans="2:81" ht="13.5" customHeight="1" thickTop="1" thickBot="1">
      <c r="C72" s="148" t="s">
        <v>464</v>
      </c>
      <c r="D72" s="355">
        <v>61524621.750000283</v>
      </c>
      <c r="E72" s="253">
        <f t="shared" si="1"/>
        <v>1.6806791528942631</v>
      </c>
      <c r="F72" s="356">
        <v>41328616.52158536</v>
      </c>
      <c r="G72" s="239">
        <f t="shared" si="2"/>
        <v>1.1289812473457359</v>
      </c>
      <c r="H72" s="208">
        <f t="shared" si="9"/>
        <v>20196005.228414923</v>
      </c>
      <c r="I72" s="248">
        <f t="shared" si="10"/>
        <v>48.866879484985503</v>
      </c>
      <c r="J72" s="357">
        <v>-70092988.45999983</v>
      </c>
      <c r="K72" s="253">
        <f t="shared" si="11"/>
        <v>-2.0270391989357655</v>
      </c>
      <c r="L72" s="208">
        <f t="shared" si="7"/>
        <v>131617610.21000011</v>
      </c>
      <c r="M72" s="248">
        <f t="shared" si="8"/>
        <v>-128.81316044890886</v>
      </c>
      <c r="BX72" s="161"/>
      <c r="BY72" s="161"/>
      <c r="BZ72" s="145"/>
      <c r="CA72" s="145"/>
      <c r="CB72" s="145"/>
      <c r="CC72" s="142"/>
    </row>
    <row r="73" spans="2:81" s="189" customFormat="1" ht="13.5" thickTop="1">
      <c r="C73" s="190" t="str">
        <f>IF([1]MasterSheet!$A$1=1,[1]MasterSheet!C151,[1]MasterSheet!B151)</f>
        <v>Izvor: Ministarstvo finansija Crne Gore</v>
      </c>
      <c r="D73" s="195"/>
      <c r="E73" s="195"/>
      <c r="F73" s="194"/>
      <c r="G73" s="195"/>
      <c r="H73" s="195"/>
      <c r="I73" s="195"/>
      <c r="J73" s="194"/>
      <c r="K73" s="195"/>
      <c r="L73" s="195"/>
      <c r="M73" s="195"/>
    </row>
    <row r="74" spans="2:81" s="189" customFormat="1" ht="13.5" thickBot="1">
      <c r="C74" s="192"/>
      <c r="D74" s="191"/>
      <c r="E74" s="191"/>
      <c r="F74" s="196"/>
      <c r="G74" s="191"/>
      <c r="H74" s="191"/>
      <c r="I74" s="191"/>
      <c r="J74" s="196"/>
      <c r="K74" s="200"/>
      <c r="L74" s="191"/>
      <c r="M74" s="191"/>
    </row>
    <row r="75" spans="2:81" s="189" customFormat="1" ht="14.25" thickTop="1" thickBot="1">
      <c r="D75" s="163"/>
      <c r="E75" s="191"/>
      <c r="F75" s="199"/>
      <c r="G75" s="191"/>
      <c r="H75" s="191"/>
      <c r="I75" s="191"/>
      <c r="J75" s="199"/>
      <c r="K75" s="191"/>
      <c r="L75" s="191"/>
      <c r="M75" s="191"/>
    </row>
    <row r="76" spans="2:81" s="189" customFormat="1" ht="13.5" thickTop="1">
      <c r="F76" s="191"/>
      <c r="G76" s="191"/>
      <c r="H76" s="191"/>
      <c r="I76" s="191"/>
      <c r="J76" s="191"/>
      <c r="K76" s="191"/>
      <c r="L76" s="191"/>
      <c r="M76" s="191"/>
    </row>
    <row r="77" spans="2:81" s="189" customFormat="1">
      <c r="C77" s="193"/>
    </row>
  </sheetData>
  <sheetProtection formatCells="0" formatColumns="0" formatRows="0" sort="0" autoFilter="0"/>
  <mergeCells count="12">
    <mergeCell ref="D14:E14"/>
    <mergeCell ref="H14:I14"/>
    <mergeCell ref="D11:G11"/>
    <mergeCell ref="C14:C15"/>
    <mergeCell ref="L11:M11"/>
    <mergeCell ref="J14:K14"/>
    <mergeCell ref="F14:G14"/>
    <mergeCell ref="J11:K11"/>
    <mergeCell ref="L14:M14"/>
    <mergeCell ref="H11:I11"/>
    <mergeCell ref="J13:K13"/>
    <mergeCell ref="D13:E13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6" r:id="rId4" name="List Box 8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CF92"/>
  <sheetViews>
    <sheetView topLeftCell="B1" zoomScale="85" zoomScaleNormal="85" workbookViewId="0">
      <pane ySplit="15" topLeftCell="A16" activePane="bottomLeft" state="frozen"/>
      <selection activeCell="B1" sqref="B1"/>
      <selection pane="bottomLeft" activeCell="D63" sqref="D63"/>
    </sheetView>
  </sheetViews>
  <sheetFormatPr defaultColWidth="9.140625" defaultRowHeight="12.75"/>
  <cols>
    <col min="1" max="2" width="9.140625" style="80" customWidth="1"/>
    <col min="3" max="3" width="55.85546875" style="80" bestFit="1" customWidth="1"/>
    <col min="4" max="9" width="7.7109375" style="80" customWidth="1"/>
    <col min="10" max="10" width="9.28515625" style="80" customWidth="1"/>
    <col min="11" max="13" width="7.7109375" style="80" customWidth="1"/>
    <col min="14" max="14" width="6.85546875" style="80" customWidth="1"/>
    <col min="15" max="76" width="9.140625" style="80" customWidth="1"/>
    <col min="77" max="77" width="9.140625" style="80"/>
    <col min="78" max="78" width="15.42578125" style="80" customWidth="1"/>
    <col min="79" max="79" width="12.7109375" style="80" customWidth="1"/>
    <col min="80" max="80" width="11.85546875" style="80" customWidth="1"/>
    <col min="81" max="16384" width="9.140625" style="80"/>
  </cols>
  <sheetData>
    <row r="1" spans="2:76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</row>
    <row r="2" spans="2:76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</row>
    <row r="3" spans="2:76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</row>
    <row r="4" spans="2:76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</row>
    <row r="5" spans="2:76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</row>
    <row r="6" spans="2:76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</row>
    <row r="7" spans="2:76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</row>
    <row r="8" spans="2:76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</row>
    <row r="9" spans="2:76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</row>
    <row r="10" spans="2:76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</row>
    <row r="11" spans="2:76" ht="18.75" customHeight="1" thickTop="1" thickBot="1">
      <c r="C11" s="151" t="str">
        <f>+'Cental Budget'!C11</f>
        <v>BDP (u mil. €)</v>
      </c>
      <c r="D11" s="381">
        <f>+'Cental Budget'!D11:G11</f>
        <v>3660700000</v>
      </c>
      <c r="E11" s="382"/>
      <c r="F11" s="382"/>
      <c r="G11" s="383"/>
      <c r="H11" s="376"/>
      <c r="I11" s="377"/>
      <c r="J11" s="378">
        <f>+'Cental Budget'!J11:K11</f>
        <v>3457900000</v>
      </c>
      <c r="K11" s="379" t="e">
        <f>+'Cental Budget'!#REF!</f>
        <v>#REF!</v>
      </c>
      <c r="L11" s="376"/>
      <c r="M11" s="380"/>
      <c r="N11" s="205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</row>
    <row r="12" spans="2:76" ht="19.5" customHeight="1" thickTop="1"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4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</row>
    <row r="13" spans="2:76" ht="17.25" customHeight="1" thickBot="1">
      <c r="B13" s="85"/>
      <c r="C13" s="86"/>
      <c r="D13" s="384" t="s">
        <v>468</v>
      </c>
      <c r="E13" s="384"/>
      <c r="F13" s="86"/>
      <c r="G13" s="86"/>
      <c r="H13" s="86"/>
      <c r="I13" s="86"/>
      <c r="J13" s="384" t="s">
        <v>466</v>
      </c>
      <c r="K13" s="384"/>
      <c r="L13" s="86"/>
      <c r="M13" s="86"/>
      <c r="N13" s="84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</row>
    <row r="14" spans="2:76" ht="15.75" customHeight="1" thickTop="1">
      <c r="B14" s="87"/>
      <c r="C14" s="385" t="s">
        <v>259</v>
      </c>
      <c r="D14" s="374" t="s">
        <v>469</v>
      </c>
      <c r="E14" s="375"/>
      <c r="F14" s="374" t="s">
        <v>472</v>
      </c>
      <c r="G14" s="375"/>
      <c r="H14" s="374" t="str">
        <f>+'Cental Budget'!H14:I14</f>
        <v>Odstupanje</v>
      </c>
      <c r="I14" s="375"/>
      <c r="J14" s="374" t="s">
        <v>446</v>
      </c>
      <c r="K14" s="375"/>
      <c r="L14" s="374" t="str">
        <f>+H14</f>
        <v>Odstupanje</v>
      </c>
      <c r="M14" s="375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</row>
    <row r="15" spans="2:76" ht="15" customHeight="1" thickBot="1">
      <c r="C15" s="386" t="str">
        <f>IF(MasterSheet!$A$1=1,MasterSheet!B71,MasterSheet!B70)</f>
        <v>Budžet Crne Gore</v>
      </c>
      <c r="D15" s="152" t="str">
        <f>IF(MasterSheet!$A$1=1,MasterSheet!C71,MasterSheet!C70)</f>
        <v>mil. €</v>
      </c>
      <c r="E15" s="159" t="str">
        <f>IF(MasterSheet!$A$1=1,MasterSheet!D71,MasterSheet!D70)</f>
        <v>% BDP</v>
      </c>
      <c r="F15" s="152" t="str">
        <f>IF(MasterSheet!$A$1=1,MasterSheet!E71,MasterSheet!E70)</f>
        <v>mil. €</v>
      </c>
      <c r="G15" s="159" t="str">
        <f>IF(MasterSheet!$A$1=1,MasterSheet!F71,MasterSheet!F70)</f>
        <v>% BDP</v>
      </c>
      <c r="H15" s="152" t="str">
        <f>IF(MasterSheet!$A$1=1,MasterSheet!G71,MasterSheet!G70)</f>
        <v>mil. €</v>
      </c>
      <c r="I15" s="159" t="s">
        <v>442</v>
      </c>
      <c r="J15" s="152" t="str">
        <f>IF(MasterSheet!$A$1=1,MasterSheet!I71,MasterSheet!I70)</f>
        <v>mil. €</v>
      </c>
      <c r="K15" s="159" t="str">
        <f>IF(MasterSheet!$A$1=1,MasterSheet!J71,MasterSheet!J70)</f>
        <v>% BDP</v>
      </c>
      <c r="L15" s="152" t="str">
        <f>IF(MasterSheet!$A$1=1,MasterSheet!K71,MasterSheet!K70)</f>
        <v>mil. €</v>
      </c>
      <c r="M15" s="159" t="s">
        <v>442</v>
      </c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</row>
    <row r="16" spans="2:76" ht="15" customHeight="1" thickTop="1" thickBot="1">
      <c r="B16" s="80">
        <v>7</v>
      </c>
      <c r="C16" s="153" t="str">
        <f>IF(MasterSheet!$A$1=1,MasterSheet!C72,MasterSheet!B72)</f>
        <v>Izvorni prihodi</v>
      </c>
      <c r="D16" s="262">
        <f>+D17+D21+D27+D33+D38+D39</f>
        <v>151581206.95000002</v>
      </c>
      <c r="E16" s="263">
        <f>+D16/$D$11*100</f>
        <v>4.1407710806676326</v>
      </c>
      <c r="F16" s="262">
        <f>+F17+F21+F27+F33+F38+F39</f>
        <v>158718184.19357312</v>
      </c>
      <c r="G16" s="263">
        <f t="shared" ref="G16:G75" si="0">+F16/$D$11*100</f>
        <v>4.3357331710758356</v>
      </c>
      <c r="H16" s="262">
        <f>+D16-F16</f>
        <v>-7136977.2435730994</v>
      </c>
      <c r="I16" s="263">
        <f>+D16/F16*100-100</f>
        <v>-4.4966348877005942</v>
      </c>
      <c r="J16" s="262">
        <f>+J17+J21+J27+J33+J38+J39</f>
        <v>146702566.14000002</v>
      </c>
      <c r="K16" s="263">
        <f>+J16/$J$11*100</f>
        <v>4.2425335070418466</v>
      </c>
      <c r="L16" s="262">
        <f>+D16-J16</f>
        <v>4878640.8100000024</v>
      </c>
      <c r="M16" s="263">
        <f>+D16/J16*100-100</f>
        <v>3.3255320192178743</v>
      </c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</row>
    <row r="17" spans="2:83" ht="15" customHeight="1" thickTop="1">
      <c r="B17" s="80">
        <v>711</v>
      </c>
      <c r="C17" s="93" t="str">
        <f>IF(MasterSheet!$A$1=1,MasterSheet!C73,MasterSheet!B73)</f>
        <v>Porezi</v>
      </c>
      <c r="D17" s="264">
        <f>+SUM(D18:D20)</f>
        <v>81364449.390000015</v>
      </c>
      <c r="E17" s="265">
        <f t="shared" ref="E17:E75" si="1">+D17/$D$11*100</f>
        <v>2.2226472912284541</v>
      </c>
      <c r="F17" s="264">
        <f>+SUM(F18:F20)</f>
        <v>84761845.079628006</v>
      </c>
      <c r="G17" s="265">
        <f t="shared" si="0"/>
        <v>2.3154545600466578</v>
      </c>
      <c r="H17" s="266">
        <f t="shared" ref="H17:H75" si="2">+D17-F17</f>
        <v>-3397395.6896279901</v>
      </c>
      <c r="I17" s="267">
        <f t="shared" ref="I17:I74" si="3">+D17/F17*100-100</f>
        <v>-4.0081662762724903</v>
      </c>
      <c r="J17" s="264">
        <f>+J18+J19+J20</f>
        <v>80112709.150000006</v>
      </c>
      <c r="K17" s="265">
        <f t="shared" ref="K17:K75" si="4">+J17/$J$11*100</f>
        <v>2.3168023699355103</v>
      </c>
      <c r="L17" s="266">
        <f t="shared" ref="L17:L75" si="5">+D17-J17</f>
        <v>1251740.2400000095</v>
      </c>
      <c r="M17" s="267">
        <f t="shared" ref="M17:M75" si="6">+D17/J17*100-100</f>
        <v>1.5624739860641768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</row>
    <row r="18" spans="2:83" ht="15" customHeight="1">
      <c r="B18" s="80">
        <v>7111</v>
      </c>
      <c r="C18" s="97" t="str">
        <f>IF(MasterSheet!$A$1=1,MasterSheet!C74,MasterSheet!B74)</f>
        <v>Porez na dohodak fizičkih lica</v>
      </c>
      <c r="D18" s="261">
        <v>19791295.380000003</v>
      </c>
      <c r="E18" s="268">
        <f t="shared" si="1"/>
        <v>0.54064237386292247</v>
      </c>
      <c r="F18" s="261">
        <v>23997730.478715003</v>
      </c>
      <c r="G18" s="268">
        <f t="shared" si="0"/>
        <v>0.65555031766369831</v>
      </c>
      <c r="H18" s="269">
        <f>+D18-F18</f>
        <v>-4206435.0987149999</v>
      </c>
      <c r="I18" s="270">
        <f>+D18/F18*100-100</f>
        <v>-17.528470462846201</v>
      </c>
      <c r="J18" s="261">
        <v>22837554.279999997</v>
      </c>
      <c r="K18" s="268">
        <f t="shared" si="4"/>
        <v>0.66044576997599691</v>
      </c>
      <c r="L18" s="269">
        <f>+D18-J18</f>
        <v>-3046258.8999999948</v>
      </c>
      <c r="M18" s="270">
        <f>+D18/J18*100-100</f>
        <v>-13.338814054479371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</row>
    <row r="19" spans="2:83" ht="15" customHeight="1">
      <c r="B19" s="80">
        <v>7113</v>
      </c>
      <c r="C19" s="97" t="str">
        <f>IF(MasterSheet!$A$1=1,MasterSheet!C76,MasterSheet!B76)</f>
        <v>Porez na promet nepokretnosti</v>
      </c>
      <c r="D19" s="261">
        <v>8750452.3200000003</v>
      </c>
      <c r="E19" s="268">
        <f t="shared" si="1"/>
        <v>0.23903767913240637</v>
      </c>
      <c r="F19" s="261">
        <v>10800000</v>
      </c>
      <c r="G19" s="268">
        <f t="shared" si="0"/>
        <v>0.29502554156308902</v>
      </c>
      <c r="H19" s="269">
        <f>+D19-F19</f>
        <v>-2049547.6799999997</v>
      </c>
      <c r="I19" s="270">
        <f>+D19/F19*100-100</f>
        <v>-18.977293333333336</v>
      </c>
      <c r="J19" s="261">
        <v>9841759.7599999979</v>
      </c>
      <c r="K19" s="268">
        <f t="shared" si="4"/>
        <v>0.28461666791983564</v>
      </c>
      <c r="L19" s="269">
        <f>+D19-J19</f>
        <v>-1091307.4399999976</v>
      </c>
      <c r="M19" s="270">
        <f>+D19/J19*100-100</f>
        <v>-11.088539718632575</v>
      </c>
      <c r="O19" s="137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9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</row>
    <row r="20" spans="2:83" ht="15" customHeight="1">
      <c r="B20" s="80">
        <v>7117</v>
      </c>
      <c r="C20" s="97" t="s">
        <v>11</v>
      </c>
      <c r="D20" s="261">
        <v>52822701.690000005</v>
      </c>
      <c r="E20" s="268">
        <f t="shared" si="1"/>
        <v>1.4429672382331249</v>
      </c>
      <c r="F20" s="261">
        <v>49964114.600913003</v>
      </c>
      <c r="G20" s="268">
        <f t="shared" si="0"/>
        <v>1.3648787008198706</v>
      </c>
      <c r="H20" s="269">
        <f>+D20-F20</f>
        <v>2858587.089087002</v>
      </c>
      <c r="I20" s="270">
        <f>+D20/F20*100-100</f>
        <v>5.7212803867733584</v>
      </c>
      <c r="J20" s="261">
        <v>47433395.110000007</v>
      </c>
      <c r="K20" s="268">
        <f t="shared" si="4"/>
        <v>1.3717399320396775</v>
      </c>
      <c r="L20" s="269">
        <f>+D20-J20</f>
        <v>5389306.5799999982</v>
      </c>
      <c r="M20" s="270">
        <f>+D20/J20*100-100</f>
        <v>11.361840255166157</v>
      </c>
      <c r="O20" s="137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9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</row>
    <row r="21" spans="2:83" ht="15" customHeight="1">
      <c r="B21" s="80">
        <v>713</v>
      </c>
      <c r="C21" s="93" t="str">
        <f>IF(MasterSheet!$A$1=1,MasterSheet!C86,MasterSheet!B86)</f>
        <v>Takse</v>
      </c>
      <c r="D21" s="94">
        <f>+SUM(D22:D26)</f>
        <v>4179145.78</v>
      </c>
      <c r="E21" s="231">
        <f t="shared" si="1"/>
        <v>0.11416247657551834</v>
      </c>
      <c r="F21" s="94">
        <f>+SUM(F22:F26)</f>
        <v>5201963.4941999996</v>
      </c>
      <c r="G21" s="231">
        <f t="shared" si="0"/>
        <v>0.1421029719507198</v>
      </c>
      <c r="H21" s="207">
        <f t="shared" si="2"/>
        <v>-1022817.7141999998</v>
      </c>
      <c r="I21" s="242">
        <f t="shared" si="3"/>
        <v>-19.662147097733467</v>
      </c>
      <c r="J21" s="94">
        <f>+SUM(J22:J26)</f>
        <v>4562427.46</v>
      </c>
      <c r="K21" s="234">
        <f t="shared" si="4"/>
        <v>0.13194214581104138</v>
      </c>
      <c r="L21" s="207">
        <f t="shared" si="5"/>
        <v>-383281.68000000017</v>
      </c>
      <c r="M21" s="242">
        <f t="shared" si="6"/>
        <v>-8.4008279224235594</v>
      </c>
      <c r="O21" s="81"/>
      <c r="CA21" s="81"/>
      <c r="CB21" s="81"/>
      <c r="CC21" s="81"/>
    </row>
    <row r="22" spans="2:83" ht="15" customHeight="1">
      <c r="B22" s="80">
        <v>7131</v>
      </c>
      <c r="C22" s="97" t="str">
        <f>IF(MasterSheet!$A$1=1,MasterSheet!C87,MasterSheet!B87)</f>
        <v>Administrativne takse</v>
      </c>
      <c r="D22" s="261">
        <v>1013981.42</v>
      </c>
      <c r="E22" s="268">
        <f t="shared" si="1"/>
        <v>2.7699112738000929E-2</v>
      </c>
      <c r="F22" s="261">
        <v>1431970.452</v>
      </c>
      <c r="G22" s="268">
        <f t="shared" si="0"/>
        <v>3.9117394268855687E-2</v>
      </c>
      <c r="H22" s="269">
        <f t="shared" si="2"/>
        <v>-417989.03200000001</v>
      </c>
      <c r="I22" s="270">
        <f t="shared" si="3"/>
        <v>-29.189780516504683</v>
      </c>
      <c r="J22" s="261">
        <v>1107980.8</v>
      </c>
      <c r="K22" s="268">
        <f t="shared" si="4"/>
        <v>3.2042013939095983E-2</v>
      </c>
      <c r="L22" s="269">
        <f t="shared" si="5"/>
        <v>-93999.38</v>
      </c>
      <c r="M22" s="270">
        <f t="shared" si="6"/>
        <v>-8.4838455684430585</v>
      </c>
      <c r="O22" s="81"/>
      <c r="CA22" s="81"/>
      <c r="CB22" s="81"/>
      <c r="CC22" s="81"/>
    </row>
    <row r="23" spans="2:83" ht="15" hidden="1" customHeight="1">
      <c r="B23" s="80">
        <v>7133</v>
      </c>
      <c r="C23" s="97" t="str">
        <f>IF(MasterSheet!$A$1=1,MasterSheet!C89,MasterSheet!B89)</f>
        <v>Boravišne takse</v>
      </c>
      <c r="D23" s="261"/>
      <c r="E23" s="268">
        <f t="shared" si="1"/>
        <v>0</v>
      </c>
      <c r="F23" s="261"/>
      <c r="G23" s="268">
        <f t="shared" si="0"/>
        <v>0</v>
      </c>
      <c r="H23" s="269">
        <f t="shared" si="2"/>
        <v>0</v>
      </c>
      <c r="I23" s="270" t="e">
        <f t="shared" si="3"/>
        <v>#DIV/0!</v>
      </c>
      <c r="J23" s="261"/>
      <c r="K23" s="268">
        <f t="shared" si="4"/>
        <v>0</v>
      </c>
      <c r="L23" s="269">
        <f t="shared" si="5"/>
        <v>0</v>
      </c>
      <c r="M23" s="270" t="e">
        <f t="shared" si="6"/>
        <v>#DIV/0!</v>
      </c>
      <c r="O23" s="81"/>
      <c r="CA23" s="140"/>
      <c r="CB23" s="140"/>
      <c r="CC23" s="140"/>
    </row>
    <row r="24" spans="2:83" ht="15" hidden="1" customHeight="1">
      <c r="B24" s="80">
        <v>7134</v>
      </c>
      <c r="C24" s="97" t="s">
        <v>435</v>
      </c>
      <c r="D24" s="261"/>
      <c r="E24" s="268">
        <f t="shared" si="1"/>
        <v>0</v>
      </c>
      <c r="F24" s="261"/>
      <c r="G24" s="268">
        <f t="shared" si="0"/>
        <v>0</v>
      </c>
      <c r="H24" s="269">
        <f t="shared" si="2"/>
        <v>0</v>
      </c>
      <c r="I24" s="270" t="e">
        <f t="shared" si="3"/>
        <v>#DIV/0!</v>
      </c>
      <c r="J24" s="261"/>
      <c r="K24" s="268">
        <f t="shared" si="4"/>
        <v>0</v>
      </c>
      <c r="L24" s="269">
        <f t="shared" si="5"/>
        <v>0</v>
      </c>
      <c r="M24" s="270" t="e">
        <f t="shared" si="6"/>
        <v>#DIV/0!</v>
      </c>
      <c r="O24" s="81"/>
      <c r="CA24" s="140"/>
      <c r="CB24" s="140"/>
      <c r="CC24" s="140"/>
    </row>
    <row r="25" spans="2:83" ht="15" customHeight="1">
      <c r="B25" s="80">
        <v>7135</v>
      </c>
      <c r="C25" s="97" t="s">
        <v>36</v>
      </c>
      <c r="D25" s="261">
        <v>2834544.05</v>
      </c>
      <c r="E25" s="268">
        <f t="shared" si="1"/>
        <v>7.7431749392192745E-2</v>
      </c>
      <c r="F25" s="261">
        <v>3646654.6549500003</v>
      </c>
      <c r="G25" s="268">
        <f t="shared" si="0"/>
        <v>9.9616320784276235E-2</v>
      </c>
      <c r="H25" s="269">
        <f t="shared" si="2"/>
        <v>-812110.60495000053</v>
      </c>
      <c r="I25" s="270">
        <f t="shared" si="3"/>
        <v>-22.270016817952168</v>
      </c>
      <c r="J25" s="261">
        <v>3153330.59</v>
      </c>
      <c r="K25" s="268">
        <f t="shared" si="4"/>
        <v>9.1192070042511356E-2</v>
      </c>
      <c r="L25" s="269">
        <f t="shared" si="5"/>
        <v>-318786.54000000004</v>
      </c>
      <c r="M25" s="270">
        <f t="shared" si="6"/>
        <v>-10.109518520225947</v>
      </c>
      <c r="O25" s="81"/>
      <c r="CA25" s="140"/>
      <c r="CB25" s="140"/>
      <c r="CC25" s="140"/>
    </row>
    <row r="26" spans="2:83" ht="15" customHeight="1">
      <c r="B26" s="80">
        <v>7136</v>
      </c>
      <c r="C26" s="97" t="s">
        <v>37</v>
      </c>
      <c r="D26" s="261">
        <v>330620.31</v>
      </c>
      <c r="E26" s="268">
        <f t="shared" si="1"/>
        <v>9.0316144453246646E-3</v>
      </c>
      <c r="F26" s="261">
        <v>123338.38725</v>
      </c>
      <c r="G26" s="268">
        <f t="shared" si="0"/>
        <v>3.3692568975878931E-3</v>
      </c>
      <c r="H26" s="269">
        <f t="shared" si="2"/>
        <v>207281.92275</v>
      </c>
      <c r="I26" s="270">
        <f t="shared" si="3"/>
        <v>168.05953715760131</v>
      </c>
      <c r="J26" s="261">
        <v>301116.07</v>
      </c>
      <c r="K26" s="268">
        <f t="shared" si="4"/>
        <v>8.7080618294340505E-3</v>
      </c>
      <c r="L26" s="269">
        <f t="shared" si="5"/>
        <v>29504.239999999991</v>
      </c>
      <c r="M26" s="270">
        <f t="shared" si="6"/>
        <v>9.7982947240245153</v>
      </c>
      <c r="O26" s="81"/>
      <c r="CA26" s="140"/>
      <c r="CB26" s="140"/>
      <c r="CC26" s="140"/>
    </row>
    <row r="27" spans="2:83" ht="15" customHeight="1">
      <c r="B27" s="80">
        <v>714</v>
      </c>
      <c r="C27" s="93" t="str">
        <f>IF(MasterSheet!$A$1=1,MasterSheet!C91,MasterSheet!B91)</f>
        <v>Naknade</v>
      </c>
      <c r="D27" s="94">
        <f>+SUM(D28:D32)</f>
        <v>35386704.899999999</v>
      </c>
      <c r="E27" s="231">
        <f t="shared" si="1"/>
        <v>0.9666649793755292</v>
      </c>
      <c r="F27" s="94">
        <f>+SUM(F28:F32)</f>
        <v>41223425.176150002</v>
      </c>
      <c r="G27" s="231">
        <f t="shared" si="0"/>
        <v>1.1261077164517714</v>
      </c>
      <c r="H27" s="207">
        <f t="shared" si="2"/>
        <v>-5836720.2761500031</v>
      </c>
      <c r="I27" s="242">
        <f t="shared" si="3"/>
        <v>-14.15874651659675</v>
      </c>
      <c r="J27" s="94">
        <f>+SUM(J28:J32)</f>
        <v>35865625.939999998</v>
      </c>
      <c r="K27" s="234">
        <f t="shared" si="4"/>
        <v>1.0372083038838602</v>
      </c>
      <c r="L27" s="207">
        <f t="shared" si="5"/>
        <v>-478921.03999999911</v>
      </c>
      <c r="M27" s="242">
        <f t="shared" si="6"/>
        <v>-1.3353204564202912</v>
      </c>
      <c r="O27" s="81"/>
      <c r="CA27" s="140"/>
      <c r="CB27" s="140"/>
      <c r="CC27" s="140"/>
    </row>
    <row r="28" spans="2:83" ht="15" customHeight="1">
      <c r="B28" s="80">
        <v>7141</v>
      </c>
      <c r="C28" s="97" t="str">
        <f>IF(MasterSheet!$A$1=1,MasterSheet!C92,MasterSheet!B92)</f>
        <v>Naknade za korišćenje dobara od opšteg interesa</v>
      </c>
      <c r="D28" s="271">
        <v>1143996.3599999999</v>
      </c>
      <c r="E28" s="274">
        <f t="shared" si="1"/>
        <v>3.1250754227333567E-2</v>
      </c>
      <c r="F28" s="271">
        <v>1250000</v>
      </c>
      <c r="G28" s="274">
        <f t="shared" si="0"/>
        <v>3.4146474717950119E-2</v>
      </c>
      <c r="H28" s="275">
        <f t="shared" si="2"/>
        <v>-106003.64000000013</v>
      </c>
      <c r="I28" s="276">
        <f t="shared" si="3"/>
        <v>-8.4802912000000106</v>
      </c>
      <c r="J28" s="271">
        <v>1139346.2900000003</v>
      </c>
      <c r="K28" s="274">
        <f t="shared" si="4"/>
        <v>3.294908152346801E-2</v>
      </c>
      <c r="L28" s="275">
        <f t="shared" si="5"/>
        <v>4650.0699999995995</v>
      </c>
      <c r="M28" s="276">
        <f t="shared" si="6"/>
        <v>0.4081349139250392</v>
      </c>
      <c r="O28" s="81"/>
      <c r="CA28" s="140"/>
      <c r="CB28" s="140"/>
      <c r="CC28" s="140"/>
    </row>
    <row r="29" spans="2:83" ht="15" customHeight="1">
      <c r="B29" s="80">
        <v>7142</v>
      </c>
      <c r="C29" s="97" t="str">
        <f>IF(MasterSheet!$A$1=1,MasterSheet!C93,MasterSheet!B93)</f>
        <v>Naknade za korišćenje prirodnih dobara</v>
      </c>
      <c r="D29" s="272">
        <v>5759084.8799999999</v>
      </c>
      <c r="E29" s="232">
        <f t="shared" si="1"/>
        <v>0.15732195700275903</v>
      </c>
      <c r="F29" s="156">
        <v>6881830.4367000014</v>
      </c>
      <c r="G29" s="232">
        <f t="shared" si="0"/>
        <v>0.18799219921599697</v>
      </c>
      <c r="H29" s="277">
        <f t="shared" si="2"/>
        <v>-1122745.5567000015</v>
      </c>
      <c r="I29" s="243">
        <f t="shared" si="3"/>
        <v>-16.314635575914949</v>
      </c>
      <c r="J29" s="156">
        <v>5899003.2999999998</v>
      </c>
      <c r="K29" s="278">
        <f t="shared" si="4"/>
        <v>0.17059496515226005</v>
      </c>
      <c r="L29" s="277">
        <f t="shared" si="5"/>
        <v>-139918.41999999993</v>
      </c>
      <c r="M29" s="243">
        <f t="shared" si="6"/>
        <v>-2.3718993342485533</v>
      </c>
      <c r="O29" s="81"/>
      <c r="CA29" s="140"/>
      <c r="CB29" s="140"/>
      <c r="CC29" s="140"/>
    </row>
    <row r="30" spans="2:83" ht="15" customHeight="1">
      <c r="B30" s="80">
        <v>7146</v>
      </c>
      <c r="C30" s="97" t="s">
        <v>448</v>
      </c>
      <c r="D30" s="271">
        <v>23265928.789999999</v>
      </c>
      <c r="E30" s="232">
        <f t="shared" si="1"/>
        <v>0.63555955937389019</v>
      </c>
      <c r="F30" s="271">
        <v>28083000</v>
      </c>
      <c r="G30" s="232">
        <f t="shared" si="0"/>
        <v>0.76714835960335448</v>
      </c>
      <c r="H30" s="275">
        <f t="shared" si="2"/>
        <v>-4817071.2100000009</v>
      </c>
      <c r="I30" s="243">
        <f t="shared" si="3"/>
        <v>-17.152979418153336</v>
      </c>
      <c r="J30" s="271">
        <v>24403601.749999996</v>
      </c>
      <c r="K30" s="278">
        <f t="shared" si="4"/>
        <v>0.70573474507649148</v>
      </c>
      <c r="L30" s="275">
        <f t="shared" si="5"/>
        <v>-1137672.9599999972</v>
      </c>
      <c r="M30" s="243">
        <f t="shared" si="6"/>
        <v>-4.6619059418145099</v>
      </c>
      <c r="O30" s="81"/>
      <c r="CA30" s="140"/>
      <c r="CB30" s="140"/>
      <c r="CC30" s="140"/>
    </row>
    <row r="31" spans="2:83" ht="25.5">
      <c r="B31" s="158">
        <v>7147</v>
      </c>
      <c r="C31" s="157" t="s">
        <v>436</v>
      </c>
      <c r="D31" s="271">
        <v>2489838.0799999996</v>
      </c>
      <c r="E31" s="232">
        <f t="shared" si="1"/>
        <v>6.8015354440407558E-2</v>
      </c>
      <c r="F31" s="271">
        <v>1808594.7394500002</v>
      </c>
      <c r="G31" s="232">
        <f t="shared" si="0"/>
        <v>4.940570763651761E-2</v>
      </c>
      <c r="H31" s="275">
        <f t="shared" si="2"/>
        <v>681243.34054999938</v>
      </c>
      <c r="I31" s="243"/>
      <c r="J31" s="271">
        <v>1184775.1800000002</v>
      </c>
      <c r="K31" s="278">
        <f t="shared" si="4"/>
        <v>3.4262852598397876E-2</v>
      </c>
      <c r="L31" s="277">
        <f t="shared" si="5"/>
        <v>1305062.8999999994</v>
      </c>
      <c r="M31" s="243">
        <f t="shared" si="6"/>
        <v>110.15278864974189</v>
      </c>
      <c r="O31" s="81"/>
      <c r="CA31" s="140"/>
      <c r="CB31" s="140"/>
      <c r="CC31" s="140"/>
    </row>
    <row r="32" spans="2:83" ht="15" customHeight="1">
      <c r="B32" s="80">
        <v>7149</v>
      </c>
      <c r="C32" s="97" t="str">
        <f>IF(MasterSheet!$A$1=1,MasterSheet!C97,MasterSheet!B97)</f>
        <v>Ostale naknade</v>
      </c>
      <c r="D32" s="261">
        <v>2727856.79</v>
      </c>
      <c r="E32" s="268">
        <f t="shared" si="1"/>
        <v>7.4517354331138846E-2</v>
      </c>
      <c r="F32" s="261">
        <v>3200000</v>
      </c>
      <c r="G32" s="268">
        <f t="shared" si="0"/>
        <v>8.7414975277952306E-2</v>
      </c>
      <c r="H32" s="269">
        <f t="shared" si="2"/>
        <v>-472143.20999999996</v>
      </c>
      <c r="I32" s="270">
        <f t="shared" si="3"/>
        <v>-14.754475312500006</v>
      </c>
      <c r="J32" s="261">
        <v>3238899.42</v>
      </c>
      <c r="K32" s="268">
        <f t="shared" si="4"/>
        <v>9.3666659533242713E-2</v>
      </c>
      <c r="L32" s="269">
        <f t="shared" si="5"/>
        <v>-511042.62999999989</v>
      </c>
      <c r="M32" s="270">
        <f t="shared" si="6"/>
        <v>-15.77828032708716</v>
      </c>
      <c r="O32" s="81"/>
      <c r="CA32" s="81"/>
      <c r="CB32" s="81"/>
      <c r="CC32" s="81"/>
      <c r="CD32" s="81"/>
      <c r="CE32" s="81"/>
    </row>
    <row r="33" spans="1:84" ht="15" customHeight="1">
      <c r="B33" s="80">
        <v>715</v>
      </c>
      <c r="C33" s="93" t="str">
        <f>IF(MasterSheet!$A$1=1,MasterSheet!C98,MasterSheet!B98)</f>
        <v>Ostali prihodi</v>
      </c>
      <c r="D33" s="273">
        <f>+SUM(D34:D37)</f>
        <v>9664253.3800000008</v>
      </c>
      <c r="E33" s="279">
        <f t="shared" si="1"/>
        <v>0.26400014696642721</v>
      </c>
      <c r="F33" s="273">
        <f>+SUM(F34:F37)</f>
        <v>10280950.443595104</v>
      </c>
      <c r="G33" s="279">
        <f t="shared" si="0"/>
        <v>0.28084657151897463</v>
      </c>
      <c r="H33" s="280">
        <f t="shared" si="2"/>
        <v>-616697.0635951031</v>
      </c>
      <c r="I33" s="281">
        <f t="shared" si="3"/>
        <v>-5.9984440833414965</v>
      </c>
      <c r="J33" s="273">
        <f>+SUM(J34:J37)</f>
        <v>9730808.6899999995</v>
      </c>
      <c r="K33" s="279">
        <f t="shared" si="4"/>
        <v>0.28140804216431936</v>
      </c>
      <c r="L33" s="280">
        <f t="shared" si="5"/>
        <v>-66555.309999998659</v>
      </c>
      <c r="M33" s="281">
        <f t="shared" si="6"/>
        <v>-0.68396483910319716</v>
      </c>
      <c r="O33" s="81"/>
      <c r="CA33" s="81"/>
      <c r="CB33" s="81"/>
      <c r="CC33" s="81"/>
      <c r="CD33" s="81"/>
      <c r="CE33" s="81"/>
    </row>
    <row r="34" spans="1:84" ht="15" customHeight="1">
      <c r="B34" s="80">
        <v>7151</v>
      </c>
      <c r="C34" s="97" t="str">
        <f>IF(MasterSheet!$A$1=1,MasterSheet!C99,MasterSheet!B99)</f>
        <v>Prihodi od kapitala</v>
      </c>
      <c r="D34" s="261">
        <v>1606086.9700000004</v>
      </c>
      <c r="E34" s="268">
        <f t="shared" si="1"/>
        <v>4.3873766492747303E-2</v>
      </c>
      <c r="F34" s="261">
        <v>1912028.7480000001</v>
      </c>
      <c r="G34" s="268">
        <f t="shared" si="0"/>
        <v>5.2231233042860661E-2</v>
      </c>
      <c r="H34" s="269">
        <f t="shared" si="2"/>
        <v>-305941.7779999997</v>
      </c>
      <c r="I34" s="270">
        <f t="shared" si="3"/>
        <v>-16.000898434190262</v>
      </c>
      <c r="J34" s="261">
        <v>1676843.9200000002</v>
      </c>
      <c r="K34" s="268">
        <f t="shared" si="4"/>
        <v>4.8493129355967501E-2</v>
      </c>
      <c r="L34" s="269">
        <f t="shared" si="5"/>
        <v>-70756.949999999721</v>
      </c>
      <c r="M34" s="270">
        <f t="shared" si="6"/>
        <v>-4.2196503297694932</v>
      </c>
      <c r="O34" s="81"/>
      <c r="CA34" s="141"/>
      <c r="CB34" s="141"/>
      <c r="CC34" s="141"/>
      <c r="CD34" s="141"/>
      <c r="CE34" s="141"/>
      <c r="CF34" s="142"/>
    </row>
    <row r="35" spans="1:84" ht="15" customHeight="1">
      <c r="B35" s="80">
        <v>7152</v>
      </c>
      <c r="C35" s="97" t="str">
        <f>IF(MasterSheet!$A$1=1,MasterSheet!C100,MasterSheet!B100)</f>
        <v>Novčane kazne i oduzete imovinske koristi</v>
      </c>
      <c r="D35" s="261">
        <v>459279.24</v>
      </c>
      <c r="E35" s="268">
        <f t="shared" si="1"/>
        <v>1.2546213565711476E-2</v>
      </c>
      <c r="F35" s="261">
        <v>573307.23130800005</v>
      </c>
      <c r="G35" s="268">
        <f t="shared" si="0"/>
        <v>1.5661136703581283E-2</v>
      </c>
      <c r="H35" s="269">
        <f t="shared" si="2"/>
        <v>-114027.99130800006</v>
      </c>
      <c r="I35" s="270">
        <f t="shared" si="3"/>
        <v>-19.889508640566987</v>
      </c>
      <c r="J35" s="261">
        <v>907885.31999999983</v>
      </c>
      <c r="K35" s="268">
        <f t="shared" si="4"/>
        <v>2.6255395471239763E-2</v>
      </c>
      <c r="L35" s="269">
        <f t="shared" si="5"/>
        <v>-448606.07999999984</v>
      </c>
      <c r="M35" s="270">
        <f t="shared" si="6"/>
        <v>-49.412196685810486</v>
      </c>
      <c r="O35" s="81"/>
      <c r="CA35" s="141"/>
      <c r="CB35" s="141"/>
      <c r="CC35" s="143"/>
      <c r="CD35" s="143"/>
      <c r="CE35" s="144"/>
      <c r="CF35" s="142"/>
    </row>
    <row r="36" spans="1:84" ht="15" customHeight="1">
      <c r="B36" s="80">
        <v>7153</v>
      </c>
      <c r="C36" s="97" t="str">
        <f>IF(MasterSheet!$A$1=1,MasterSheet!C101,MasterSheet!B101)</f>
        <v>Prihodi koje organi ostvaruju vršenjem svoje djelatnosti</v>
      </c>
      <c r="D36" s="261">
        <v>2467268.1599999997</v>
      </c>
      <c r="E36" s="268">
        <f t="shared" si="1"/>
        <v>6.7398807878274639E-2</v>
      </c>
      <c r="F36" s="261">
        <v>3298839.8182871044</v>
      </c>
      <c r="G36" s="268">
        <f t="shared" si="0"/>
        <v>9.0115000362966213E-2</v>
      </c>
      <c r="H36" s="269">
        <f t="shared" si="2"/>
        <v>-831571.65828710468</v>
      </c>
      <c r="I36" s="270">
        <f t="shared" si="3"/>
        <v>-25.208003543466731</v>
      </c>
      <c r="J36" s="261">
        <v>2169952.5499999998</v>
      </c>
      <c r="K36" s="268">
        <f t="shared" si="4"/>
        <v>6.2753478990138514E-2</v>
      </c>
      <c r="L36" s="269">
        <f t="shared" si="5"/>
        <v>297315.60999999987</v>
      </c>
      <c r="M36" s="270">
        <f t="shared" si="6"/>
        <v>13.701479785813746</v>
      </c>
      <c r="O36" s="81"/>
      <c r="CA36" s="81"/>
      <c r="CB36" s="81"/>
      <c r="CC36" s="145"/>
      <c r="CD36" s="145"/>
      <c r="CE36" s="145"/>
      <c r="CF36" s="142"/>
    </row>
    <row r="37" spans="1:84" ht="15" customHeight="1">
      <c r="B37" s="80">
        <v>7154</v>
      </c>
      <c r="C37" s="97" t="str">
        <f>IF(MasterSheet!$A$1=1,MasterSheet!C102,MasterSheet!B102)</f>
        <v>Ostali prihodi</v>
      </c>
      <c r="D37" s="261">
        <v>5131619.0100000007</v>
      </c>
      <c r="E37" s="268">
        <f t="shared" si="1"/>
        <v>0.14018135902969378</v>
      </c>
      <c r="F37" s="261">
        <v>4496774.6460000006</v>
      </c>
      <c r="G37" s="268">
        <f t="shared" si="0"/>
        <v>0.1228392014095665</v>
      </c>
      <c r="H37" s="269">
        <f t="shared" si="2"/>
        <v>634844.36400000006</v>
      </c>
      <c r="I37" s="270">
        <f t="shared" si="3"/>
        <v>14.117771380087078</v>
      </c>
      <c r="J37" s="261">
        <v>4976126.8999999994</v>
      </c>
      <c r="K37" s="268">
        <f t="shared" si="4"/>
        <v>0.14390603834697357</v>
      </c>
      <c r="L37" s="269">
        <f t="shared" si="5"/>
        <v>155492.11000000127</v>
      </c>
      <c r="M37" s="270">
        <f t="shared" si="6"/>
        <v>3.1247617499465576</v>
      </c>
      <c r="O37" s="81"/>
      <c r="BZ37" s="100"/>
      <c r="CA37" s="100"/>
      <c r="CB37" s="99"/>
      <c r="CC37" s="145"/>
      <c r="CD37" s="145"/>
      <c r="CE37" s="145"/>
      <c r="CF37" s="142"/>
    </row>
    <row r="38" spans="1:84">
      <c r="B38" s="80">
        <v>73</v>
      </c>
      <c r="C38" s="101" t="str">
        <f>IF(MasterSheet!$A$1=1,MasterSheet!C103,MasterSheet!B103)</f>
        <v>Primici od otplate kredita i sredstva prenijeta iz prethodne godine</v>
      </c>
      <c r="D38" s="273">
        <v>18680124.120000005</v>
      </c>
      <c r="E38" s="279">
        <f t="shared" si="1"/>
        <v>0.51028830879340026</v>
      </c>
      <c r="F38" s="273">
        <v>15000000</v>
      </c>
      <c r="G38" s="279">
        <f t="shared" si="0"/>
        <v>0.4097576966154014</v>
      </c>
      <c r="H38" s="280">
        <f t="shared" si="2"/>
        <v>3680124.1200000048</v>
      </c>
      <c r="I38" s="281"/>
      <c r="J38" s="273">
        <v>14336340.32</v>
      </c>
      <c r="K38" s="279">
        <f t="shared" si="4"/>
        <v>0.41459672980710838</v>
      </c>
      <c r="L38" s="280">
        <f t="shared" si="5"/>
        <v>4343783.8000000045</v>
      </c>
      <c r="M38" s="281">
        <f t="shared" si="6"/>
        <v>30.2991119284479</v>
      </c>
      <c r="O38" s="81"/>
      <c r="BZ38" s="100"/>
      <c r="CA38" s="100"/>
      <c r="CB38" s="99"/>
      <c r="CC38" s="145"/>
      <c r="CD38" s="145"/>
      <c r="CE38" s="145"/>
      <c r="CF38" s="142"/>
    </row>
    <row r="39" spans="1:84" ht="13.5" customHeight="1" thickBot="1">
      <c r="B39" s="80">
        <v>74</v>
      </c>
      <c r="C39" s="93" t="s">
        <v>123</v>
      </c>
      <c r="D39" s="273">
        <v>2306529.3800000004</v>
      </c>
      <c r="E39" s="279">
        <f t="shared" si="1"/>
        <v>6.3007877728303338E-2</v>
      </c>
      <c r="F39" s="273">
        <v>2250000</v>
      </c>
      <c r="G39" s="279">
        <f t="shared" si="0"/>
        <v>6.1463654492310206E-2</v>
      </c>
      <c r="H39" s="280">
        <f t="shared" si="2"/>
        <v>56529.380000000354</v>
      </c>
      <c r="I39" s="281">
        <f t="shared" si="3"/>
        <v>2.5124168888889074</v>
      </c>
      <c r="J39" s="273">
        <v>2094654.5800000003</v>
      </c>
      <c r="K39" s="279">
        <f t="shared" si="4"/>
        <v>6.0575915440006955E-2</v>
      </c>
      <c r="L39" s="280">
        <f t="shared" si="5"/>
        <v>211874.80000000005</v>
      </c>
      <c r="M39" s="281">
        <f t="shared" si="6"/>
        <v>10.115023356261446</v>
      </c>
      <c r="O39" s="81"/>
      <c r="CA39" s="146"/>
      <c r="CB39" s="146"/>
      <c r="CC39" s="145"/>
      <c r="CD39" s="145"/>
      <c r="CE39" s="145"/>
      <c r="CF39" s="142"/>
    </row>
    <row r="40" spans="1:84" ht="15" customHeight="1" thickTop="1" thickBot="1">
      <c r="B40" s="102"/>
      <c r="C40" s="153" t="str">
        <f>IF(MasterSheet!$A$1=1,MasterSheet!C104,MasterSheet!B104)</f>
        <v>Izdaci</v>
      </c>
      <c r="D40" s="282">
        <f>+D42+D52+D55+D58+D59+D60+D61</f>
        <v>97212674.500000015</v>
      </c>
      <c r="E40" s="283">
        <f t="shared" si="1"/>
        <v>2.6555761056628517</v>
      </c>
      <c r="F40" s="282">
        <f>+F42+F52+F55+F58+F59+F60+F61</f>
        <v>109832556.26655225</v>
      </c>
      <c r="G40" s="283">
        <f t="shared" si="0"/>
        <v>3.0003156846109285</v>
      </c>
      <c r="H40" s="282">
        <f t="shared" si="2"/>
        <v>-12619881.76655224</v>
      </c>
      <c r="I40" s="283">
        <f t="shared" si="3"/>
        <v>-11.490110214611676</v>
      </c>
      <c r="J40" s="282">
        <f>+J42+J52+J55+J58+J59+J60+J61</f>
        <v>98437875.61999999</v>
      </c>
      <c r="K40" s="284">
        <f t="shared" si="4"/>
        <v>2.8467531050637667</v>
      </c>
      <c r="L40" s="282">
        <f t="shared" si="5"/>
        <v>-1225201.119999975</v>
      </c>
      <c r="M40" s="283">
        <f t="shared" si="6"/>
        <v>-1.2446440074851068</v>
      </c>
      <c r="O40" s="81"/>
      <c r="CA40" s="81"/>
      <c r="CB40" s="81"/>
      <c r="CC40" s="145"/>
      <c r="CD40" s="145"/>
      <c r="CE40" s="145"/>
      <c r="CF40" s="142"/>
    </row>
    <row r="41" spans="1:84" ht="13.5" customHeight="1" thickTop="1" thickBot="1">
      <c r="C41" s="153" t="str">
        <f>IF(MasterSheet!$A$1=1,MasterSheet!C105,MasterSheet!B105)</f>
        <v>Tekuća budžetska potrošnja</v>
      </c>
      <c r="D41" s="282">
        <f>+D40-D58</f>
        <v>73758232.910000011</v>
      </c>
      <c r="E41" s="283">
        <f t="shared" si="1"/>
        <v>2.0148669082415935</v>
      </c>
      <c r="F41" s="282">
        <f>+F40-F58</f>
        <v>79832556.266552255</v>
      </c>
      <c r="G41" s="283">
        <f t="shared" si="0"/>
        <v>2.1808002913801259</v>
      </c>
      <c r="H41" s="282">
        <f t="shared" si="2"/>
        <v>-6074323.3565522432</v>
      </c>
      <c r="I41" s="283">
        <f t="shared" si="3"/>
        <v>-7.6088298316174985</v>
      </c>
      <c r="J41" s="282">
        <f>+J40-J58</f>
        <v>67954839.36999999</v>
      </c>
      <c r="K41" s="284">
        <f t="shared" si="4"/>
        <v>1.965205453309812</v>
      </c>
      <c r="L41" s="282">
        <f t="shared" si="5"/>
        <v>5803393.5400000215</v>
      </c>
      <c r="M41" s="283">
        <f t="shared" si="6"/>
        <v>8.5400739576496392</v>
      </c>
      <c r="O41" s="81"/>
      <c r="CA41" s="146"/>
      <c r="CB41" s="146"/>
      <c r="CC41" s="145"/>
      <c r="CD41" s="145"/>
      <c r="CE41" s="145"/>
      <c r="CF41" s="142"/>
    </row>
    <row r="42" spans="1:84" ht="13.5" customHeight="1" thickTop="1">
      <c r="A42" s="80">
        <v>41</v>
      </c>
      <c r="C42" s="93" t="str">
        <f>+'Cental Budget'!C37</f>
        <v>Tekući budžetski izdaci</v>
      </c>
      <c r="D42" s="94">
        <f>+SUM(D43:D51)</f>
        <v>47687412.810000002</v>
      </c>
      <c r="E42" s="231">
        <f t="shared" si="1"/>
        <v>1.3026856287048927</v>
      </c>
      <c r="F42" s="94">
        <f>+SUM(F43:F51)</f>
        <v>47861684.308454998</v>
      </c>
      <c r="G42" s="231">
        <f t="shared" si="0"/>
        <v>1.3074462345577349</v>
      </c>
      <c r="H42" s="207">
        <f t="shared" si="2"/>
        <v>-174271.49845499545</v>
      </c>
      <c r="I42" s="242">
        <f t="shared" si="3"/>
        <v>-0.36411484671509697</v>
      </c>
      <c r="J42" s="94">
        <f>+SUM(J43:J51)</f>
        <v>41475322.829999998</v>
      </c>
      <c r="K42" s="234">
        <f t="shared" si="4"/>
        <v>1.1994367341450012</v>
      </c>
      <c r="L42" s="207">
        <f t="shared" si="5"/>
        <v>6212089.9800000042</v>
      </c>
      <c r="M42" s="242">
        <f t="shared" si="6"/>
        <v>14.977797774986001</v>
      </c>
      <c r="O42" s="81"/>
      <c r="CA42" s="146"/>
      <c r="CB42" s="146"/>
      <c r="CC42" s="145"/>
      <c r="CD42" s="145"/>
      <c r="CE42" s="145"/>
      <c r="CF42" s="142"/>
    </row>
    <row r="43" spans="1:84" ht="13.5" customHeight="1">
      <c r="B43" s="80">
        <v>411</v>
      </c>
      <c r="C43" s="93" t="str">
        <f>+'Cental Budget'!C38</f>
        <v>Bruto zarade i doprinosi na teret poslodavca</v>
      </c>
      <c r="D43" s="273">
        <v>27884032.880000003</v>
      </c>
      <c r="E43" s="279">
        <f t="shared" si="1"/>
        <v>0.76171313901712789</v>
      </c>
      <c r="F43" s="273">
        <v>27199073.226300001</v>
      </c>
      <c r="G43" s="279">
        <f t="shared" si="0"/>
        <v>0.74300197301882154</v>
      </c>
      <c r="H43" s="280">
        <f t="shared" si="2"/>
        <v>684959.65370000154</v>
      </c>
      <c r="I43" s="281">
        <f t="shared" si="3"/>
        <v>2.5183198265655591</v>
      </c>
      <c r="J43" s="273">
        <v>24370487.82</v>
      </c>
      <c r="K43" s="279">
        <f t="shared" si="4"/>
        <v>0.70477711385523001</v>
      </c>
      <c r="L43" s="280">
        <f t="shared" si="5"/>
        <v>3513545.0600000024</v>
      </c>
      <c r="M43" s="281">
        <f t="shared" si="6"/>
        <v>14.417212679331598</v>
      </c>
      <c r="O43" s="81"/>
      <c r="CA43" s="146"/>
      <c r="CB43" s="146"/>
      <c r="CC43" s="145"/>
      <c r="CD43" s="145"/>
      <c r="CE43" s="145"/>
      <c r="CF43" s="142"/>
    </row>
    <row r="44" spans="1:84" ht="13.5" customHeight="1">
      <c r="B44" s="80">
        <v>412</v>
      </c>
      <c r="C44" s="93" t="str">
        <f>+'Cental Budget'!C39</f>
        <v>Ostala lična primanja</v>
      </c>
      <c r="D44" s="273">
        <v>1487812.5000000005</v>
      </c>
      <c r="E44" s="279">
        <f t="shared" si="1"/>
        <v>4.0642841533040146E-2</v>
      </c>
      <c r="F44" s="273">
        <v>1734589.7487000001</v>
      </c>
      <c r="G44" s="279">
        <f t="shared" si="0"/>
        <v>4.7384099999999998E-2</v>
      </c>
      <c r="H44" s="280">
        <f t="shared" si="2"/>
        <v>-246777.24869999965</v>
      </c>
      <c r="I44" s="281">
        <f t="shared" si="3"/>
        <v>-14.226836569566288</v>
      </c>
      <c r="J44" s="273">
        <v>1477757.6600000001</v>
      </c>
      <c r="K44" s="279">
        <f t="shared" si="4"/>
        <v>4.2735696810202728E-2</v>
      </c>
      <c r="L44" s="280">
        <f t="shared" si="5"/>
        <v>10054.840000000317</v>
      </c>
      <c r="M44" s="281">
        <f t="shared" si="6"/>
        <v>0.68041196957831573</v>
      </c>
      <c r="O44" s="81"/>
      <c r="CA44" s="146"/>
      <c r="CB44" s="146"/>
      <c r="CC44" s="145"/>
      <c r="CD44" s="145"/>
      <c r="CE44" s="145"/>
      <c r="CF44" s="142"/>
    </row>
    <row r="45" spans="1:84" ht="13.5" customHeight="1">
      <c r="B45" s="80">
        <v>413</v>
      </c>
      <c r="C45" s="93" t="str">
        <f>+'Cental Budget'!C40</f>
        <v>Rashodi za materijal</v>
      </c>
      <c r="D45" s="273">
        <v>4219823.5200000005</v>
      </c>
      <c r="E45" s="279">
        <f t="shared" si="1"/>
        <v>0.11527367771191305</v>
      </c>
      <c r="F45" s="273">
        <v>4704750</v>
      </c>
      <c r="G45" s="279">
        <f t="shared" si="0"/>
        <v>0.12852050154342065</v>
      </c>
      <c r="H45" s="280">
        <f t="shared" si="2"/>
        <v>-484926.47999999952</v>
      </c>
      <c r="I45" s="281">
        <f t="shared" si="3"/>
        <v>-10.307167862266851</v>
      </c>
      <c r="J45" s="273">
        <v>3963614.3400000003</v>
      </c>
      <c r="K45" s="279">
        <f t="shared" si="4"/>
        <v>0.11462489777032303</v>
      </c>
      <c r="L45" s="280">
        <f t="shared" si="5"/>
        <v>256209.18000000017</v>
      </c>
      <c r="M45" s="281">
        <f t="shared" si="6"/>
        <v>6.4640289902675079</v>
      </c>
      <c r="O45" s="81"/>
      <c r="CA45" s="146"/>
      <c r="CB45" s="146"/>
      <c r="CC45" s="145"/>
      <c r="CD45" s="145"/>
      <c r="CE45" s="145"/>
      <c r="CF45" s="142"/>
    </row>
    <row r="46" spans="1:84" ht="13.5" customHeight="1">
      <c r="B46" s="80">
        <v>414</v>
      </c>
      <c r="C46" s="93" t="str">
        <f>+'Cental Budget'!C41</f>
        <v>Rashodi za usluge</v>
      </c>
      <c r="D46" s="94">
        <v>6212502.1400000006</v>
      </c>
      <c r="E46" s="231">
        <f t="shared" si="1"/>
        <v>0.16970803780697682</v>
      </c>
      <c r="F46" s="154">
        <v>5882313.1076999996</v>
      </c>
      <c r="G46" s="231">
        <f t="shared" si="0"/>
        <v>0.1606882046521157</v>
      </c>
      <c r="H46" s="207">
        <f t="shared" si="2"/>
        <v>330189.03230000101</v>
      </c>
      <c r="I46" s="242"/>
      <c r="J46" s="154">
        <v>4989764.9099999992</v>
      </c>
      <c r="K46" s="234">
        <f t="shared" si="4"/>
        <v>0.14430043986234417</v>
      </c>
      <c r="L46" s="207">
        <f t="shared" si="5"/>
        <v>1222737.2300000014</v>
      </c>
      <c r="M46" s="242">
        <f t="shared" si="6"/>
        <v>24.50490658486757</v>
      </c>
      <c r="O46" s="81"/>
      <c r="CA46" s="146"/>
      <c r="CB46" s="146"/>
      <c r="CC46" s="145"/>
      <c r="CD46" s="145"/>
      <c r="CE46" s="145"/>
      <c r="CF46" s="142"/>
    </row>
    <row r="47" spans="1:84" ht="13.5" customHeight="1">
      <c r="B47" s="80">
        <v>415</v>
      </c>
      <c r="C47" s="93" t="str">
        <f>+'Cental Budget'!C42</f>
        <v>Rashodi za tekuće održavanje</v>
      </c>
      <c r="D47" s="273">
        <v>3061685.44</v>
      </c>
      <c r="E47" s="279">
        <f t="shared" si="1"/>
        <v>8.3636611577020778E-2</v>
      </c>
      <c r="F47" s="273">
        <v>3188264.9344649995</v>
      </c>
      <c r="G47" s="279">
        <f t="shared" si="0"/>
        <v>8.7094406383068798E-2</v>
      </c>
      <c r="H47" s="280">
        <f t="shared" si="2"/>
        <v>-126579.49446499953</v>
      </c>
      <c r="I47" s="281">
        <f t="shared" si="3"/>
        <v>-3.9701686361343747</v>
      </c>
      <c r="J47" s="273">
        <v>2284497.85</v>
      </c>
      <c r="K47" s="279">
        <f t="shared" si="4"/>
        <v>6.6066047311952342E-2</v>
      </c>
      <c r="L47" s="280">
        <f t="shared" si="5"/>
        <v>777187.58999999985</v>
      </c>
      <c r="M47" s="281">
        <f t="shared" si="6"/>
        <v>34.020062220675754</v>
      </c>
      <c r="O47" s="81"/>
      <c r="CA47" s="146"/>
      <c r="CB47" s="146"/>
      <c r="CC47" s="145"/>
      <c r="CD47" s="145"/>
      <c r="CE47" s="145"/>
      <c r="CF47" s="142"/>
    </row>
    <row r="48" spans="1:84" ht="13.5" customHeight="1">
      <c r="B48" s="80">
        <v>416</v>
      </c>
      <c r="C48" s="93" t="str">
        <f>+'Cental Budget'!C43</f>
        <v>Kamate</v>
      </c>
      <c r="D48" s="273">
        <v>2713750.83</v>
      </c>
      <c r="E48" s="279">
        <f t="shared" si="1"/>
        <v>7.4132019285928927E-2</v>
      </c>
      <c r="F48" s="273">
        <v>3099130.1661217501</v>
      </c>
      <c r="G48" s="279">
        <f t="shared" si="0"/>
        <v>8.465949589209032E-2</v>
      </c>
      <c r="H48" s="280">
        <f t="shared" si="2"/>
        <v>-385379.33612175006</v>
      </c>
      <c r="I48" s="281">
        <f t="shared" si="3"/>
        <v>-12.435080666650848</v>
      </c>
      <c r="J48" s="273">
        <v>2432944.4499999997</v>
      </c>
      <c r="K48" s="279">
        <f t="shared" si="4"/>
        <v>7.0359017033459606E-2</v>
      </c>
      <c r="L48" s="280">
        <f t="shared" si="5"/>
        <v>280806.38000000035</v>
      </c>
      <c r="M48" s="281">
        <f t="shared" si="6"/>
        <v>11.541832777974051</v>
      </c>
      <c r="O48" s="81"/>
      <c r="CA48" s="146"/>
      <c r="CB48" s="146"/>
      <c r="CC48" s="145"/>
      <c r="CD48" s="145"/>
      <c r="CE48" s="145"/>
      <c r="CF48" s="142"/>
    </row>
    <row r="49" spans="1:84" ht="13.5" customHeight="1">
      <c r="B49" s="80">
        <v>417</v>
      </c>
      <c r="C49" s="93" t="str">
        <f>+'Cental Budget'!C44</f>
        <v>Renta</v>
      </c>
      <c r="D49" s="273">
        <v>331151.70999999996</v>
      </c>
      <c r="E49" s="279">
        <f t="shared" si="1"/>
        <v>9.04613079465676E-3</v>
      </c>
      <c r="F49" s="273">
        <v>350315.02748250001</v>
      </c>
      <c r="G49" s="279">
        <f t="shared" si="0"/>
        <v>9.5696185833993499E-3</v>
      </c>
      <c r="H49" s="280">
        <f t="shared" si="2"/>
        <v>-19163.317482500046</v>
      </c>
      <c r="I49" s="281">
        <f t="shared" si="3"/>
        <v>-5.4703098580198173</v>
      </c>
      <c r="J49" s="273">
        <v>254696.73</v>
      </c>
      <c r="K49" s="279">
        <f t="shared" si="4"/>
        <v>7.3656476474160621E-3</v>
      </c>
      <c r="L49" s="280">
        <f t="shared" si="5"/>
        <v>76454.979999999952</v>
      </c>
      <c r="M49" s="281">
        <f t="shared" si="6"/>
        <v>30.018045382836249</v>
      </c>
      <c r="O49" s="81"/>
      <c r="CA49" s="146"/>
      <c r="CB49" s="146"/>
      <c r="CC49" s="145"/>
      <c r="CD49" s="145"/>
      <c r="CE49" s="145"/>
      <c r="CF49" s="142"/>
    </row>
    <row r="50" spans="1:84" ht="13.5" customHeight="1">
      <c r="B50" s="80">
        <v>418</v>
      </c>
      <c r="C50" s="93" t="str">
        <f>+'Cental Budget'!C45</f>
        <v>Subvencije</v>
      </c>
      <c r="D50" s="273">
        <v>346863.14</v>
      </c>
      <c r="E50" s="279">
        <f t="shared" si="1"/>
        <v>9.4753227524790335E-3</v>
      </c>
      <c r="F50" s="273">
        <v>437303.94734025002</v>
      </c>
      <c r="G50" s="279">
        <f t="shared" si="0"/>
        <v>1.1945910545530909E-2</v>
      </c>
      <c r="H50" s="280">
        <f t="shared" si="2"/>
        <v>-90440.807340250001</v>
      </c>
      <c r="I50" s="281">
        <f t="shared" si="3"/>
        <v>-20.681452314877319</v>
      </c>
      <c r="J50" s="273">
        <v>266409.15999999997</v>
      </c>
      <c r="K50" s="279">
        <f t="shared" si="4"/>
        <v>7.7043627635269953E-3</v>
      </c>
      <c r="L50" s="280">
        <f t="shared" si="5"/>
        <v>80453.98000000004</v>
      </c>
      <c r="M50" s="281">
        <f t="shared" si="6"/>
        <v>30.199404555008556</v>
      </c>
      <c r="O50" s="81"/>
      <c r="CA50" s="146"/>
      <c r="CB50" s="146"/>
      <c r="CC50" s="145"/>
      <c r="CD50" s="145"/>
      <c r="CE50" s="145"/>
      <c r="CF50" s="142"/>
    </row>
    <row r="51" spans="1:84" ht="13.5" customHeight="1">
      <c r="B51" s="80">
        <v>419</v>
      </c>
      <c r="C51" s="93" t="str">
        <f>+'Cental Budget'!C46</f>
        <v>Ostali izdaci</v>
      </c>
      <c r="D51" s="273">
        <v>1429790.65</v>
      </c>
      <c r="E51" s="279">
        <f t="shared" si="1"/>
        <v>3.9057848225749169E-2</v>
      </c>
      <c r="F51" s="273">
        <v>1265944.1503454999</v>
      </c>
      <c r="G51" s="279">
        <f t="shared" si="0"/>
        <v>3.4582023939287561E-2</v>
      </c>
      <c r="H51" s="280">
        <f t="shared" si="2"/>
        <v>163846.49965450005</v>
      </c>
      <c r="I51" s="281">
        <f t="shared" si="3"/>
        <v>12.942632548978025</v>
      </c>
      <c r="J51" s="273">
        <v>1435149.9100000004</v>
      </c>
      <c r="K51" s="279">
        <f t="shared" si="4"/>
        <v>4.1503511090546293E-2</v>
      </c>
      <c r="L51" s="280">
        <f t="shared" si="5"/>
        <v>-5359.260000000475</v>
      </c>
      <c r="M51" s="281">
        <f t="shared" si="6"/>
        <v>-0.37342858489259356</v>
      </c>
      <c r="O51" s="81"/>
      <c r="CA51" s="146"/>
      <c r="CB51" s="146"/>
      <c r="CC51" s="145"/>
      <c r="CD51" s="145"/>
      <c r="CE51" s="145"/>
      <c r="CF51" s="142"/>
    </row>
    <row r="52" spans="1:84" ht="13.5" customHeight="1">
      <c r="A52" s="80">
        <v>42</v>
      </c>
      <c r="B52" s="80" t="s">
        <v>428</v>
      </c>
      <c r="C52" s="93" t="str">
        <f>+'Cental Budget'!C48</f>
        <v>Transferi za socijalnu zaštitu</v>
      </c>
      <c r="D52" s="273">
        <f>+D53</f>
        <v>132229.22</v>
      </c>
      <c r="E52" s="279">
        <f t="shared" si="1"/>
        <v>3.6121293741634116E-3</v>
      </c>
      <c r="F52" s="273">
        <f>+F53</f>
        <v>462456.46316249995</v>
      </c>
      <c r="G52" s="279">
        <f t="shared" si="0"/>
        <v>1.2633006342024748E-2</v>
      </c>
      <c r="H52" s="280">
        <f t="shared" si="2"/>
        <v>-330227.24316249997</v>
      </c>
      <c r="I52" s="281">
        <f t="shared" si="3"/>
        <v>-71.407206832886942</v>
      </c>
      <c r="J52" s="273">
        <f>+J53</f>
        <v>141023.07</v>
      </c>
      <c r="K52" s="279">
        <f t="shared" si="4"/>
        <v>4.0782865322883831E-3</v>
      </c>
      <c r="L52" s="280">
        <f t="shared" si="5"/>
        <v>-8793.8500000000058</v>
      </c>
      <c r="M52" s="281">
        <f t="shared" si="6"/>
        <v>-6.2357527743510275</v>
      </c>
      <c r="O52" s="81"/>
      <c r="CA52" s="146"/>
      <c r="CB52" s="146"/>
      <c r="CC52" s="145"/>
      <c r="CD52" s="145"/>
      <c r="CE52" s="145"/>
      <c r="CF52" s="142"/>
    </row>
    <row r="53" spans="1:84" ht="13.5" customHeight="1">
      <c r="B53" s="80">
        <v>421</v>
      </c>
      <c r="C53" s="97" t="s">
        <v>89</v>
      </c>
      <c r="D53" s="261">
        <v>132229.22</v>
      </c>
      <c r="E53" s="268">
        <f>+D53/$D$11*100</f>
        <v>3.6121293741634116E-3</v>
      </c>
      <c r="F53" s="261">
        <v>462456.46316249995</v>
      </c>
      <c r="G53" s="268">
        <f t="shared" si="0"/>
        <v>1.2633006342024748E-2</v>
      </c>
      <c r="H53" s="269">
        <f>+D53-F53</f>
        <v>-330227.24316249997</v>
      </c>
      <c r="I53" s="270">
        <f>+D53/F53*100-100</f>
        <v>-71.407206832886942</v>
      </c>
      <c r="J53" s="261">
        <v>141023.07</v>
      </c>
      <c r="K53" s="268">
        <f t="shared" si="4"/>
        <v>4.0782865322883831E-3</v>
      </c>
      <c r="L53" s="269">
        <f>+D53-J53</f>
        <v>-8793.8500000000058</v>
      </c>
      <c r="M53" s="270">
        <f>+D53/J53*100-100</f>
        <v>-6.2357527743510275</v>
      </c>
      <c r="O53" s="81"/>
      <c r="CA53" s="146"/>
      <c r="CB53" s="146"/>
      <c r="CC53" s="145"/>
      <c r="CD53" s="145"/>
      <c r="CE53" s="145"/>
      <c r="CF53" s="142"/>
    </row>
    <row r="54" spans="1:84" ht="13.5" hidden="1" customHeight="1">
      <c r="B54" s="80">
        <v>422</v>
      </c>
      <c r="C54" s="97" t="s">
        <v>91</v>
      </c>
      <c r="D54" s="261"/>
      <c r="E54" s="268">
        <f t="shared" si="1"/>
        <v>0</v>
      </c>
      <c r="F54" s="261">
        <v>0</v>
      </c>
      <c r="G54" s="268">
        <f t="shared" si="0"/>
        <v>0</v>
      </c>
      <c r="H54" s="269">
        <f t="shared" si="2"/>
        <v>0</v>
      </c>
      <c r="I54" s="270" t="e">
        <f t="shared" si="3"/>
        <v>#DIV/0!</v>
      </c>
      <c r="J54" s="261"/>
      <c r="K54" s="268">
        <f t="shared" si="4"/>
        <v>0</v>
      </c>
      <c r="L54" s="269">
        <f t="shared" si="5"/>
        <v>0</v>
      </c>
      <c r="M54" s="270" t="e">
        <f t="shared" si="6"/>
        <v>#DIV/0!</v>
      </c>
      <c r="O54" s="81"/>
      <c r="CA54" s="146"/>
      <c r="CB54" s="146"/>
      <c r="CC54" s="145"/>
      <c r="CD54" s="145"/>
      <c r="CE54" s="145"/>
      <c r="CF54" s="142"/>
    </row>
    <row r="55" spans="1:84" ht="13.5" customHeight="1">
      <c r="A55" s="80">
        <v>43</v>
      </c>
      <c r="C55" s="93" t="str">
        <f>+'Cental Budget'!C54</f>
        <v xml:space="preserve">Transferi institucijama, pojedincima, nevladinom i javnom sektoru </v>
      </c>
      <c r="D55" s="94">
        <f>+SUM(D56:D57)</f>
        <v>23855993.199999999</v>
      </c>
      <c r="E55" s="231">
        <f t="shared" si="1"/>
        <v>0.65167845494031196</v>
      </c>
      <c r="F55" s="94">
        <f>+SUM(F56:F57)</f>
        <v>27575102.649599999</v>
      </c>
      <c r="G55" s="231">
        <f t="shared" si="0"/>
        <v>0.75327403637555657</v>
      </c>
      <c r="H55" s="207">
        <f t="shared" si="2"/>
        <v>-3719109.4495999999</v>
      </c>
      <c r="I55" s="242">
        <f t="shared" si="3"/>
        <v>-13.487200743580729</v>
      </c>
      <c r="J55" s="154">
        <f>+J56+J57</f>
        <v>23920554.759999998</v>
      </c>
      <c r="K55" s="234">
        <f t="shared" si="4"/>
        <v>0.69176537088984635</v>
      </c>
      <c r="L55" s="207">
        <f t="shared" si="5"/>
        <v>-64561.559999998659</v>
      </c>
      <c r="M55" s="242">
        <f t="shared" si="6"/>
        <v>-0.26989992768879745</v>
      </c>
      <c r="O55" s="81"/>
      <c r="CA55" s="146"/>
      <c r="CB55" s="146"/>
      <c r="CC55" s="145"/>
      <c r="CD55" s="145"/>
      <c r="CE55" s="145"/>
      <c r="CF55" s="142"/>
    </row>
    <row r="56" spans="1:84" ht="13.5" customHeight="1">
      <c r="A56" s="80" t="s">
        <v>428</v>
      </c>
      <c r="B56" s="80">
        <v>431</v>
      </c>
      <c r="C56" s="97" t="s">
        <v>433</v>
      </c>
      <c r="D56" s="261">
        <v>12948108.799999997</v>
      </c>
      <c r="E56" s="268">
        <f t="shared" si="1"/>
        <v>0.35370581582757388</v>
      </c>
      <c r="F56" s="261">
        <v>15879173.831174999</v>
      </c>
      <c r="G56" s="268">
        <f t="shared" si="0"/>
        <v>0.43377424621452182</v>
      </c>
      <c r="H56" s="261">
        <f t="shared" si="2"/>
        <v>-2931065.0311750025</v>
      </c>
      <c r="I56" s="268">
        <f t="shared" si="3"/>
        <v>-18.458548677265256</v>
      </c>
      <c r="J56" s="261">
        <v>14311389.98</v>
      </c>
      <c r="K56" s="268">
        <f t="shared" si="4"/>
        <v>0.41387518378206434</v>
      </c>
      <c r="L56" s="261">
        <f t="shared" si="5"/>
        <v>-1363281.1800000034</v>
      </c>
      <c r="M56" s="268">
        <f t="shared" si="6"/>
        <v>-9.5258474676825529</v>
      </c>
      <c r="O56" s="81"/>
      <c r="CA56" s="146"/>
      <c r="CB56" s="146"/>
      <c r="CC56" s="145"/>
      <c r="CD56" s="145"/>
      <c r="CE56" s="145"/>
      <c r="CF56" s="142"/>
    </row>
    <row r="57" spans="1:84" s="223" customFormat="1" ht="13.5" customHeight="1" thickBot="1">
      <c r="A57" s="223" t="s">
        <v>428</v>
      </c>
      <c r="B57" s="223">
        <v>432</v>
      </c>
      <c r="C57" s="224" t="s">
        <v>434</v>
      </c>
      <c r="D57" s="156">
        <v>10907884.400000002</v>
      </c>
      <c r="E57" s="232">
        <f t="shared" si="1"/>
        <v>0.29797263911273808</v>
      </c>
      <c r="F57" s="156">
        <v>11695928.818425</v>
      </c>
      <c r="G57" s="232">
        <f t="shared" si="0"/>
        <v>0.3194997901610348</v>
      </c>
      <c r="H57" s="272">
        <f t="shared" si="2"/>
        <v>-788044.41842499748</v>
      </c>
      <c r="I57" s="232">
        <f t="shared" si="3"/>
        <v>-6.7377668816140783</v>
      </c>
      <c r="J57" s="156">
        <v>9609164.7799999993</v>
      </c>
      <c r="K57" s="278">
        <f t="shared" si="4"/>
        <v>0.27789018710778218</v>
      </c>
      <c r="L57" s="272">
        <f t="shared" si="5"/>
        <v>1298719.6200000029</v>
      </c>
      <c r="M57" s="232">
        <f t="shared" si="6"/>
        <v>13.515426675823988</v>
      </c>
      <c r="N57" s="80"/>
      <c r="O57" s="225"/>
      <c r="CA57" s="226"/>
      <c r="CB57" s="226"/>
      <c r="CC57" s="227"/>
      <c r="CD57" s="227"/>
      <c r="CE57" s="227"/>
      <c r="CF57" s="228"/>
    </row>
    <row r="58" spans="1:84" ht="13.5" customHeight="1" thickTop="1" thickBot="1">
      <c r="B58" s="80">
        <v>44</v>
      </c>
      <c r="C58" s="153" t="str">
        <f>+'Cental Budget'!C55</f>
        <v>Kapitalni budžet</v>
      </c>
      <c r="D58" s="282">
        <v>23454441.59</v>
      </c>
      <c r="E58" s="283">
        <f t="shared" si="1"/>
        <v>0.6407091974212582</v>
      </c>
      <c r="F58" s="288">
        <v>30000000</v>
      </c>
      <c r="G58" s="283">
        <f t="shared" si="0"/>
        <v>0.8195153932308028</v>
      </c>
      <c r="H58" s="282">
        <f t="shared" si="2"/>
        <v>-6545558.4100000001</v>
      </c>
      <c r="I58" s="283">
        <f t="shared" si="3"/>
        <v>-21.818528033333322</v>
      </c>
      <c r="J58" s="288">
        <v>30483036.25</v>
      </c>
      <c r="K58" s="284">
        <f t="shared" si="4"/>
        <v>0.88154765175395466</v>
      </c>
      <c r="L58" s="282">
        <f t="shared" si="5"/>
        <v>-7028594.6600000001</v>
      </c>
      <c r="M58" s="283">
        <f t="shared" si="6"/>
        <v>-23.057396915308928</v>
      </c>
      <c r="O58" s="81"/>
      <c r="CA58" s="146"/>
      <c r="CB58" s="146"/>
      <c r="CC58" s="145"/>
      <c r="CD58" s="145"/>
      <c r="CE58" s="145"/>
      <c r="CF58" s="142"/>
    </row>
    <row r="59" spans="1:84" ht="13.5" customHeight="1" thickTop="1">
      <c r="B59" s="80">
        <v>451</v>
      </c>
      <c r="C59" s="93" t="str">
        <f>+'Cental Budget'!C56</f>
        <v>Pozajmice i krediti</v>
      </c>
      <c r="D59" s="273">
        <v>991436.23</v>
      </c>
      <c r="E59" s="279">
        <f t="shared" si="1"/>
        <v>2.7083241729723824E-2</v>
      </c>
      <c r="F59" s="273">
        <v>1683312.8453347501</v>
      </c>
      <c r="G59" s="279">
        <f t="shared" si="0"/>
        <v>4.5983359612498977E-2</v>
      </c>
      <c r="H59" s="280">
        <f t="shared" si="2"/>
        <v>-691876.61533475015</v>
      </c>
      <c r="I59" s="281">
        <f t="shared" si="3"/>
        <v>-41.10208136605533</v>
      </c>
      <c r="J59" s="273">
        <v>766735.94</v>
      </c>
      <c r="K59" s="279">
        <f t="shared" si="4"/>
        <v>2.2173456143902367E-2</v>
      </c>
      <c r="L59" s="280">
        <f t="shared" si="5"/>
        <v>224700.29000000004</v>
      </c>
      <c r="M59" s="281">
        <f t="shared" si="6"/>
        <v>29.30608548231092</v>
      </c>
      <c r="O59" s="81"/>
      <c r="CA59" s="146"/>
      <c r="CB59" s="146"/>
      <c r="CC59" s="145"/>
      <c r="CD59" s="145"/>
      <c r="CE59" s="145"/>
      <c r="CF59" s="142"/>
    </row>
    <row r="60" spans="1:84" ht="13.5" customHeight="1" thickBot="1">
      <c r="B60" s="80">
        <v>47</v>
      </c>
      <c r="C60" s="93" t="str">
        <f>+'Cental Budget'!C57</f>
        <v>Rezerve</v>
      </c>
      <c r="D60" s="285">
        <v>1091161.45</v>
      </c>
      <c r="E60" s="289">
        <f t="shared" si="1"/>
        <v>2.9807453492501433E-2</v>
      </c>
      <c r="F60" s="285">
        <v>2250000</v>
      </c>
      <c r="G60" s="289">
        <f t="shared" si="0"/>
        <v>6.1463654492310206E-2</v>
      </c>
      <c r="H60" s="290">
        <f t="shared" si="2"/>
        <v>-1158838.55</v>
      </c>
      <c r="I60" s="291">
        <f t="shared" si="3"/>
        <v>-51.503935555555557</v>
      </c>
      <c r="J60" s="285">
        <v>1651202.7699999998</v>
      </c>
      <c r="K60" s="289">
        <f t="shared" si="4"/>
        <v>4.7751605598773811E-2</v>
      </c>
      <c r="L60" s="290">
        <f t="shared" si="5"/>
        <v>-560041.31999999983</v>
      </c>
      <c r="M60" s="291">
        <f t="shared" si="6"/>
        <v>-33.917174206290852</v>
      </c>
      <c r="O60" s="81"/>
      <c r="CA60" s="146"/>
      <c r="CB60" s="146"/>
      <c r="CC60" s="145"/>
      <c r="CD60" s="145"/>
      <c r="CE60" s="145"/>
      <c r="CF60" s="142"/>
    </row>
    <row r="61" spans="1:84" ht="13.5" customHeight="1" thickTop="1" thickBot="1">
      <c r="B61" s="80">
        <v>462</v>
      </c>
      <c r="C61" s="197" t="s">
        <v>113</v>
      </c>
      <c r="D61" s="286">
        <v>0</v>
      </c>
      <c r="E61" s="292">
        <f t="shared" si="1"/>
        <v>0</v>
      </c>
      <c r="F61" s="286">
        <v>0</v>
      </c>
      <c r="G61" s="292">
        <f t="shared" si="0"/>
        <v>0</v>
      </c>
      <c r="H61" s="293">
        <f t="shared" si="2"/>
        <v>0</v>
      </c>
      <c r="I61" s="294"/>
      <c r="J61" s="286">
        <v>0</v>
      </c>
      <c r="K61" s="292">
        <f t="shared" si="4"/>
        <v>0</v>
      </c>
      <c r="L61" s="293">
        <f t="shared" si="5"/>
        <v>0</v>
      </c>
      <c r="M61" s="294" t="e">
        <f t="shared" si="6"/>
        <v>#DIV/0!</v>
      </c>
      <c r="O61" s="81"/>
      <c r="CA61" s="146"/>
      <c r="CB61" s="146"/>
      <c r="CC61" s="145"/>
      <c r="CD61" s="145"/>
      <c r="CE61" s="145"/>
      <c r="CF61" s="142"/>
    </row>
    <row r="62" spans="1:84" ht="13.5" customHeight="1" thickTop="1" thickBot="1">
      <c r="B62" s="80">
        <v>990</v>
      </c>
      <c r="C62" s="198" t="s">
        <v>152</v>
      </c>
      <c r="D62" s="287">
        <v>0</v>
      </c>
      <c r="E62" s="295">
        <f t="shared" si="1"/>
        <v>0</v>
      </c>
      <c r="F62" s="287">
        <v>140276.0704445625</v>
      </c>
      <c r="G62" s="295">
        <f t="shared" si="0"/>
        <v>3.8319466343749151E-3</v>
      </c>
      <c r="H62" s="296">
        <f t="shared" si="2"/>
        <v>-140276.0704445625</v>
      </c>
      <c r="I62" s="297"/>
      <c r="J62" s="287"/>
      <c r="K62" s="295">
        <f t="shared" si="4"/>
        <v>0</v>
      </c>
      <c r="L62" s="296">
        <f t="shared" si="5"/>
        <v>0</v>
      </c>
      <c r="M62" s="297"/>
      <c r="O62" s="81"/>
      <c r="CA62" s="146"/>
      <c r="CB62" s="146"/>
      <c r="CC62" s="145"/>
      <c r="CD62" s="145"/>
      <c r="CE62" s="145"/>
      <c r="CF62" s="142"/>
    </row>
    <row r="63" spans="1:84" ht="13.5" customHeight="1" thickTop="1" thickBot="1">
      <c r="C63" s="153" t="str">
        <f>+'Cental Budget'!C61</f>
        <v>Suficit / deficit</v>
      </c>
      <c r="D63" s="282">
        <f>+D16-D40</f>
        <v>54368532.450000003</v>
      </c>
      <c r="E63" s="283">
        <f t="shared" si="1"/>
        <v>1.4851949750047806</v>
      </c>
      <c r="F63" s="282">
        <f>+F16-F40+F75</f>
        <v>50385627.927020863</v>
      </c>
      <c r="G63" s="283">
        <f t="shared" si="0"/>
        <v>1.3763932561264476</v>
      </c>
      <c r="H63" s="282">
        <f t="shared" si="2"/>
        <v>3982904.5229791403</v>
      </c>
      <c r="I63" s="283">
        <f t="shared" si="3"/>
        <v>7.904842485535795</v>
      </c>
      <c r="J63" s="282">
        <f>+J16-J40+J75</f>
        <v>49538053.180000022</v>
      </c>
      <c r="K63" s="284">
        <f t="shared" si="4"/>
        <v>1.4326051412707141</v>
      </c>
      <c r="L63" s="282">
        <f t="shared" si="5"/>
        <v>4830479.2699999809</v>
      </c>
      <c r="M63" s="283">
        <f t="shared" si="6"/>
        <v>9.751047850928046</v>
      </c>
      <c r="O63" s="81"/>
      <c r="CA63" s="146"/>
      <c r="CB63" s="146"/>
      <c r="CC63" s="145"/>
      <c r="CD63" s="145"/>
      <c r="CE63" s="145"/>
      <c r="CF63" s="142"/>
    </row>
    <row r="64" spans="1:84" ht="13.5" customHeight="1" thickTop="1" thickBot="1">
      <c r="C64" s="153" t="str">
        <f>+'Cental Budget'!C62</f>
        <v>Primarni bilans</v>
      </c>
      <c r="D64" s="282">
        <f>+D63+D48</f>
        <v>57082283.280000001</v>
      </c>
      <c r="E64" s="283">
        <f t="shared" si="1"/>
        <v>1.5593269942907095</v>
      </c>
      <c r="F64" s="282">
        <f>+F63+F48</f>
        <v>53484758.093142614</v>
      </c>
      <c r="G64" s="283">
        <f t="shared" si="0"/>
        <v>1.4610527520185377</v>
      </c>
      <c r="H64" s="282">
        <f t="shared" si="2"/>
        <v>3597525.1868573874</v>
      </c>
      <c r="I64" s="283">
        <f t="shared" si="3"/>
        <v>6.7262624252546317</v>
      </c>
      <c r="J64" s="282">
        <f>+J63+J48</f>
        <v>51970997.630000025</v>
      </c>
      <c r="K64" s="284">
        <f t="shared" si="4"/>
        <v>1.5029641583041737</v>
      </c>
      <c r="L64" s="282">
        <f t="shared" si="5"/>
        <v>5111285.6499999762</v>
      </c>
      <c r="M64" s="283">
        <f t="shared" si="6"/>
        <v>9.8348807663632556</v>
      </c>
      <c r="O64" s="81"/>
      <c r="CA64" s="146"/>
      <c r="CB64" s="146"/>
      <c r="CC64" s="145"/>
      <c r="CD64" s="145"/>
      <c r="CE64" s="145"/>
      <c r="CF64" s="142"/>
    </row>
    <row r="65" spans="2:84" ht="13.5" customHeight="1" thickTop="1" thickBot="1">
      <c r="C65" s="153" t="str">
        <f>+'Cental Budget'!C63</f>
        <v>Otplata dugova</v>
      </c>
      <c r="D65" s="282">
        <f>+SUM(D66:D68)</f>
        <v>52984088.949999996</v>
      </c>
      <c r="E65" s="283">
        <f t="shared" si="1"/>
        <v>1.447375883027836</v>
      </c>
      <c r="F65" s="282">
        <f>+SUM(F66:F68)</f>
        <v>40125000</v>
      </c>
      <c r="G65" s="283">
        <f t="shared" si="0"/>
        <v>1.0961018384461987</v>
      </c>
      <c r="H65" s="282">
        <f t="shared" si="2"/>
        <v>12859088.949999996</v>
      </c>
      <c r="I65" s="283">
        <f t="shared" si="3"/>
        <v>32.0475737071651</v>
      </c>
      <c r="J65" s="282">
        <f>+SUM(J66:J68)</f>
        <v>41719751.839999996</v>
      </c>
      <c r="K65" s="284">
        <f t="shared" si="4"/>
        <v>1.2065054466583764</v>
      </c>
      <c r="L65" s="282">
        <f t="shared" si="5"/>
        <v>11264337.109999999</v>
      </c>
      <c r="M65" s="283">
        <f t="shared" si="6"/>
        <v>27.000009859119061</v>
      </c>
      <c r="O65" s="81"/>
      <c r="CA65" s="146"/>
      <c r="CB65" s="146"/>
      <c r="CC65" s="145"/>
      <c r="CD65" s="145"/>
      <c r="CE65" s="145"/>
      <c r="CF65" s="142"/>
    </row>
    <row r="66" spans="2:84" ht="13.5" customHeight="1" thickTop="1">
      <c r="B66" s="80">
        <v>4611</v>
      </c>
      <c r="C66" s="97" t="str">
        <f>+'Cental Budget'!C64</f>
        <v>Otplata hartija od vrijednosti i kredita rezidentima</v>
      </c>
      <c r="D66" s="298">
        <v>17799436.809999999</v>
      </c>
      <c r="E66" s="300">
        <f t="shared" si="1"/>
        <v>0.48623041522113258</v>
      </c>
      <c r="F66" s="298">
        <v>3375000</v>
      </c>
      <c r="G66" s="300">
        <f t="shared" si="0"/>
        <v>9.2195481738465326E-2</v>
      </c>
      <c r="H66" s="301">
        <f t="shared" si="2"/>
        <v>14424436.809999999</v>
      </c>
      <c r="I66" s="302">
        <f t="shared" si="3"/>
        <v>427.39072029629619</v>
      </c>
      <c r="J66" s="298">
        <v>9836764.2799999993</v>
      </c>
      <c r="K66" s="300">
        <f t="shared" si="4"/>
        <v>0.2844722022036496</v>
      </c>
      <c r="L66" s="301">
        <f t="shared" si="5"/>
        <v>7962672.5299999993</v>
      </c>
      <c r="M66" s="302">
        <f t="shared" si="6"/>
        <v>80.948087230163878</v>
      </c>
      <c r="O66" s="81"/>
      <c r="CA66" s="146"/>
      <c r="CB66" s="146"/>
      <c r="CC66" s="145"/>
      <c r="CD66" s="145"/>
      <c r="CE66" s="145"/>
      <c r="CF66" s="142"/>
    </row>
    <row r="67" spans="2:84" ht="13.5" customHeight="1">
      <c r="B67" s="80">
        <v>4612</v>
      </c>
      <c r="C67" s="97" t="str">
        <f>+'Cental Budget'!C65</f>
        <v>Otplata hartija od vrijednosti i kredita nerezidentima</v>
      </c>
      <c r="D67" s="299">
        <v>1732427.61</v>
      </c>
      <c r="E67" s="268">
        <f t="shared" si="1"/>
        <v>4.7325036468435E-2</v>
      </c>
      <c r="F67" s="299">
        <v>3750000</v>
      </c>
      <c r="G67" s="268">
        <f t="shared" si="0"/>
        <v>0.10243942415385035</v>
      </c>
      <c r="H67" s="269">
        <f t="shared" si="2"/>
        <v>-2017572.39</v>
      </c>
      <c r="I67" s="270">
        <f t="shared" si="3"/>
        <v>-53.801930399999996</v>
      </c>
      <c r="J67" s="299">
        <v>1968140.36</v>
      </c>
      <c r="K67" s="268">
        <f t="shared" si="4"/>
        <v>5.691721449434628E-2</v>
      </c>
      <c r="L67" s="269">
        <f t="shared" si="5"/>
        <v>-235712.75</v>
      </c>
      <c r="M67" s="270">
        <f t="shared" si="6"/>
        <v>-11.976419710228399</v>
      </c>
      <c r="O67" s="81"/>
      <c r="CA67" s="146"/>
      <c r="CB67" s="146"/>
      <c r="CC67" s="145"/>
      <c r="CD67" s="145"/>
      <c r="CE67" s="145"/>
      <c r="CF67" s="142"/>
    </row>
    <row r="68" spans="2:84" ht="13.5" customHeight="1" thickBot="1">
      <c r="B68" s="80" t="s">
        <v>457</v>
      </c>
      <c r="C68" s="97" t="str">
        <f>+'Cental Budget'!C59</f>
        <v>Otplata obaveza iz prethodnih godina</v>
      </c>
      <c r="D68" s="299">
        <v>33452224.529999997</v>
      </c>
      <c r="E68" s="268">
        <f t="shared" si="1"/>
        <v>0.91382043133826851</v>
      </c>
      <c r="F68" s="299">
        <v>33000000</v>
      </c>
      <c r="G68" s="268">
        <f t="shared" si="0"/>
        <v>0.9014669325538831</v>
      </c>
      <c r="H68" s="269">
        <f t="shared" si="2"/>
        <v>452224.52999999747</v>
      </c>
      <c r="I68" s="270">
        <f t="shared" si="3"/>
        <v>1.370377363636365</v>
      </c>
      <c r="J68" s="299">
        <v>29914847.199999999</v>
      </c>
      <c r="K68" s="268">
        <f t="shared" si="4"/>
        <v>0.86511602996038051</v>
      </c>
      <c r="L68" s="269">
        <f t="shared" si="5"/>
        <v>3537377.3299999982</v>
      </c>
      <c r="M68" s="270">
        <f t="shared" si="6"/>
        <v>11.824821655782998</v>
      </c>
      <c r="O68" s="81"/>
      <c r="CA68" s="146"/>
      <c r="CB68" s="146"/>
      <c r="CC68" s="145"/>
      <c r="CD68" s="145"/>
      <c r="CE68" s="145"/>
      <c r="CF68" s="142"/>
    </row>
    <row r="69" spans="2:84" ht="13.5" customHeight="1" thickTop="1" thickBot="1">
      <c r="C69" s="153" t="str">
        <f>+'Cental Budget'!C67</f>
        <v>Nedostajuća sredstva</v>
      </c>
      <c r="D69" s="282">
        <f>+D63-D65</f>
        <v>1384443.5000000075</v>
      </c>
      <c r="E69" s="283">
        <f t="shared" si="1"/>
        <v>3.7819091976944504E-2</v>
      </c>
      <c r="F69" s="282">
        <f>+F63-F65</f>
        <v>10260627.927020863</v>
      </c>
      <c r="G69" s="283">
        <f t="shared" si="0"/>
        <v>0.28029141768024868</v>
      </c>
      <c r="H69" s="282">
        <f t="shared" si="2"/>
        <v>-8876184.4270208552</v>
      </c>
      <c r="I69" s="283">
        <f t="shared" si="3"/>
        <v>-86.507224413097148</v>
      </c>
      <c r="J69" s="282">
        <f>+J63-J65</f>
        <v>7818301.3400000259</v>
      </c>
      <c r="K69" s="284">
        <f t="shared" si="4"/>
        <v>0.2260996946123377</v>
      </c>
      <c r="L69" s="282">
        <f t="shared" si="5"/>
        <v>-6433857.8400000185</v>
      </c>
      <c r="M69" s="283">
        <f t="shared" si="6"/>
        <v>-82.292272454159416</v>
      </c>
      <c r="O69" s="81"/>
      <c r="CA69" s="146"/>
      <c r="CB69" s="146"/>
      <c r="CC69" s="145"/>
      <c r="CD69" s="145"/>
      <c r="CE69" s="145"/>
      <c r="CF69" s="142"/>
    </row>
    <row r="70" spans="2:84" ht="13.5" customHeight="1" thickTop="1" thickBot="1">
      <c r="C70" s="153" t="str">
        <f>+'Cental Budget'!C68</f>
        <v>Finansiranje</v>
      </c>
      <c r="D70" s="282">
        <f>+SUM(D71:D74)</f>
        <v>-1384443.5000000075</v>
      </c>
      <c r="E70" s="283">
        <f t="shared" si="1"/>
        <v>-3.7819091976944504E-2</v>
      </c>
      <c r="F70" s="282">
        <f>+SUM(F71:F74)</f>
        <v>-10260627.927020863</v>
      </c>
      <c r="G70" s="283">
        <f t="shared" si="0"/>
        <v>-0.28029141768024868</v>
      </c>
      <c r="H70" s="282">
        <f t="shared" si="2"/>
        <v>8876184.4270208552</v>
      </c>
      <c r="I70" s="283">
        <f t="shared" si="3"/>
        <v>-86.507224413097148</v>
      </c>
      <c r="J70" s="282">
        <f>+SUM(J71:J74)</f>
        <v>-7818301.3400000259</v>
      </c>
      <c r="K70" s="284">
        <f t="shared" si="4"/>
        <v>-0.2260996946123377</v>
      </c>
      <c r="L70" s="282">
        <f t="shared" si="5"/>
        <v>6433857.8400000185</v>
      </c>
      <c r="M70" s="283">
        <f t="shared" si="6"/>
        <v>-82.292272454159416</v>
      </c>
      <c r="O70" s="81"/>
      <c r="CA70" s="146"/>
      <c r="CB70" s="146"/>
      <c r="CC70" s="145"/>
      <c r="CD70" s="145"/>
      <c r="CE70" s="145"/>
      <c r="CF70" s="142"/>
    </row>
    <row r="71" spans="2:84" ht="13.5" customHeight="1" thickTop="1">
      <c r="B71" s="80">
        <v>7511</v>
      </c>
      <c r="C71" s="97" t="str">
        <f>+'Cental Budget'!C69</f>
        <v>Pozajmice i krediti od domaćih izvora</v>
      </c>
      <c r="D71" s="298">
        <v>13902868.15</v>
      </c>
      <c r="E71" s="300">
        <f t="shared" si="1"/>
        <v>0.37978714863277513</v>
      </c>
      <c r="F71" s="298">
        <v>3750000</v>
      </c>
      <c r="G71" s="300">
        <f t="shared" si="0"/>
        <v>0.10243942415385035</v>
      </c>
      <c r="H71" s="301">
        <f t="shared" si="2"/>
        <v>10152868.15</v>
      </c>
      <c r="I71" s="302">
        <f t="shared" si="3"/>
        <v>270.74315066666668</v>
      </c>
      <c r="J71" s="298">
        <v>1844873.1199999999</v>
      </c>
      <c r="K71" s="300">
        <f t="shared" si="4"/>
        <v>5.3352413892825121E-2</v>
      </c>
      <c r="L71" s="301">
        <f t="shared" si="5"/>
        <v>12057995.030000001</v>
      </c>
      <c r="M71" s="302">
        <f t="shared" si="6"/>
        <v>653.5948136097295</v>
      </c>
      <c r="O71" s="81"/>
      <c r="CA71" s="146"/>
      <c r="CB71" s="146"/>
      <c r="CC71" s="145"/>
      <c r="CD71" s="145"/>
      <c r="CE71" s="145"/>
      <c r="CF71" s="142"/>
    </row>
    <row r="72" spans="2:84" ht="13.5" customHeight="1">
      <c r="B72" s="80">
        <v>7512</v>
      </c>
      <c r="C72" s="97" t="str">
        <f>+'Cental Budget'!C70</f>
        <v>Pozajmice i krediti od inostranih izvora</v>
      </c>
      <c r="D72" s="299">
        <v>2151014.4699999997</v>
      </c>
      <c r="E72" s="268">
        <f t="shared" si="1"/>
        <v>5.8759648974239888E-2</v>
      </c>
      <c r="F72" s="299">
        <v>2250000</v>
      </c>
      <c r="G72" s="268">
        <f t="shared" si="0"/>
        <v>6.1463654492310206E-2</v>
      </c>
      <c r="H72" s="269">
        <f t="shared" si="2"/>
        <v>-98985.530000000261</v>
      </c>
      <c r="I72" s="303"/>
      <c r="J72" s="299">
        <v>1523908.87</v>
      </c>
      <c r="K72" s="268">
        <f t="shared" si="4"/>
        <v>4.4070356863992605E-2</v>
      </c>
      <c r="L72" s="269">
        <f t="shared" si="5"/>
        <v>627105.59999999963</v>
      </c>
      <c r="M72" s="358">
        <f t="shared" si="6"/>
        <v>41.151122114014584</v>
      </c>
      <c r="O72" s="81"/>
      <c r="CA72" s="146"/>
      <c r="CB72" s="146"/>
      <c r="CC72" s="145"/>
      <c r="CD72" s="145"/>
      <c r="CE72" s="145"/>
      <c r="CF72" s="142"/>
    </row>
    <row r="73" spans="2:84" ht="13.5" customHeight="1" thickBot="1">
      <c r="B73" s="80">
        <v>72</v>
      </c>
      <c r="C73" s="103" t="str">
        <f>+'Cental Budget'!C71</f>
        <v>Primici od prodaje imovine</v>
      </c>
      <c r="D73" s="299">
        <v>1262422.5900000001</v>
      </c>
      <c r="E73" s="268">
        <f t="shared" si="1"/>
        <v>3.4485824842243287E-2</v>
      </c>
      <c r="F73" s="299">
        <v>6500000</v>
      </c>
      <c r="G73" s="268">
        <f t="shared" si="0"/>
        <v>0.17756166853334063</v>
      </c>
      <c r="H73" s="269">
        <f t="shared" si="2"/>
        <v>-5237577.41</v>
      </c>
      <c r="I73" s="270">
        <f t="shared" si="3"/>
        <v>-80.578113999999999</v>
      </c>
      <c r="J73" s="299">
        <v>2208220.9299999997</v>
      </c>
      <c r="K73" s="268">
        <f t="shared" si="4"/>
        <v>6.3860173226524763E-2</v>
      </c>
      <c r="L73" s="269">
        <f t="shared" si="5"/>
        <v>-945798.33999999962</v>
      </c>
      <c r="M73" s="270">
        <f t="shared" si="6"/>
        <v>-42.830784146222165</v>
      </c>
      <c r="O73" s="81"/>
      <c r="CA73" s="146"/>
      <c r="CB73" s="146"/>
      <c r="CC73" s="145"/>
      <c r="CD73" s="145"/>
      <c r="CE73" s="145"/>
      <c r="CF73" s="142"/>
    </row>
    <row r="74" spans="2:84" ht="13.5" customHeight="1" thickTop="1" thickBot="1">
      <c r="C74" s="148" t="str">
        <f>+'Cental Budget'!C72</f>
        <v>Povećanje / smanjenje depozita</v>
      </c>
      <c r="D74" s="149">
        <f>-D69-SUM(D71:D73)</f>
        <v>-18700748.710000008</v>
      </c>
      <c r="E74" s="235">
        <f t="shared" si="1"/>
        <v>-0.51085171442620281</v>
      </c>
      <c r="F74" s="149">
        <f>-F69-SUM(F71:F73)</f>
        <v>-22760627.927020863</v>
      </c>
      <c r="G74" s="235">
        <f t="shared" si="0"/>
        <v>-0.62175616485974983</v>
      </c>
      <c r="H74" s="208">
        <f t="shared" si="2"/>
        <v>4059879.2170208544</v>
      </c>
      <c r="I74" s="248">
        <f t="shared" si="3"/>
        <v>-17.837290034520819</v>
      </c>
      <c r="J74" s="149">
        <f>-J69-SUM(J71:J73)</f>
        <v>-13395304.260000026</v>
      </c>
      <c r="K74" s="304">
        <f t="shared" si="4"/>
        <v>-0.38738263859568023</v>
      </c>
      <c r="L74" s="208">
        <f t="shared" si="5"/>
        <v>-5305444.4499999825</v>
      </c>
      <c r="M74" s="248">
        <f t="shared" si="6"/>
        <v>39.606748357651497</v>
      </c>
      <c r="O74" s="81"/>
      <c r="CA74" s="146"/>
      <c r="CB74" s="146"/>
      <c r="CC74" s="145"/>
      <c r="CD74" s="145"/>
      <c r="CE74" s="145"/>
      <c r="CF74" s="142"/>
    </row>
    <row r="75" spans="2:84" ht="13.5" customHeight="1" thickTop="1" thickBot="1">
      <c r="B75" s="80">
        <v>999</v>
      </c>
      <c r="C75" s="153" t="s">
        <v>465</v>
      </c>
      <c r="D75" s="288">
        <v>847568.37</v>
      </c>
      <c r="E75" s="283">
        <f t="shared" si="1"/>
        <v>2.3153177534351352E-2</v>
      </c>
      <c r="F75" s="288">
        <v>1500000</v>
      </c>
      <c r="G75" s="283">
        <f t="shared" si="0"/>
        <v>4.0975769661540144E-2</v>
      </c>
      <c r="H75" s="282">
        <f t="shared" si="2"/>
        <v>-652431.63</v>
      </c>
      <c r="I75" s="283"/>
      <c r="J75" s="288">
        <v>1273362.6600000001</v>
      </c>
      <c r="K75" s="284">
        <f t="shared" si="4"/>
        <v>3.6824739292634259E-2</v>
      </c>
      <c r="L75" s="282">
        <f t="shared" si="5"/>
        <v>-425794.29000000015</v>
      </c>
      <c r="M75" s="283">
        <f t="shared" si="6"/>
        <v>-33.438572009014308</v>
      </c>
      <c r="O75" s="81"/>
      <c r="P75" s="216"/>
      <c r="CA75" s="146"/>
      <c r="CB75" s="146"/>
      <c r="CC75" s="145"/>
      <c r="CD75" s="145"/>
      <c r="CE75" s="145"/>
      <c r="CF75" s="142"/>
    </row>
    <row r="76" spans="2:84" ht="13.5" thickTop="1">
      <c r="C76" s="106" t="str">
        <f>IF(MasterSheet!$A$1=1,MasterSheet!C151,MasterSheet!B151)</f>
        <v>Izvor: Ministarstvo finansija Crne Gore</v>
      </c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O76" s="81"/>
    </row>
    <row r="77" spans="2:84"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O77" s="81"/>
    </row>
    <row r="78" spans="2:84">
      <c r="D78" s="133"/>
      <c r="E78" s="134"/>
      <c r="F78" s="134"/>
      <c r="G78" s="134"/>
      <c r="H78" s="134"/>
      <c r="I78" s="134"/>
      <c r="J78" s="134"/>
      <c r="K78" s="134"/>
      <c r="L78" s="134"/>
      <c r="M78" s="134"/>
    </row>
    <row r="79" spans="2:84">
      <c r="D79" s="133"/>
      <c r="E79" s="134"/>
      <c r="F79" s="134"/>
      <c r="G79" s="134"/>
      <c r="H79" s="134"/>
      <c r="I79" s="134"/>
      <c r="J79" s="134"/>
      <c r="K79" s="134"/>
      <c r="L79" s="134"/>
      <c r="M79" s="134"/>
    </row>
    <row r="80" spans="2:84"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</row>
    <row r="81" spans="5:13">
      <c r="E81" s="134"/>
      <c r="F81" s="134"/>
      <c r="G81" s="134"/>
      <c r="H81" s="134"/>
      <c r="I81" s="134"/>
      <c r="J81" s="134"/>
      <c r="K81" s="134"/>
      <c r="L81" s="134"/>
      <c r="M81" s="134"/>
    </row>
    <row r="82" spans="5:13">
      <c r="E82" s="134"/>
      <c r="F82" s="134"/>
      <c r="G82" s="134"/>
      <c r="H82" s="134"/>
      <c r="I82" s="134"/>
      <c r="J82" s="134"/>
      <c r="K82" s="134"/>
      <c r="L82" s="134"/>
      <c r="M82" s="134"/>
    </row>
    <row r="83" spans="5:13">
      <c r="E83" s="134"/>
      <c r="F83" s="134"/>
      <c r="G83" s="134"/>
      <c r="H83" s="134"/>
      <c r="I83" s="134"/>
      <c r="J83" s="134"/>
      <c r="K83" s="134"/>
      <c r="L83" s="134"/>
      <c r="M83" s="134"/>
    </row>
    <row r="84" spans="5:13">
      <c r="E84" s="134"/>
      <c r="F84" s="134"/>
      <c r="G84" s="134"/>
      <c r="H84" s="134"/>
      <c r="I84" s="134"/>
      <c r="J84" s="134"/>
      <c r="K84" s="134"/>
      <c r="L84" s="134"/>
      <c r="M84" s="134"/>
    </row>
    <row r="85" spans="5:13">
      <c r="E85" s="134"/>
      <c r="F85" s="134"/>
      <c r="G85" s="134"/>
      <c r="H85" s="134"/>
      <c r="I85" s="134"/>
      <c r="J85" s="134"/>
      <c r="K85" s="134"/>
      <c r="L85" s="134"/>
      <c r="M85" s="134"/>
    </row>
    <row r="86" spans="5:13">
      <c r="E86" s="134"/>
      <c r="F86" s="134"/>
      <c r="G86" s="134"/>
      <c r="H86" s="134"/>
      <c r="I86" s="134"/>
      <c r="J86" s="134"/>
      <c r="K86" s="134"/>
      <c r="L86" s="134"/>
      <c r="M86" s="134"/>
    </row>
    <row r="87" spans="5:13">
      <c r="E87" s="134"/>
      <c r="F87" s="134"/>
      <c r="G87" s="134"/>
      <c r="H87" s="134"/>
      <c r="I87" s="134"/>
      <c r="J87" s="134"/>
      <c r="K87" s="134"/>
      <c r="L87" s="134"/>
      <c r="M87" s="134"/>
    </row>
    <row r="88" spans="5:13">
      <c r="E88" s="134"/>
      <c r="F88" s="134"/>
      <c r="G88" s="134"/>
      <c r="H88" s="134"/>
      <c r="I88" s="134"/>
      <c r="J88" s="134"/>
      <c r="K88" s="134"/>
      <c r="L88" s="134"/>
      <c r="M88" s="134"/>
    </row>
    <row r="89" spans="5:13">
      <c r="E89" s="134"/>
      <c r="F89" s="134"/>
      <c r="G89" s="134"/>
      <c r="H89" s="134"/>
      <c r="I89" s="134"/>
      <c r="J89" s="134"/>
      <c r="K89" s="134"/>
      <c r="L89" s="134"/>
      <c r="M89" s="134"/>
    </row>
    <row r="90" spans="5:13">
      <c r="E90" s="134"/>
      <c r="F90" s="134"/>
      <c r="G90" s="134"/>
      <c r="H90" s="134"/>
      <c r="I90" s="134"/>
      <c r="J90" s="134"/>
      <c r="K90" s="134"/>
      <c r="L90" s="134"/>
      <c r="M90" s="134"/>
    </row>
    <row r="91" spans="5:13">
      <c r="E91" s="134"/>
      <c r="F91" s="134"/>
      <c r="G91" s="134"/>
      <c r="H91" s="134"/>
      <c r="I91" s="134"/>
      <c r="J91" s="134"/>
      <c r="K91" s="134"/>
      <c r="L91" s="134"/>
      <c r="M91" s="134"/>
    </row>
    <row r="92" spans="5:13">
      <c r="E92" s="134"/>
      <c r="F92" s="134"/>
      <c r="G92" s="134"/>
      <c r="H92" s="134"/>
      <c r="I92" s="134"/>
      <c r="J92" s="134"/>
      <c r="K92" s="134"/>
      <c r="L92" s="134"/>
      <c r="M92" s="134"/>
    </row>
  </sheetData>
  <sheetProtection formatCells="0" formatColumns="0" formatRows="0" sort="0" autoFilter="0"/>
  <mergeCells count="12">
    <mergeCell ref="C14:C15"/>
    <mergeCell ref="D14:E14"/>
    <mergeCell ref="F14:G14"/>
    <mergeCell ref="H14:I14"/>
    <mergeCell ref="J14:K14"/>
    <mergeCell ref="L14:M14"/>
    <mergeCell ref="H11:I11"/>
    <mergeCell ref="J11:K11"/>
    <mergeCell ref="L11:M11"/>
    <mergeCell ref="D11:G11"/>
    <mergeCell ref="D13:E13"/>
    <mergeCell ref="J13:K13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CI82"/>
  <sheetViews>
    <sheetView topLeftCell="C1" zoomScale="90" zoomScaleNormal="90" workbookViewId="0">
      <pane ySplit="15" topLeftCell="A16" activePane="bottomLeft" state="frozen"/>
      <selection pane="bottomLeft" activeCell="AE24" sqref="AE24"/>
    </sheetView>
  </sheetViews>
  <sheetFormatPr defaultColWidth="9.140625" defaultRowHeight="12.75"/>
  <cols>
    <col min="1" max="2" width="9.140625" style="80" customWidth="1"/>
    <col min="3" max="3" width="55.85546875" style="80" bestFit="1" customWidth="1"/>
    <col min="4" max="13" width="9.42578125" style="80" customWidth="1"/>
    <col min="14" max="14" width="15" style="80" customWidth="1"/>
    <col min="15" max="26" width="9.140625" style="80" hidden="1" customWidth="1"/>
    <col min="27" max="79" width="9.140625" style="80" customWidth="1"/>
    <col min="80" max="80" width="9.140625" style="80"/>
    <col min="81" max="81" width="15.42578125" style="80" customWidth="1"/>
    <col min="82" max="82" width="12.7109375" style="80" customWidth="1"/>
    <col min="83" max="83" width="11.85546875" style="80" customWidth="1"/>
    <col min="84" max="16384" width="9.140625" style="80"/>
  </cols>
  <sheetData>
    <row r="1" spans="2:79" s="135" customFormat="1" ht="12" customHeight="1">
      <c r="C1" s="132"/>
      <c r="D1" s="108">
        <v>3</v>
      </c>
      <c r="E1" s="108">
        <v>4</v>
      </c>
      <c r="F1" s="108">
        <v>5</v>
      </c>
      <c r="G1" s="108">
        <v>6</v>
      </c>
      <c r="H1" s="108">
        <v>7</v>
      </c>
      <c r="I1" s="108">
        <v>8</v>
      </c>
      <c r="J1" s="108">
        <v>9</v>
      </c>
      <c r="K1" s="108">
        <v>10</v>
      </c>
      <c r="L1" s="108">
        <v>11</v>
      </c>
      <c r="M1" s="108">
        <v>12</v>
      </c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</row>
    <row r="2" spans="2:79" ht="15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</row>
    <row r="3" spans="2:79" ht="15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</row>
    <row r="4" spans="2:79" ht="15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</row>
    <row r="5" spans="2:79" ht="15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</row>
    <row r="6" spans="2:79" ht="15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</row>
    <row r="7" spans="2:79" ht="15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</row>
    <row r="8" spans="2:79" ht="15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</row>
    <row r="9" spans="2:79" ht="15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</row>
    <row r="10" spans="2:79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</row>
    <row r="11" spans="2:79" ht="18.75" customHeight="1" thickTop="1" thickBot="1">
      <c r="C11" s="167" t="str">
        <f>IF(MasterSheet!$A$1=1,MasterSheet!B67,MasterSheet!B66)</f>
        <v>BDP (u mil. €)</v>
      </c>
      <c r="D11" s="389">
        <f>+'Cental Budget'!D11:G11</f>
        <v>3660700000</v>
      </c>
      <c r="E11" s="390"/>
      <c r="F11" s="390"/>
      <c r="G11" s="391"/>
      <c r="H11" s="376"/>
      <c r="I11" s="377"/>
      <c r="J11" s="387">
        <f>+'Cental Budget'!J11:K11</f>
        <v>3457900000</v>
      </c>
      <c r="K11" s="388"/>
      <c r="L11" s="376"/>
      <c r="M11" s="380"/>
      <c r="N11" s="206"/>
      <c r="O11" s="81"/>
      <c r="P11" s="212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</row>
    <row r="12" spans="2:79" ht="19.5" customHeight="1" thickTop="1">
      <c r="C12" s="174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4"/>
      <c r="O12" s="81"/>
      <c r="P12" s="212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</row>
    <row r="13" spans="2:79" ht="27" customHeight="1" thickBot="1">
      <c r="B13" s="85"/>
      <c r="C13" s="175"/>
      <c r="D13" s="384" t="s">
        <v>468</v>
      </c>
      <c r="E13" s="384"/>
      <c r="F13" s="86"/>
      <c r="G13" s="86"/>
      <c r="H13" s="86"/>
      <c r="I13" s="86"/>
      <c r="J13" s="396"/>
      <c r="K13" s="396"/>
      <c r="L13" s="86"/>
      <c r="M13" s="86"/>
      <c r="N13" s="84"/>
      <c r="O13" s="136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</row>
    <row r="14" spans="2:79" ht="15.75" customHeight="1" thickTop="1">
      <c r="B14" s="87"/>
      <c r="C14" s="392" t="s">
        <v>235</v>
      </c>
      <c r="D14" s="394" t="s">
        <v>469</v>
      </c>
      <c r="E14" s="395"/>
      <c r="F14" s="394" t="s">
        <v>472</v>
      </c>
      <c r="G14" s="395"/>
      <c r="H14" s="394" t="str">
        <f>+'Cental Budget'!H14:I14</f>
        <v>Odstupanje</v>
      </c>
      <c r="I14" s="395"/>
      <c r="J14" s="394" t="s">
        <v>446</v>
      </c>
      <c r="K14" s="395"/>
      <c r="L14" s="394" t="str">
        <f>+H14</f>
        <v>Odstupanje</v>
      </c>
      <c r="M14" s="395"/>
      <c r="O14" s="99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</row>
    <row r="15" spans="2:79" ht="15" customHeight="1" thickBot="1">
      <c r="C15" s="393" t="str">
        <f>IF(MasterSheet!$A$1=1,MasterSheet!B71,MasterSheet!B70)</f>
        <v>Budžet Crne Gore</v>
      </c>
      <c r="D15" s="168" t="str">
        <f>IF(MasterSheet!$A$1=1,MasterSheet!C71,MasterSheet!C70)</f>
        <v>mil. €</v>
      </c>
      <c r="E15" s="169" t="str">
        <f>IF(MasterSheet!$A$1=1,MasterSheet!D71,MasterSheet!D70)</f>
        <v>% BDP</v>
      </c>
      <c r="F15" s="170" t="str">
        <f>IF(MasterSheet!$A$1=1,MasterSheet!E71,MasterSheet!E70)</f>
        <v>mil. €</v>
      </c>
      <c r="G15" s="171" t="str">
        <f>IF(MasterSheet!$A$1=1,MasterSheet!F71,MasterSheet!F70)</f>
        <v>% BDP</v>
      </c>
      <c r="H15" s="172" t="str">
        <f>IF(MasterSheet!$A$1=1,MasterSheet!G71,MasterSheet!G70)</f>
        <v>mil. €</v>
      </c>
      <c r="I15" s="171" t="s">
        <v>442</v>
      </c>
      <c r="J15" s="168" t="str">
        <f>IF(MasterSheet!$A$1=1,MasterSheet!I71,MasterSheet!I70)</f>
        <v>mil. €</v>
      </c>
      <c r="K15" s="170" t="str">
        <f>IF(MasterSheet!$A$1=1,MasterSheet!J71,MasterSheet!J70)</f>
        <v>% BDP</v>
      </c>
      <c r="L15" s="168" t="str">
        <f>IF(MasterSheet!$A$1=1,MasterSheet!K71,MasterSheet!K70)</f>
        <v>mil. €</v>
      </c>
      <c r="M15" s="169" t="s">
        <v>442</v>
      </c>
      <c r="O15" s="99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</row>
    <row r="16" spans="2:79" ht="15" customHeight="1" thickTop="1" thickBot="1">
      <c r="C16" s="178" t="str">
        <f>IF(MasterSheet!$A$1=1,MasterSheet!C72,MasterSheet!B72)</f>
        <v>Izvorni prihodi</v>
      </c>
      <c r="D16" s="176">
        <f>D17+D26+D31+D32+D33+D34+D35</f>
        <v>1113888769.3200002</v>
      </c>
      <c r="E16" s="249">
        <f t="shared" ref="E16:E75" si="0">D16/D$11*100</f>
        <v>30.428299760155163</v>
      </c>
      <c r="F16" s="176">
        <f>F17+F26+F31+F32+F33+F34+F35</f>
        <v>1114274013.912025</v>
      </c>
      <c r="G16" s="249">
        <f>F16/D$11*100</f>
        <v>30.438823555932608</v>
      </c>
      <c r="H16" s="176">
        <f>+D16-F16</f>
        <v>-385244.59202480316</v>
      </c>
      <c r="I16" s="249">
        <f>+D16/F16*100-100</f>
        <v>-3.4573595651949063E-2</v>
      </c>
      <c r="J16" s="176">
        <f>J17+J26+J31+J32+J33+J34+J35</f>
        <v>1086103151.8800001</v>
      </c>
      <c r="K16" s="249">
        <f t="shared" ref="K16:K75" si="1">J16/J$11*100</f>
        <v>31.409327970155299</v>
      </c>
      <c r="L16" s="176">
        <f>+D16-J16</f>
        <v>27785617.440000057</v>
      </c>
      <c r="M16" s="249">
        <f>+D16/J16*100-100</f>
        <v>2.5582853149725509</v>
      </c>
      <c r="O16" s="99"/>
      <c r="P16" s="81"/>
      <c r="Q16" s="81"/>
      <c r="R16" s="81" t="s">
        <v>449</v>
      </c>
      <c r="S16" s="81" t="s">
        <v>450</v>
      </c>
      <c r="T16" s="81" t="s">
        <v>451</v>
      </c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</row>
    <row r="17" spans="2:84" ht="15" customHeight="1" thickTop="1">
      <c r="B17" s="80">
        <v>711</v>
      </c>
      <c r="C17" s="93" t="str">
        <f>IF(MasterSheet!$A$1=1,MasterSheet!C73,MasterSheet!B73)</f>
        <v>Porezi</v>
      </c>
      <c r="D17" s="154">
        <f>SUM(D18:D25)</f>
        <v>681734991.6500001</v>
      </c>
      <c r="E17" s="250">
        <f t="shared" si="0"/>
        <v>18.623077325374933</v>
      </c>
      <c r="F17" s="154">
        <f>SUM(F18:F25)</f>
        <v>708146545.26633215</v>
      </c>
      <c r="G17" s="250">
        <f t="shared" ref="G17:G75" si="2">F17/D$11*100</f>
        <v>19.344566483632423</v>
      </c>
      <c r="H17" s="209">
        <f t="shared" ref="H17:H75" si="3">+D17-F17</f>
        <v>-26411553.616332054</v>
      </c>
      <c r="I17" s="256">
        <f t="shared" ref="I17:I75" si="4">+D17/F17*100-100</f>
        <v>-3.729673440177379</v>
      </c>
      <c r="J17" s="154">
        <f>SUM(J18:J25)</f>
        <v>684275025.57000005</v>
      </c>
      <c r="K17" s="250">
        <f t="shared" si="1"/>
        <v>19.788745353249084</v>
      </c>
      <c r="L17" s="209">
        <f t="shared" ref="L17:L75" si="5">+D17-J17</f>
        <v>-2540033.9199999571</v>
      </c>
      <c r="M17" s="258">
        <f t="shared" ref="M17:M75" si="6">+D17/J17*100-100</f>
        <v>-0.37120073436614121</v>
      </c>
      <c r="N17" s="220"/>
      <c r="O17" s="99"/>
      <c r="P17" s="81"/>
      <c r="Q17" s="81" t="s">
        <v>469</v>
      </c>
      <c r="R17" s="212">
        <f>+D16</f>
        <v>1113888769.3200002</v>
      </c>
      <c r="S17" s="212">
        <f>+D36</f>
        <v>1305347878.5000005</v>
      </c>
      <c r="T17" s="212">
        <f>+D64</f>
        <v>-191459109.18000031</v>
      </c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</row>
    <row r="18" spans="2:84" ht="15" customHeight="1">
      <c r="B18" s="80">
        <v>7111</v>
      </c>
      <c r="C18" s="97" t="str">
        <f>IF(MasterSheet!$A$1=1,MasterSheet!C74,MasterSheet!B74)</f>
        <v>Porez na dohodak fizičkih lica</v>
      </c>
      <c r="D18" s="156">
        <f>+IF(ISNUMBER(VLOOKUP($B18,'Cental Budget'!$B$16:$K$75,'Public Expenditure'!D$1,FALSE)),VLOOKUP($B18,'Cental Budget'!$B$16:$K$75,'Public Expenditure'!D$1,FALSE),0)+IF(ISNUMBER(VLOOKUP('Public Expenditure'!$B18,'Local Government'!$B$16:$O$75,'Public Expenditure'!D$1,FALSE)),VLOOKUP('Public Expenditure'!$B18,'Local Government'!$B$16:$O$75,'Public Expenditure'!D$1,FALSE),0)</f>
        <v>84390972.689999998</v>
      </c>
      <c r="E18" s="251">
        <f t="shared" si="0"/>
        <v>2.3053233723058431</v>
      </c>
      <c r="F18" s="156">
        <f>+IF(ISNUMBER(VLOOKUP($B18,'Cental Budget'!$B$16:$K$75,'Public Expenditure'!F$1,FALSE)),VLOOKUP($B18,'Cental Budget'!$B$16:$K$75,'Public Expenditure'!F$1,FALSE),0)+IF(ISNUMBER(VLOOKUP('Public Expenditure'!$B18,'Local Government'!$B$16:$O$75,'Public Expenditure'!F$1,FALSE)),VLOOKUP('Public Expenditure'!$B18,'Local Government'!$B$16:$O$75,'Public Expenditure'!F$1,FALSE),0)</f>
        <v>98200280.826545835</v>
      </c>
      <c r="G18" s="251">
        <f t="shared" si="2"/>
        <v>2.6825547252313995</v>
      </c>
      <c r="H18" s="210">
        <f t="shared" si="3"/>
        <v>-13809308.136545837</v>
      </c>
      <c r="I18" s="257">
        <f t="shared" si="4"/>
        <v>-14.062391696147643</v>
      </c>
      <c r="J18" s="156">
        <f>+IF(ISNUMBER(VLOOKUP($B18,'Cental Budget'!$B$16:$K$75,'Public Expenditure'!J$1,FALSE)),VLOOKUP($B18,'Cental Budget'!$B$16:$K$75,'Public Expenditure'!J$1,FALSE),0)+IF(ISNUMBER(VLOOKUP('Public Expenditure'!$B18,'Local Government'!$B$16:$O$75,'Public Expenditure'!J$1,FALSE)),VLOOKUP('Public Expenditure'!$B18,'Local Government'!$B$16:$O$75,'Public Expenditure'!J$1,FALSE),0)</f>
        <v>93565959.320000008</v>
      </c>
      <c r="K18" s="251">
        <f t="shared" si="1"/>
        <v>2.7058607628907718</v>
      </c>
      <c r="L18" s="210">
        <f t="shared" si="5"/>
        <v>-9174986.6300000101</v>
      </c>
      <c r="M18" s="257">
        <f t="shared" si="6"/>
        <v>-9.805902378044479</v>
      </c>
      <c r="O18" s="99"/>
      <c r="P18" s="81"/>
      <c r="Q18" s="81" t="s">
        <v>472</v>
      </c>
      <c r="R18" s="212">
        <f>+F16</f>
        <v>1114274013.912025</v>
      </c>
      <c r="S18" s="212">
        <f>+F36</f>
        <v>1282199444.4269967</v>
      </c>
      <c r="T18" s="212">
        <f>+F64</f>
        <v>-167925430.51497173</v>
      </c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</row>
    <row r="19" spans="2:84" ht="15" customHeight="1">
      <c r="B19" s="80">
        <v>7112</v>
      </c>
      <c r="C19" s="97" t="str">
        <f>IF(MasterSheet!$A$1=1,MasterSheet!C75,MasterSheet!B75)</f>
        <v>Porez na dobit pravnih lica</v>
      </c>
      <c r="D19" s="156">
        <f>+IF(ISNUMBER(VLOOKUP($B19,'Cental Budget'!$B$16:$K$75,'Public Expenditure'!D$1,FALSE)),VLOOKUP($B19,'Cental Budget'!$B$16:$K$75,'Public Expenditure'!D$1,FALSE),0)+IF(ISNUMBER(VLOOKUP('Public Expenditure'!$B19,'Local Government'!$B$16:$O$75,'Public Expenditure'!D$1,FALSE)),VLOOKUP('Public Expenditure'!$B19,'Local Government'!$B$16:$O$75,'Public Expenditure'!D$1,FALSE),0)</f>
        <v>39601686.299999997</v>
      </c>
      <c r="E19" s="251">
        <f t="shared" si="0"/>
        <v>1.0818063840249132</v>
      </c>
      <c r="F19" s="156">
        <f>+IF(ISNUMBER(VLOOKUP($B19,'Cental Budget'!$B$16:$K$75,'Public Expenditure'!F$1,FALSE)),VLOOKUP($B19,'Cental Budget'!$B$16:$K$75,'Public Expenditure'!F$1,FALSE),0)+IF(ISNUMBER(VLOOKUP('Public Expenditure'!$B19,'Local Government'!$B$16:$O$75,'Public Expenditure'!F$1,FALSE)),VLOOKUP('Public Expenditure'!$B19,'Local Government'!$B$16:$O$75,'Public Expenditure'!F$1,FALSE),0)</f>
        <v>42600118.444735721</v>
      </c>
      <c r="G19" s="251">
        <f t="shared" si="2"/>
        <v>1.1637150939638792</v>
      </c>
      <c r="H19" s="210">
        <f t="shared" si="3"/>
        <v>-2998432.1447357237</v>
      </c>
      <c r="I19" s="257">
        <f t="shared" si="4"/>
        <v>-7.0385535397642798</v>
      </c>
      <c r="J19" s="156">
        <f>+IF(ISNUMBER(VLOOKUP($B19,'Cental Budget'!$B$16:$K$75,'Public Expenditure'!J$1,FALSE)),VLOOKUP($B19,'Cental Budget'!$B$16:$K$75,'Public Expenditure'!J$1,FALSE),0)+IF(ISNUMBER(VLOOKUP('Public Expenditure'!$B19,'Local Government'!$B$16:$O$75,'Public Expenditure'!J$1,FALSE)),VLOOKUP('Public Expenditure'!$B19,'Local Government'!$B$16:$O$75,'Public Expenditure'!J$1,FALSE),0)</f>
        <v>41275475.609999999</v>
      </c>
      <c r="K19" s="251">
        <f t="shared" si="1"/>
        <v>1.1936572951791549</v>
      </c>
      <c r="L19" s="210">
        <f t="shared" si="5"/>
        <v>-1673789.3100000024</v>
      </c>
      <c r="M19" s="257">
        <f t="shared" si="6"/>
        <v>-4.0551666219794811</v>
      </c>
      <c r="O19" s="81"/>
      <c r="P19" s="137"/>
      <c r="Q19" s="137">
        <v>2014</v>
      </c>
      <c r="R19" s="213">
        <f>+J16</f>
        <v>1086103151.8800001</v>
      </c>
      <c r="S19" s="214">
        <f>+J36</f>
        <v>1106638889.9900002</v>
      </c>
      <c r="T19" s="214">
        <f>+J64</f>
        <v>-20535738.110000134</v>
      </c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9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C19" s="81"/>
    </row>
    <row r="20" spans="2:84" ht="15" customHeight="1">
      <c r="B20" s="80">
        <v>7113</v>
      </c>
      <c r="C20" s="97" t="str">
        <f>IF(MasterSheet!$A$1=1,MasterSheet!C76,MasterSheet!B76)</f>
        <v>Porez na promet nepokretnosti</v>
      </c>
      <c r="D20" s="156">
        <f>+IF(ISNUMBER(VLOOKUP($B20,'Cental Budget'!$B$16:$K$75,'Public Expenditure'!D$1,FALSE)),VLOOKUP($B20,'Cental Budget'!$B$16:$K$75,'Public Expenditure'!D$1,FALSE),0)+IF(ISNUMBER(VLOOKUP('Public Expenditure'!$B20,'Local Government'!$B$16:$O$75,'Public Expenditure'!D$1,FALSE)),VLOOKUP('Public Expenditure'!$B20,'Local Government'!$B$16:$O$75,'Public Expenditure'!D$1,FALSE),0)</f>
        <v>9737586.0300000012</v>
      </c>
      <c r="E20" s="251">
        <f t="shared" si="0"/>
        <v>0.26600338814980745</v>
      </c>
      <c r="F20" s="156">
        <f>+IF(ISNUMBER(VLOOKUP($B20,'Cental Budget'!$B$16:$K$75,'Public Expenditure'!F$1,FALSE)),VLOOKUP($B20,'Cental Budget'!$B$16:$K$75,'Public Expenditure'!F$1,FALSE),0)+IF(ISNUMBER(VLOOKUP('Public Expenditure'!$B20,'Local Government'!$B$16:$O$75,'Public Expenditure'!F$1,FALSE)),VLOOKUP('Public Expenditure'!$B20,'Local Government'!$B$16:$O$75,'Public Expenditure'!F$1,FALSE),0)</f>
        <v>11930162.527225055</v>
      </c>
      <c r="G20" s="251">
        <f t="shared" si="2"/>
        <v>0.32589839449354097</v>
      </c>
      <c r="H20" s="210">
        <f t="shared" si="3"/>
        <v>-2192576.4972250536</v>
      </c>
      <c r="I20" s="257">
        <f t="shared" si="4"/>
        <v>-18.378429398774045</v>
      </c>
      <c r="J20" s="156">
        <f>+IF(ISNUMBER(VLOOKUP($B20,'Cental Budget'!$B$16:$K$75,'Public Expenditure'!J$1,FALSE)),VLOOKUP($B20,'Cental Budget'!$B$16:$K$75,'Public Expenditure'!J$1,FALSE),0)+IF(ISNUMBER(VLOOKUP('Public Expenditure'!$B20,'Local Government'!$B$16:$O$75,'Public Expenditure'!J$1,FALSE)),VLOOKUP('Public Expenditure'!$B20,'Local Government'!$B$16:$O$75,'Public Expenditure'!J$1,FALSE),0)</f>
        <v>10931610.999999998</v>
      </c>
      <c r="K20" s="251">
        <f t="shared" si="1"/>
        <v>0.316134387923306</v>
      </c>
      <c r="L20" s="210">
        <f t="shared" si="5"/>
        <v>-1194024.9699999969</v>
      </c>
      <c r="M20" s="257">
        <f t="shared" si="6"/>
        <v>-10.922680746689551</v>
      </c>
      <c r="P20" s="137"/>
      <c r="Q20" s="137"/>
      <c r="R20" s="137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9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</row>
    <row r="21" spans="2:84" ht="15" customHeight="1">
      <c r="B21" s="80">
        <v>7114</v>
      </c>
      <c r="C21" s="97" t="str">
        <f>IF(MasterSheet!$A$1=1,MasterSheet!C77,MasterSheet!B77)</f>
        <v>Porez na dodatu vrijednost</v>
      </c>
      <c r="D21" s="156">
        <f>+IF(ISNUMBER(VLOOKUP($B21,'Cental Budget'!$B$16:$K$75,'Public Expenditure'!D$1,FALSE)),VLOOKUP($B21,'Cental Budget'!$B$16:$K$75,'Public Expenditure'!D$1,FALSE),0)+IF(ISNUMBER(VLOOKUP('Public Expenditure'!$B21,'Local Government'!$B$16:$O$75,'Public Expenditure'!D$1,FALSE)),VLOOKUP('Public Expenditure'!$B21,'Local Government'!$B$16:$O$75,'Public Expenditure'!D$1,FALSE),0)</f>
        <v>349290997.13999999</v>
      </c>
      <c r="E21" s="251">
        <f t="shared" si="0"/>
        <v>9.5416449624388768</v>
      </c>
      <c r="F21" s="156">
        <f>+IF(ISNUMBER(VLOOKUP($B21,'Cental Budget'!$B$16:$K$75,'Public Expenditure'!F$1,FALSE)),VLOOKUP($B21,'Cental Budget'!$B$16:$K$75,'Public Expenditure'!F$1,FALSE),0)+IF(ISNUMBER(VLOOKUP('Public Expenditure'!$B21,'Local Government'!$B$16:$O$75,'Public Expenditure'!F$1,FALSE)),VLOOKUP('Public Expenditure'!$B21,'Local Government'!$B$16:$O$75,'Public Expenditure'!F$1,FALSE),0)</f>
        <v>358236984.08605129</v>
      </c>
      <c r="G21" s="251">
        <f t="shared" si="2"/>
        <v>9.7860240961032385</v>
      </c>
      <c r="H21" s="210">
        <f t="shared" si="3"/>
        <v>-8945986.9460512996</v>
      </c>
      <c r="I21" s="257">
        <f t="shared" si="4"/>
        <v>-2.4972259547334659</v>
      </c>
      <c r="J21" s="156">
        <f>+IF(ISNUMBER(VLOOKUP($B21,'Cental Budget'!$B$16:$K$75,'Public Expenditure'!J$1,FALSE)),VLOOKUP($B21,'Cental Budget'!$B$16:$K$75,'Public Expenditure'!J$1,FALSE),0)+IF(ISNUMBER(VLOOKUP('Public Expenditure'!$B21,'Local Government'!$B$16:$O$75,'Public Expenditure'!J$1,FALSE)),VLOOKUP('Public Expenditure'!$B21,'Local Government'!$B$16:$O$75,'Public Expenditure'!J$1,FALSE),0)</f>
        <v>351975206.79000002</v>
      </c>
      <c r="K21" s="251">
        <f t="shared" si="1"/>
        <v>10.178871765811619</v>
      </c>
      <c r="L21" s="210">
        <f t="shared" si="5"/>
        <v>-2684209.6500000358</v>
      </c>
      <c r="M21" s="257">
        <f t="shared" si="6"/>
        <v>-0.76261327452007777</v>
      </c>
      <c r="P21" s="81"/>
      <c r="Q21" s="81"/>
      <c r="R21" s="81"/>
    </row>
    <row r="22" spans="2:84" ht="15" customHeight="1">
      <c r="B22" s="80">
        <v>7115</v>
      </c>
      <c r="C22" s="97" t="str">
        <f>IF(MasterSheet!$A$1=1,MasterSheet!C78,MasterSheet!B78)</f>
        <v>Akcize</v>
      </c>
      <c r="D22" s="156">
        <f>+IF(ISNUMBER(VLOOKUP($B22,'Cental Budget'!$B$16:$K$75,'Public Expenditure'!D$1,FALSE)),VLOOKUP($B22,'Cental Budget'!$B$16:$K$75,'Public Expenditure'!D$1,FALSE),0)+IF(ISNUMBER(VLOOKUP('Public Expenditure'!$B22,'Local Government'!$B$16:$O$75,'Public Expenditure'!D$1,FALSE)),VLOOKUP('Public Expenditure'!$B22,'Local Government'!$B$16:$O$75,'Public Expenditure'!D$1,FALSE),0)</f>
        <v>123893072.74000001</v>
      </c>
      <c r="E22" s="251">
        <f t="shared" si="0"/>
        <v>3.3844093408364522</v>
      </c>
      <c r="F22" s="156">
        <f>+IF(ISNUMBER(VLOOKUP($B22,'Cental Budget'!$B$16:$K$75,'Public Expenditure'!F$1,FALSE)),VLOOKUP($B22,'Cental Budget'!$B$16:$K$75,'Public Expenditure'!F$1,FALSE),0)+IF(ISNUMBER(VLOOKUP('Public Expenditure'!$B22,'Local Government'!$B$16:$O$75,'Public Expenditure'!F$1,FALSE)),VLOOKUP('Public Expenditure'!$B22,'Local Government'!$B$16:$O$75,'Public Expenditure'!F$1,FALSE),0)</f>
        <v>125587232.0919148</v>
      </c>
      <c r="G22" s="251">
        <f t="shared" si="2"/>
        <v>3.4306889964191218</v>
      </c>
      <c r="H22" s="210">
        <f t="shared" si="3"/>
        <v>-1694159.3519147933</v>
      </c>
      <c r="I22" s="257">
        <f t="shared" si="4"/>
        <v>-1.348990119214406</v>
      </c>
      <c r="J22" s="156">
        <f>+IF(ISNUMBER(VLOOKUP($B22,'Cental Budget'!$B$16:$K$75,'Public Expenditure'!J$1,FALSE)),VLOOKUP($B22,'Cental Budget'!$B$16:$K$75,'Public Expenditure'!J$1,FALSE),0)+IF(ISNUMBER(VLOOKUP('Public Expenditure'!$B22,'Local Government'!$B$16:$O$75,'Public Expenditure'!J$1,FALSE)),VLOOKUP('Public Expenditure'!$B22,'Local Government'!$B$16:$O$75,'Public Expenditure'!J$1,FALSE),0)</f>
        <v>117793527.76000001</v>
      </c>
      <c r="K22" s="251">
        <f t="shared" si="1"/>
        <v>3.4065047502819636</v>
      </c>
      <c r="L22" s="210">
        <f t="shared" si="5"/>
        <v>6099544.9800000042</v>
      </c>
      <c r="M22" s="257">
        <f t="shared" si="6"/>
        <v>5.178166488423372</v>
      </c>
      <c r="P22" s="81"/>
      <c r="Q22" s="81"/>
      <c r="R22" s="81"/>
    </row>
    <row r="23" spans="2:84" ht="15" customHeight="1">
      <c r="B23" s="80">
        <v>7116</v>
      </c>
      <c r="C23" s="97" t="str">
        <f>IF(MasterSheet!$A$1=1,MasterSheet!C79,MasterSheet!B79)</f>
        <v>Porez na međunarodnu trgovinu i transakcije</v>
      </c>
      <c r="D23" s="156">
        <f>+IF(ISNUMBER(VLOOKUP($B23,'Cental Budget'!$B$16:$K$75,'Public Expenditure'!D$1,FALSE)),VLOOKUP($B23,'Cental Budget'!$B$16:$K$75,'Public Expenditure'!D$1,FALSE),0)+IF(ISNUMBER(VLOOKUP('Public Expenditure'!$B23,'Local Government'!$B$16:$O$75,'Public Expenditure'!D$1,FALSE)),VLOOKUP('Public Expenditure'!$B23,'Local Government'!$B$16:$O$75,'Public Expenditure'!D$1,FALSE),0)</f>
        <v>16991768.359999999</v>
      </c>
      <c r="E23" s="251">
        <f t="shared" si="0"/>
        <v>0.46416719097440379</v>
      </c>
      <c r="F23" s="156">
        <f>+IF(ISNUMBER(VLOOKUP($B23,'Cental Budget'!$B$16:$K$75,'Public Expenditure'!F$1,FALSE)),VLOOKUP($B23,'Cental Budget'!$B$16:$K$75,'Public Expenditure'!F$1,FALSE),0)+IF(ISNUMBER(VLOOKUP('Public Expenditure'!$B23,'Local Government'!$B$16:$O$75,'Public Expenditure'!F$1,FALSE)),VLOOKUP('Public Expenditure'!$B23,'Local Government'!$B$16:$O$75,'Public Expenditure'!F$1,FALSE),0)</f>
        <v>17352205.703869566</v>
      </c>
      <c r="G23" s="251">
        <f t="shared" si="2"/>
        <v>0.47401332269428159</v>
      </c>
      <c r="H23" s="210">
        <f t="shared" si="3"/>
        <v>-360437.34386956692</v>
      </c>
      <c r="I23" s="257">
        <f t="shared" si="4"/>
        <v>-2.077184595553689</v>
      </c>
      <c r="J23" s="156">
        <f>+IF(ISNUMBER(VLOOKUP($B23,'Cental Budget'!$B$16:$K$75,'Public Expenditure'!J$1,FALSE)),VLOOKUP($B23,'Cental Budget'!$B$16:$K$75,'Public Expenditure'!J$1,FALSE),0)+IF(ISNUMBER(VLOOKUP('Public Expenditure'!$B23,'Local Government'!$B$16:$O$75,'Public Expenditure'!J$1,FALSE)),VLOOKUP('Public Expenditure'!$B23,'Local Government'!$B$16:$O$75,'Public Expenditure'!J$1,FALSE),0)</f>
        <v>16878989.120000001</v>
      </c>
      <c r="K23" s="251">
        <f t="shared" si="1"/>
        <v>0.48812831834350329</v>
      </c>
      <c r="L23" s="210">
        <f t="shared" si="5"/>
        <v>112779.23999999836</v>
      </c>
      <c r="M23" s="257">
        <f t="shared" si="6"/>
        <v>0.66816347352440175</v>
      </c>
      <c r="O23" s="81"/>
      <c r="P23" s="81"/>
      <c r="Q23" s="81"/>
      <c r="R23" s="81"/>
      <c r="CD23" s="140"/>
      <c r="CE23" s="140"/>
      <c r="CF23" s="81"/>
    </row>
    <row r="24" spans="2:84" ht="15" customHeight="1">
      <c r="B24" s="80">
        <v>7117</v>
      </c>
      <c r="C24" s="97" t="s">
        <v>11</v>
      </c>
      <c r="D24" s="156">
        <f>+IF(ISNUMBER(VLOOKUP($B24,'Cental Budget'!$B$16:$K$75,'Public Expenditure'!D$1,FALSE)),VLOOKUP($B24,'Cental Budget'!$B$16:$K$75,'Public Expenditure'!D$1,FALSE),0)+IF(ISNUMBER(VLOOKUP('Public Expenditure'!$B24,'Local Government'!$B$16:$O$75,'Public Expenditure'!D$1,FALSE)),VLOOKUP('Public Expenditure'!$B24,'Local Government'!$B$16:$O$75,'Public Expenditure'!D$1,FALSE),0)</f>
        <v>52822701.690000005</v>
      </c>
      <c r="E24" s="251">
        <f t="shared" si="0"/>
        <v>1.4429672382331249</v>
      </c>
      <c r="F24" s="156">
        <f>+IF(ISNUMBER(VLOOKUP($B24,'Cental Budget'!$B$16:$K$75,'Public Expenditure'!F$1,FALSE)),VLOOKUP($B24,'Cental Budget'!$B$16:$K$75,'Public Expenditure'!F$1,FALSE),0)+IF(ISNUMBER(VLOOKUP('Public Expenditure'!$B24,'Local Government'!$B$16:$O$75,'Public Expenditure'!F$1,FALSE)),VLOOKUP('Public Expenditure'!$B24,'Local Government'!$B$16:$O$75,'Public Expenditure'!F$1,FALSE),0)</f>
        <v>49964114.600913003</v>
      </c>
      <c r="G24" s="251">
        <f t="shared" si="2"/>
        <v>1.3648787008198706</v>
      </c>
      <c r="H24" s="210">
        <f t="shared" si="3"/>
        <v>2858587.089087002</v>
      </c>
      <c r="I24" s="257">
        <f t="shared" si="4"/>
        <v>5.7212803867733584</v>
      </c>
      <c r="J24" s="156">
        <f>+IF(ISNUMBER(VLOOKUP($B24,'Cental Budget'!$B$16:$K$75,'Public Expenditure'!J$1,FALSE)),VLOOKUP($B24,'Cental Budget'!$B$16:$K$75,'Public Expenditure'!J$1,FALSE),0)+IF(ISNUMBER(VLOOKUP('Public Expenditure'!$B24,'Local Government'!$B$16:$O$75,'Public Expenditure'!J$1,FALSE)),VLOOKUP('Public Expenditure'!$B24,'Local Government'!$B$16:$O$75,'Public Expenditure'!J$1,FALSE),0)</f>
        <v>47433395.110000007</v>
      </c>
      <c r="K24" s="251">
        <f t="shared" si="1"/>
        <v>1.3717399320396775</v>
      </c>
      <c r="L24" s="210">
        <f t="shared" si="5"/>
        <v>5389306.5799999982</v>
      </c>
      <c r="M24" s="257">
        <f t="shared" si="6"/>
        <v>11.361840255166157</v>
      </c>
      <c r="O24" s="81"/>
      <c r="P24" s="81"/>
      <c r="Q24" s="81"/>
      <c r="R24" s="81"/>
      <c r="CD24" s="140"/>
      <c r="CE24" s="140"/>
      <c r="CF24" s="81"/>
    </row>
    <row r="25" spans="2:84" ht="15" customHeight="1">
      <c r="B25" s="80">
        <v>7118</v>
      </c>
      <c r="C25" s="97" t="str">
        <f>IF(MasterSheet!$A$1=1,MasterSheet!C80,MasterSheet!B80)</f>
        <v>Ostali republički prihodi</v>
      </c>
      <c r="D25" s="156">
        <f>+IF(ISNUMBER(VLOOKUP($B25,'Cental Budget'!$B$16:$K$75,'Public Expenditure'!D$1,FALSE)),VLOOKUP($B25,'Cental Budget'!$B$16:$K$75,'Public Expenditure'!D$1,FALSE),0)+IF(ISNUMBER(VLOOKUP('Public Expenditure'!$B25,'Local Government'!$B$16:$O$75,'Public Expenditure'!D$1,FALSE)),VLOOKUP('Public Expenditure'!$B25,'Local Government'!$B$16:$O$75,'Public Expenditure'!D$1,FALSE),0)</f>
        <v>5006206.6999999993</v>
      </c>
      <c r="E25" s="251">
        <f t="shared" si="0"/>
        <v>0.13675544841150597</v>
      </c>
      <c r="F25" s="156">
        <f>+IF(ISNUMBER(VLOOKUP($B25,'Cental Budget'!$B$16:$K$75,'Public Expenditure'!F$1,FALSE)),VLOOKUP($B25,'Cental Budget'!$B$16:$K$75,'Public Expenditure'!F$1,FALSE),0)+IF(ISNUMBER(VLOOKUP('Public Expenditure'!$B25,'Local Government'!$B$16:$O$75,'Public Expenditure'!F$1,FALSE)),VLOOKUP('Public Expenditure'!$B25,'Local Government'!$B$16:$O$75,'Public Expenditure'!F$1,FALSE),0)</f>
        <v>4275446.9850768447</v>
      </c>
      <c r="G25" s="251">
        <f t="shared" si="2"/>
        <v>0.11679315390709002</v>
      </c>
      <c r="H25" s="210">
        <f t="shared" si="3"/>
        <v>730759.71492315456</v>
      </c>
      <c r="I25" s="257">
        <f t="shared" si="4"/>
        <v>17.092007396508976</v>
      </c>
      <c r="J25" s="156">
        <f>+IF(ISNUMBER(VLOOKUP($B25,'Cental Budget'!$B$16:$K$75,'Public Expenditure'!J$1,FALSE)),VLOOKUP($B25,'Cental Budget'!$B$16:$K$75,'Public Expenditure'!J$1,FALSE),0)+IF(ISNUMBER(VLOOKUP('Public Expenditure'!$B25,'Local Government'!$B$16:$O$75,'Public Expenditure'!J$1,FALSE)),VLOOKUP('Public Expenditure'!$B25,'Local Government'!$B$16:$O$75,'Public Expenditure'!J$1,FALSE),0)</f>
        <v>4420860.8600000003</v>
      </c>
      <c r="K25" s="251">
        <f t="shared" si="1"/>
        <v>0.1278481407790856</v>
      </c>
      <c r="L25" s="210">
        <f t="shared" si="5"/>
        <v>585345.83999999892</v>
      </c>
      <c r="M25" s="257">
        <f t="shared" si="6"/>
        <v>13.240539762203667</v>
      </c>
      <c r="O25" s="81"/>
      <c r="P25" s="81"/>
      <c r="Q25" s="81"/>
      <c r="R25" s="81"/>
      <c r="CD25" s="140"/>
      <c r="CE25" s="140"/>
      <c r="CF25" s="81"/>
    </row>
    <row r="26" spans="2:84" ht="15" customHeight="1">
      <c r="B26" s="80">
        <v>712</v>
      </c>
      <c r="C26" s="93" t="str">
        <f>IF(MasterSheet!$A$1=1,MasterSheet!C81,MasterSheet!B81)</f>
        <v>Doprinosi</v>
      </c>
      <c r="D26" s="154">
        <f>SUM(D27:D30)</f>
        <v>305506518.59000003</v>
      </c>
      <c r="E26" s="252">
        <f t="shared" si="0"/>
        <v>8.3455764905619159</v>
      </c>
      <c r="F26" s="154">
        <f>SUM(F27:F30)</f>
        <v>277645712.97294897</v>
      </c>
      <c r="G26" s="252">
        <f t="shared" si="2"/>
        <v>7.5844978548624296</v>
      </c>
      <c r="H26" s="209">
        <f t="shared" si="3"/>
        <v>27860805.617051065</v>
      </c>
      <c r="I26" s="258">
        <f t="shared" si="4"/>
        <v>10.034660834026838</v>
      </c>
      <c r="J26" s="154">
        <f>SUM(J27:J30)</f>
        <v>284773148.30000007</v>
      </c>
      <c r="K26" s="252">
        <f t="shared" si="1"/>
        <v>8.2354361982706301</v>
      </c>
      <c r="L26" s="209">
        <f t="shared" si="5"/>
        <v>20733370.289999962</v>
      </c>
      <c r="M26" s="258">
        <f t="shared" si="6"/>
        <v>7.2806619633105214</v>
      </c>
      <c r="O26" s="81"/>
      <c r="P26" s="81"/>
      <c r="Q26" s="81"/>
      <c r="R26" s="81"/>
      <c r="CD26" s="140"/>
      <c r="CE26" s="140"/>
      <c r="CF26" s="81"/>
    </row>
    <row r="27" spans="2:84" ht="15" hidden="1" customHeight="1">
      <c r="B27" s="80">
        <v>7121</v>
      </c>
      <c r="C27" s="97" t="str">
        <f>IF(MasterSheet!$A$1=1,MasterSheet!C82,MasterSheet!B82)</f>
        <v>Doprinosi za penzijsko i invalidsko osiguranje</v>
      </c>
      <c r="D27" s="156">
        <f>+IF(ISNUMBER(VLOOKUP($B27,'Cental Budget'!$B$16:$K$75,'Public Expenditure'!D$1,FALSE)),VLOOKUP($B27,'Cental Budget'!$B$16:$K$75,'Public Expenditure'!D$1,FALSE),0)+IF(ISNUMBER(VLOOKUP('Public Expenditure'!$B27,'Local Government'!$B$16:$O$75,'Public Expenditure'!D$1,FALSE)),VLOOKUP('Public Expenditure'!$B27,'Local Government'!$B$16:$O$75,'Public Expenditure'!D$1,FALSE),0)</f>
        <v>184155249.08000004</v>
      </c>
      <c r="E27" s="251">
        <f t="shared" si="0"/>
        <v>5.0306020455104221</v>
      </c>
      <c r="F27" s="156">
        <f>+IF(ISNUMBER(VLOOKUP($B27,'Cental Budget'!$B$16:$K$75,'Public Expenditure'!F$1,FALSE)),VLOOKUP($B27,'Cental Budget'!$B$16:$K$75,'Public Expenditure'!F$1,FALSE),0)+IF(ISNUMBER(VLOOKUP('Public Expenditure'!$B27,'Local Government'!$B$16:$O$75,'Public Expenditure'!F$1,FALSE)),VLOOKUP('Public Expenditure'!$B27,'Local Government'!$B$16:$O$75,'Public Expenditure'!F$1,FALSE),0)</f>
        <v>164796139.64279217</v>
      </c>
      <c r="G27" s="251">
        <f t="shared" si="2"/>
        <v>4.5017657727427034</v>
      </c>
      <c r="H27" s="210">
        <f t="shared" si="3"/>
        <v>19359109.437207878</v>
      </c>
      <c r="I27" s="257">
        <f t="shared" si="4"/>
        <v>11.747307600269139</v>
      </c>
      <c r="J27" s="156">
        <f>+IF(ISNUMBER(VLOOKUP($B27,'Cental Budget'!$B$16:$K$75,'Public Expenditure'!J$1,FALSE)),VLOOKUP($B27,'Cental Budget'!$B$16:$K$75,'Public Expenditure'!J$1,FALSE),0)+IF(ISNUMBER(VLOOKUP('Public Expenditure'!$B27,'Local Government'!$B$16:$O$75,'Public Expenditure'!J$1,FALSE)),VLOOKUP('Public Expenditure'!$B27,'Local Government'!$B$16:$O$75,'Public Expenditure'!J$1,FALSE),0)</f>
        <v>173649012.32000002</v>
      </c>
      <c r="K27" s="251">
        <f t="shared" si="1"/>
        <v>5.0218054981347064</v>
      </c>
      <c r="L27" s="210">
        <f t="shared" si="5"/>
        <v>10506236.76000002</v>
      </c>
      <c r="M27" s="257">
        <f t="shared" si="6"/>
        <v>6.0502715331539889</v>
      </c>
      <c r="O27" s="81"/>
      <c r="P27" s="81"/>
      <c r="Q27" s="81"/>
      <c r="R27" s="81"/>
      <c r="CD27" s="140"/>
      <c r="CE27" s="140"/>
      <c r="CF27" s="81"/>
    </row>
    <row r="28" spans="2:84" ht="15" hidden="1" customHeight="1">
      <c r="B28" s="80">
        <v>7122</v>
      </c>
      <c r="C28" s="97" t="str">
        <f>IF(MasterSheet!$A$1=1,MasterSheet!C83,MasterSheet!B83)</f>
        <v>Doprinosi za zdravstveno osiguranje</v>
      </c>
      <c r="D28" s="156">
        <f>+IF(ISNUMBER(VLOOKUP($B28,'Cental Budget'!$B$16:$K$75,'Public Expenditure'!D$1,FALSE)),VLOOKUP($B28,'Cental Budget'!$B$16:$K$75,'Public Expenditure'!D$1,FALSE),0)+IF(ISNUMBER(VLOOKUP('Public Expenditure'!$B28,'Local Government'!$B$16:$O$75,'Public Expenditure'!D$1,FALSE)),VLOOKUP('Public Expenditure'!$B28,'Local Government'!$B$16:$O$75,'Public Expenditure'!D$1,FALSE),0)</f>
        <v>105016435.16999994</v>
      </c>
      <c r="E28" s="251">
        <f t="shared" si="0"/>
        <v>2.8687528388013206</v>
      </c>
      <c r="F28" s="156">
        <f>+IF(ISNUMBER(VLOOKUP($B28,'Cental Budget'!$B$16:$K$75,'Public Expenditure'!F$1,FALSE)),VLOOKUP($B28,'Cental Budget'!$B$16:$K$75,'Public Expenditure'!F$1,FALSE),0)+IF(ISNUMBER(VLOOKUP('Public Expenditure'!$B28,'Local Government'!$B$16:$O$75,'Public Expenditure'!F$1,FALSE)),VLOOKUP('Public Expenditure'!$B28,'Local Government'!$B$16:$O$75,'Public Expenditure'!F$1,FALSE),0)</f>
        <v>96122415.835395679</v>
      </c>
      <c r="G28" s="251">
        <f t="shared" si="2"/>
        <v>2.6257933137213012</v>
      </c>
      <c r="H28" s="210">
        <f t="shared" si="3"/>
        <v>8894019.3346042633</v>
      </c>
      <c r="I28" s="257">
        <f t="shared" si="4"/>
        <v>9.2528046213848683</v>
      </c>
      <c r="J28" s="156">
        <f>+IF(ISNUMBER(VLOOKUP($B28,'Cental Budget'!$B$16:$K$75,'Public Expenditure'!J$1,FALSE)),VLOOKUP($B28,'Cental Budget'!$B$16:$K$75,'Public Expenditure'!J$1,FALSE),0)+IF(ISNUMBER(VLOOKUP('Public Expenditure'!$B28,'Local Government'!$B$16:$O$75,'Public Expenditure'!J$1,FALSE)),VLOOKUP('Public Expenditure'!$B28,'Local Government'!$B$16:$O$75,'Public Expenditure'!J$1,FALSE),0)</f>
        <v>96553528.709999993</v>
      </c>
      <c r="K28" s="251">
        <f t="shared" si="1"/>
        <v>2.7922591373376902</v>
      </c>
      <c r="L28" s="210">
        <f t="shared" si="5"/>
        <v>8462906.4599999487</v>
      </c>
      <c r="M28" s="257">
        <f t="shared" si="6"/>
        <v>8.764989299788752</v>
      </c>
      <c r="O28" s="81"/>
      <c r="P28" s="81"/>
      <c r="Q28" s="81"/>
      <c r="R28" s="81"/>
      <c r="CD28" s="140"/>
      <c r="CE28" s="140"/>
      <c r="CF28" s="81"/>
    </row>
    <row r="29" spans="2:84" ht="15" hidden="1" customHeight="1">
      <c r="B29" s="80">
        <v>7123</v>
      </c>
      <c r="C29" s="97" t="str">
        <f>IF(MasterSheet!$A$1=1,MasterSheet!C84,MasterSheet!B84)</f>
        <v>Doprinosi za osiguranje od nezaposlenosti</v>
      </c>
      <c r="D29" s="156">
        <f>+IF(ISNUMBER(VLOOKUP($B29,'Cental Budget'!$B$16:$K$75,'Public Expenditure'!D$1,FALSE)),VLOOKUP($B29,'Cental Budget'!$B$16:$K$75,'Public Expenditure'!D$1,FALSE),0)+IF(ISNUMBER(VLOOKUP('Public Expenditure'!$B29,'Local Government'!$B$16:$O$75,'Public Expenditure'!D$1,FALSE)),VLOOKUP('Public Expenditure'!$B29,'Local Government'!$B$16:$O$75,'Public Expenditure'!D$1,FALSE),0)</f>
        <v>8483679.1799999997</v>
      </c>
      <c r="E29" s="251">
        <f t="shared" si="0"/>
        <v>0.23175018930805583</v>
      </c>
      <c r="F29" s="156">
        <f>+IF(ISNUMBER(VLOOKUP($B29,'Cental Budget'!$B$16:$K$75,'Public Expenditure'!F$1,FALSE)),VLOOKUP($B29,'Cental Budget'!$B$16:$K$75,'Public Expenditure'!F$1,FALSE),0)+IF(ISNUMBER(VLOOKUP('Public Expenditure'!$B29,'Local Government'!$B$16:$O$75,'Public Expenditure'!F$1,FALSE)),VLOOKUP('Public Expenditure'!$B29,'Local Government'!$B$16:$O$75,'Public Expenditure'!F$1,FALSE),0)</f>
        <v>8361258.4787641969</v>
      </c>
      <c r="G29" s="251">
        <f t="shared" si="2"/>
        <v>0.22840600100429417</v>
      </c>
      <c r="H29" s="210">
        <f t="shared" si="3"/>
        <v>122420.70123580284</v>
      </c>
      <c r="I29" s="257">
        <f t="shared" si="4"/>
        <v>1.4641420492707482</v>
      </c>
      <c r="J29" s="156">
        <f>+IF(ISNUMBER(VLOOKUP($B29,'Cental Budget'!$B$16:$K$75,'Public Expenditure'!J$1,FALSE)),VLOOKUP($B29,'Cental Budget'!$B$16:$K$75,'Public Expenditure'!J$1,FALSE),0)+IF(ISNUMBER(VLOOKUP('Public Expenditure'!$B29,'Local Government'!$B$16:$O$75,'Public Expenditure'!J$1,FALSE)),VLOOKUP('Public Expenditure'!$B29,'Local Government'!$B$16:$O$75,'Public Expenditure'!J$1,FALSE),0)</f>
        <v>7768242.3599999994</v>
      </c>
      <c r="K29" s="251">
        <f t="shared" si="1"/>
        <v>0.2246520246392319</v>
      </c>
      <c r="L29" s="210">
        <f t="shared" si="5"/>
        <v>715436.8200000003</v>
      </c>
      <c r="M29" s="257">
        <f t="shared" si="6"/>
        <v>9.2097644080198364</v>
      </c>
      <c r="O29" s="81"/>
      <c r="P29" s="81"/>
      <c r="Q29" s="81"/>
      <c r="R29" s="81"/>
      <c r="CD29" s="140"/>
      <c r="CE29" s="140"/>
      <c r="CF29" s="81"/>
    </row>
    <row r="30" spans="2:84" ht="15" hidden="1" customHeight="1">
      <c r="B30" s="80">
        <v>7124</v>
      </c>
      <c r="C30" s="97" t="str">
        <f>IF(MasterSheet!$A$1=1,MasterSheet!C85,MasterSheet!B85)</f>
        <v>Ostali doprinosi</v>
      </c>
      <c r="D30" s="156">
        <f>+IF(ISNUMBER(VLOOKUP($B30,'Cental Budget'!$B$16:$K$75,'Public Expenditure'!D$1,FALSE)),VLOOKUP($B30,'Cental Budget'!$B$16:$K$75,'Public Expenditure'!D$1,FALSE),0)+IF(ISNUMBER(VLOOKUP('Public Expenditure'!$B30,'Local Government'!$B$16:$O$75,'Public Expenditure'!D$1,FALSE)),VLOOKUP('Public Expenditure'!$B30,'Local Government'!$B$16:$O$75,'Public Expenditure'!D$1,FALSE),0)</f>
        <v>7851155.1600000001</v>
      </c>
      <c r="E30" s="251">
        <f t="shared" si="0"/>
        <v>0.21447141694211488</v>
      </c>
      <c r="F30" s="156">
        <f>+IF(ISNUMBER(VLOOKUP($B30,'Cental Budget'!$B$16:$K$75,'Public Expenditure'!F$1,FALSE)),VLOOKUP($B30,'Cental Budget'!$B$16:$K$75,'Public Expenditure'!F$1,FALSE),0)+IF(ISNUMBER(VLOOKUP('Public Expenditure'!$B30,'Local Government'!$B$16:$O$75,'Public Expenditure'!F$1,FALSE)),VLOOKUP('Public Expenditure'!$B30,'Local Government'!$B$16:$O$75,'Public Expenditure'!F$1,FALSE),0)</f>
        <v>8365899.0159969619</v>
      </c>
      <c r="G30" s="251">
        <f t="shared" si="2"/>
        <v>0.22853276739413123</v>
      </c>
      <c r="H30" s="210">
        <f t="shared" si="3"/>
        <v>-514743.85599696171</v>
      </c>
      <c r="I30" s="257">
        <f t="shared" si="4"/>
        <v>-6.1528815374496872</v>
      </c>
      <c r="J30" s="156">
        <f>+IF(ISNUMBER(VLOOKUP($B30,'Cental Budget'!$B$16:$K$75,'Public Expenditure'!J$1,FALSE)),VLOOKUP($B30,'Cental Budget'!$B$16:$K$75,'Public Expenditure'!J$1,FALSE),0)+IF(ISNUMBER(VLOOKUP('Public Expenditure'!$B30,'Local Government'!$B$16:$O$75,'Public Expenditure'!J$1,FALSE)),VLOOKUP('Public Expenditure'!$B30,'Local Government'!$B$16:$O$75,'Public Expenditure'!J$1,FALSE),0)</f>
        <v>6802364.9100000001</v>
      </c>
      <c r="K30" s="251">
        <f t="shared" si="1"/>
        <v>0.19671953815899823</v>
      </c>
      <c r="L30" s="210">
        <f t="shared" si="5"/>
        <v>1048790.25</v>
      </c>
      <c r="M30" s="257">
        <f t="shared" si="6"/>
        <v>15.418023935443358</v>
      </c>
      <c r="O30" s="81"/>
      <c r="P30" s="81"/>
      <c r="Q30" s="81"/>
      <c r="R30" s="81"/>
      <c r="CD30" s="81"/>
      <c r="CE30" s="81"/>
      <c r="CF30" s="81"/>
    </row>
    <row r="31" spans="2:84" ht="15" customHeight="1">
      <c r="B31" s="80">
        <v>713</v>
      </c>
      <c r="C31" s="93" t="str">
        <f>IF(MasterSheet!$A$1=1,MasterSheet!C86,MasterSheet!B86)</f>
        <v>Takse</v>
      </c>
      <c r="D31" s="154">
        <f>+IF(ISNUMBER(VLOOKUP($B31,'Cental Budget'!$B$16:$K$75,'Public Expenditure'!D$1,FALSE)),VLOOKUP($B31,'Cental Budget'!$B$16:$K$75,'Public Expenditure'!D$1,FALSE),0)+IF(ISNUMBER(VLOOKUP('Public Expenditure'!$B31,'Local Government'!$B$16:$O$75,'Public Expenditure'!D$1,FALSE)),VLOOKUP('Public Expenditure'!$B31,'Local Government'!$B$16:$O$75,'Public Expenditure'!D$1,FALSE),0)</f>
        <v>13977119.869999999</v>
      </c>
      <c r="E31" s="252">
        <f t="shared" si="0"/>
        <v>0.38181549621657057</v>
      </c>
      <c r="F31" s="154">
        <f>+IF(ISNUMBER(VLOOKUP($B31,'Cental Budget'!$B$16:$K$75,'Public Expenditure'!F$1,FALSE)),VLOOKUP($B31,'Cental Budget'!$B$16:$K$75,'Public Expenditure'!F$1,FALSE),0)+IF(ISNUMBER(VLOOKUP('Public Expenditure'!$B31,'Local Government'!$B$16:$O$75,'Public Expenditure'!F$1,FALSE)),VLOOKUP('Public Expenditure'!$B31,'Local Government'!$B$16:$O$75,'Public Expenditure'!F$1,FALSE),0)</f>
        <v>17965115.131442066</v>
      </c>
      <c r="G31" s="252">
        <f t="shared" si="2"/>
        <v>0.49075627971267965</v>
      </c>
      <c r="H31" s="209">
        <f t="shared" si="3"/>
        <v>-3987995.2614420671</v>
      </c>
      <c r="I31" s="258">
        <f t="shared" si="4"/>
        <v>-22.198551093404262</v>
      </c>
      <c r="J31" s="154">
        <f>+IF(ISNUMBER(VLOOKUP($B31,'Cental Budget'!$B$16:$K$75,'Public Expenditure'!J$1,FALSE)),VLOOKUP($B31,'Cental Budget'!$B$16:$K$75,'Public Expenditure'!J$1,FALSE),0)+IF(ISNUMBER(VLOOKUP('Public Expenditure'!$B31,'Local Government'!$B$16:$O$75,'Public Expenditure'!J$1,FALSE)),VLOOKUP('Public Expenditure'!$B31,'Local Government'!$B$16:$O$75,'Public Expenditure'!J$1,FALSE),0)</f>
        <v>16308848.050000001</v>
      </c>
      <c r="K31" s="252">
        <f t="shared" si="1"/>
        <v>0.47164024552474049</v>
      </c>
      <c r="L31" s="209">
        <f t="shared" si="5"/>
        <v>-2331728.1800000016</v>
      </c>
      <c r="M31" s="258">
        <f t="shared" si="6"/>
        <v>-14.297319914020548</v>
      </c>
      <c r="O31" s="81"/>
      <c r="P31" s="81"/>
      <c r="Q31" s="81"/>
      <c r="R31" s="81"/>
      <c r="CD31" s="81"/>
      <c r="CE31" s="81"/>
      <c r="CF31" s="81"/>
    </row>
    <row r="32" spans="2:84" ht="15" customHeight="1">
      <c r="B32" s="80">
        <v>714</v>
      </c>
      <c r="C32" s="93" t="str">
        <f>IF(MasterSheet!$A$1=1,MasterSheet!C91,MasterSheet!B91)</f>
        <v>Naknade</v>
      </c>
      <c r="D32" s="154">
        <f>+IF(ISNUMBER(VLOOKUP($B32,'Cental Budget'!$B$16:$K$75,'Public Expenditure'!D$1,FALSE)),VLOOKUP($B32,'Cental Budget'!$B$16:$K$75,'Public Expenditure'!D$1,FALSE),0)+IF(ISNUMBER(VLOOKUP('Public Expenditure'!$B32,'Local Government'!$B$16:$O$75,'Public Expenditure'!D$1,FALSE)),VLOOKUP('Public Expenditure'!$B32,'Local Government'!$B$16:$O$75,'Public Expenditure'!D$1,FALSE),0)</f>
        <v>56028507.980000004</v>
      </c>
      <c r="E32" s="252">
        <f t="shared" si="0"/>
        <v>1.5305408249788295</v>
      </c>
      <c r="F32" s="154">
        <f>+IF(ISNUMBER(VLOOKUP($B32,'Cental Budget'!$B$16:$K$75,'Public Expenditure'!F$1,FALSE)),VLOOKUP($B32,'Cental Budget'!$B$16:$K$75,'Public Expenditure'!F$1,FALSE),0)+IF(ISNUMBER(VLOOKUP('Public Expenditure'!$B32,'Local Government'!$B$16:$O$75,'Public Expenditure'!F$1,FALSE)),VLOOKUP('Public Expenditure'!$B32,'Local Government'!$B$16:$O$75,'Public Expenditure'!F$1,FALSE),0)</f>
        <v>50857883.342415154</v>
      </c>
      <c r="G32" s="252">
        <f t="shared" si="2"/>
        <v>1.3892939422081885</v>
      </c>
      <c r="H32" s="209">
        <f t="shared" si="3"/>
        <v>5170624.6375848502</v>
      </c>
      <c r="I32" s="258">
        <f t="shared" si="4"/>
        <v>10.166810527233608</v>
      </c>
      <c r="J32" s="154">
        <f>+IF(ISNUMBER(VLOOKUP($B32,'Cental Budget'!$B$16:$K$75,'Public Expenditure'!J$1,FALSE)),VLOOKUP($B32,'Cental Budget'!$B$16:$K$75,'Public Expenditure'!J$1,FALSE),0)+IF(ISNUMBER(VLOOKUP('Public Expenditure'!$B32,'Local Government'!$B$16:$O$75,'Public Expenditure'!J$1,FALSE)),VLOOKUP('Public Expenditure'!$B32,'Local Government'!$B$16:$O$75,'Public Expenditure'!J$1,FALSE),0)</f>
        <v>47498259.560000002</v>
      </c>
      <c r="K32" s="252">
        <f t="shared" si="1"/>
        <v>1.3736157656381041</v>
      </c>
      <c r="L32" s="209">
        <f t="shared" si="5"/>
        <v>8530248.4200000018</v>
      </c>
      <c r="M32" s="258">
        <f t="shared" si="6"/>
        <v>17.959075761975157</v>
      </c>
      <c r="O32" s="81"/>
      <c r="P32" s="81"/>
      <c r="Q32" s="81"/>
      <c r="R32" s="81"/>
      <c r="CD32" s="140"/>
      <c r="CE32" s="140"/>
      <c r="CF32" s="140"/>
    </row>
    <row r="33" spans="1:87" ht="15" customHeight="1">
      <c r="B33" s="80">
        <v>715</v>
      </c>
      <c r="C33" s="93" t="str">
        <f>IF(MasterSheet!$A$1=1,MasterSheet!C98,MasterSheet!B98)</f>
        <v>Ostali prihodi</v>
      </c>
      <c r="D33" s="154">
        <f>+IF(ISNUMBER(VLOOKUP($B33,'Cental Budget'!$B$16:$K$75,'Public Expenditure'!D$1,FALSE)),VLOOKUP($B33,'Cental Budget'!$B$16:$K$75,'Public Expenditure'!D$1,FALSE),0)+IF(ISNUMBER(VLOOKUP('Public Expenditure'!$B33,'Local Government'!$B$16:$O$75,'Public Expenditure'!D$1,FALSE)),VLOOKUP('Public Expenditure'!$B33,'Local Government'!$B$16:$O$75,'Public Expenditure'!D$1,FALSE),0)-1295205.06</f>
        <v>27519017.499999996</v>
      </c>
      <c r="E33" s="252">
        <f t="shared" si="0"/>
        <v>0.75174194826126139</v>
      </c>
      <c r="F33" s="154">
        <f>+IF(ISNUMBER(VLOOKUP($B33,'Cental Budget'!$B$16:$K$75,'Public Expenditure'!F$1,FALSE)),VLOOKUP($B33,'Cental Budget'!$B$16:$K$75,'Public Expenditure'!F$1,FALSE),0)+IF(ISNUMBER(VLOOKUP('Public Expenditure'!$B33,'Local Government'!$B$16:$O$75,'Public Expenditure'!F$1,FALSE)),VLOOKUP('Public Expenditure'!$B33,'Local Government'!$B$16:$O$75,'Public Expenditure'!F$1,FALSE),0)</f>
        <v>36075676.117450342</v>
      </c>
      <c r="G33" s="252">
        <f t="shared" si="2"/>
        <v>0.98548572998198003</v>
      </c>
      <c r="H33" s="209">
        <f t="shared" si="3"/>
        <v>-8556658.6174503453</v>
      </c>
      <c r="I33" s="258">
        <f t="shared" si="4"/>
        <v>-23.718636872092773</v>
      </c>
      <c r="J33" s="154">
        <f>+IF(ISNUMBER(VLOOKUP($B33,'Cental Budget'!$B$16:$K$75,'Public Expenditure'!J$1,FALSE)),VLOOKUP($B33,'Cental Budget'!$B$16:$K$75,'Public Expenditure'!J$1,FALSE),0)+IF(ISNUMBER(VLOOKUP('Public Expenditure'!$B33,'Local Government'!$B$16:$O$75,'Public Expenditure'!J$1,FALSE)),VLOOKUP('Public Expenditure'!$B33,'Local Government'!$B$16:$O$75,'Public Expenditure'!J$1,FALSE),0)</f>
        <v>31255577.699999996</v>
      </c>
      <c r="K33" s="252">
        <f t="shared" si="1"/>
        <v>0.90388899910350196</v>
      </c>
      <c r="L33" s="209">
        <f t="shared" si="5"/>
        <v>-3736560.1999999993</v>
      </c>
      <c r="M33" s="258">
        <f t="shared" si="6"/>
        <v>-11.954858860279515</v>
      </c>
      <c r="O33" s="81"/>
      <c r="P33" s="81"/>
      <c r="Q33" s="81"/>
      <c r="R33" s="81"/>
      <c r="CD33" s="81"/>
      <c r="CE33" s="81"/>
      <c r="CF33" s="81"/>
      <c r="CG33" s="81"/>
      <c r="CH33" s="81"/>
    </row>
    <row r="34" spans="1:87">
      <c r="B34" s="80">
        <v>73</v>
      </c>
      <c r="C34" s="101" t="str">
        <f>IF(MasterSheet!$A$1=1,MasterSheet!C103,MasterSheet!B103)</f>
        <v>Primici od otplate kredita i sredstva prenijeta iz prethodne godine</v>
      </c>
      <c r="D34" s="154">
        <f>+IF(ISNUMBER(VLOOKUP($B34,'Cental Budget'!$B$16:$K$75,'Public Expenditure'!D$1,FALSE)),VLOOKUP($B34,'Cental Budget'!$B$16:$K$75,'Public Expenditure'!D$1,FALSE),0)+IF(ISNUMBER(VLOOKUP('Public Expenditure'!$B34,'Local Government'!$B$16:$O$75,'Public Expenditure'!D$1,FALSE)),VLOOKUP('Public Expenditure'!$B34,'Local Government'!$B$16:$O$75,'Public Expenditure'!D$1,FALSE),0)</f>
        <v>23505063.280000005</v>
      </c>
      <c r="E34" s="252">
        <f t="shared" si="0"/>
        <v>0.64209203922747038</v>
      </c>
      <c r="F34" s="154">
        <f>+IF(ISNUMBER(VLOOKUP($B34,'Cental Budget'!$B$16:$K$75,'Public Expenditure'!F$1,FALSE)),VLOOKUP($B34,'Cental Budget'!$B$16:$K$75,'Public Expenditure'!F$1,FALSE),0)+IF(ISNUMBER(VLOOKUP('Public Expenditure'!$B34,'Local Government'!$B$16:$O$75,'Public Expenditure'!F$1,FALSE)),VLOOKUP('Public Expenditure'!$B34,'Local Government'!$B$16:$O$75,'Public Expenditure'!F$1,FALSE),0)</f>
        <v>17614055.379957907</v>
      </c>
      <c r="G34" s="252">
        <f t="shared" si="2"/>
        <v>0.48116631736984478</v>
      </c>
      <c r="H34" s="209">
        <f t="shared" si="3"/>
        <v>5891007.900042098</v>
      </c>
      <c r="I34" s="258">
        <f t="shared" si="4"/>
        <v>33.444926639353952</v>
      </c>
      <c r="J34" s="154">
        <f>+IF(ISNUMBER(VLOOKUP($B34,'Cental Budget'!$B$16:$K$75,'Public Expenditure'!J$1,FALSE)),VLOOKUP($B34,'Cental Budget'!$B$16:$K$75,'Public Expenditure'!J$1,FALSE),0)+IF(ISNUMBER(VLOOKUP('Public Expenditure'!$B34,'Local Government'!$B$16:$O$75,'Public Expenditure'!J$1,FALSE)),VLOOKUP('Public Expenditure'!$B34,'Local Government'!$B$16:$O$75,'Public Expenditure'!J$1,FALSE),0)-496557.55</f>
        <v>16743254.41</v>
      </c>
      <c r="K34" s="252">
        <f t="shared" si="1"/>
        <v>0.48420296740796442</v>
      </c>
      <c r="L34" s="209">
        <f t="shared" si="5"/>
        <v>6761808.8700000048</v>
      </c>
      <c r="M34" s="258">
        <f t="shared" si="6"/>
        <v>40.385272208260062</v>
      </c>
      <c r="O34" s="81"/>
      <c r="P34" s="81"/>
      <c r="Q34" s="81"/>
      <c r="R34" s="81"/>
      <c r="CC34" s="100"/>
      <c r="CD34" s="100"/>
      <c r="CE34" s="99"/>
      <c r="CF34" s="145"/>
      <c r="CG34" s="145"/>
      <c r="CH34" s="145"/>
      <c r="CI34" s="142"/>
    </row>
    <row r="35" spans="1:87" ht="13.5" customHeight="1" thickBot="1">
      <c r="B35" s="80">
        <v>74</v>
      </c>
      <c r="C35" s="93" t="s">
        <v>123</v>
      </c>
      <c r="D35" s="154">
        <f>+IF(ISNUMBER(VLOOKUP($B35,'Cental Budget'!$B$16:$K$75,'Public Expenditure'!D$1,FALSE)),VLOOKUP($B35,'Cental Budget'!$B$16:$K$75,'Public Expenditure'!D$1,FALSE),0)+IF(ISNUMBER(VLOOKUP('Public Expenditure'!$B35,'Local Government'!$B$16:$O$75,'Public Expenditure'!D$1,FALSE)),VLOOKUP('Public Expenditure'!$B35,'Local Government'!$B$16:$O$75,'Public Expenditure'!D$1,FALSE),0)</f>
        <v>5617550.4500000002</v>
      </c>
      <c r="E35" s="252">
        <f>D35/D$11*100</f>
        <v>0.15345563553418745</v>
      </c>
      <c r="F35" s="154">
        <f>+IF(ISNUMBER(VLOOKUP($B35,'Cental Budget'!$B$16:$K$75,'Public Expenditure'!F$1,FALSE)),VLOOKUP($B35,'Cental Budget'!$B$16:$K$75,'Public Expenditure'!F$1,FALSE),0)+IF(ISNUMBER(VLOOKUP('Public Expenditure'!$B35,'Local Government'!$B$16:$O$75,'Public Expenditure'!F$1,FALSE)),VLOOKUP('Public Expenditure'!$B35,'Local Government'!$B$16:$O$75,'Public Expenditure'!F$1,FALSE),0)</f>
        <v>5969025.701478377</v>
      </c>
      <c r="G35" s="252">
        <f t="shared" si="2"/>
        <v>0.16305694816506069</v>
      </c>
      <c r="H35" s="209">
        <f t="shared" si="3"/>
        <v>-351475.2514783768</v>
      </c>
      <c r="I35" s="258">
        <f t="shared" si="4"/>
        <v>-5.8883186143984148</v>
      </c>
      <c r="J35" s="154">
        <f>+IF(ISNUMBER(VLOOKUP($B35,'Cental Budget'!$B$16:$K$75,'Public Expenditure'!J$1,FALSE)),VLOOKUP($B35,'Cental Budget'!$B$16:$K$75,'Public Expenditure'!J$1,FALSE),0)+IF(ISNUMBER(VLOOKUP('Public Expenditure'!$B35,'Local Government'!$B$16:$O$75,'Public Expenditure'!J$1,FALSE)),VLOOKUP('Public Expenditure'!$B35,'Local Government'!$B$16:$O$75,'Public Expenditure'!J$1,FALSE),0)</f>
        <v>5249038.29</v>
      </c>
      <c r="K35" s="252">
        <f>J35/J$11*100</f>
        <v>0.15179844096127709</v>
      </c>
      <c r="L35" s="209">
        <f t="shared" si="5"/>
        <v>368512.16000000015</v>
      </c>
      <c r="M35" s="258">
        <f t="shared" si="6"/>
        <v>7.0205652853029648</v>
      </c>
      <c r="O35" s="81"/>
      <c r="P35" s="81"/>
      <c r="Q35" s="81"/>
      <c r="R35" s="81"/>
      <c r="CD35" s="161"/>
      <c r="CE35" s="161"/>
      <c r="CF35" s="145"/>
      <c r="CG35" s="145"/>
      <c r="CH35" s="145"/>
      <c r="CI35" s="142"/>
    </row>
    <row r="36" spans="1:87" ht="15" customHeight="1" thickTop="1" thickBot="1">
      <c r="B36" s="102"/>
      <c r="C36" s="178" t="s">
        <v>235</v>
      </c>
      <c r="D36" s="173">
        <f>+D38+D49+D55+SUM(D58:D63)</f>
        <v>1305347878.5000005</v>
      </c>
      <c r="E36" s="249">
        <f t="shared" si="0"/>
        <v>35.658422665064073</v>
      </c>
      <c r="F36" s="173">
        <f>+F38+F49+F55+SUM(F58:F63)</f>
        <v>1282199444.4269967</v>
      </c>
      <c r="G36" s="249">
        <f t="shared" si="2"/>
        <v>35.026072729996905</v>
      </c>
      <c r="H36" s="173">
        <f t="shared" si="3"/>
        <v>23148434.073003769</v>
      </c>
      <c r="I36" s="249">
        <f t="shared" si="4"/>
        <v>1.8053692172163238</v>
      </c>
      <c r="J36" s="173">
        <f>+J38+J49+J55+SUM(J58:J62)</f>
        <v>1106638889.9900002</v>
      </c>
      <c r="K36" s="249">
        <f t="shared" si="1"/>
        <v>32.00320685936552</v>
      </c>
      <c r="L36" s="173">
        <f t="shared" si="5"/>
        <v>198708988.51000023</v>
      </c>
      <c r="M36" s="249">
        <f t="shared" si="6"/>
        <v>17.956082178875519</v>
      </c>
      <c r="N36" s="102"/>
      <c r="O36" s="81"/>
      <c r="P36" s="81"/>
      <c r="Q36" s="81"/>
      <c r="R36" s="81"/>
      <c r="CD36" s="81"/>
      <c r="CE36" s="81"/>
      <c r="CF36" s="145"/>
      <c r="CG36" s="145"/>
      <c r="CH36" s="145"/>
      <c r="CI36" s="142"/>
    </row>
    <row r="37" spans="1:87" ht="13.5" customHeight="1" thickTop="1" thickBot="1">
      <c r="C37" s="178" t="s">
        <v>126</v>
      </c>
      <c r="D37" s="173">
        <f>+D36-D58</f>
        <v>1086068278.4600005</v>
      </c>
      <c r="E37" s="249">
        <f t="shared" si="0"/>
        <v>29.668322409921615</v>
      </c>
      <c r="F37" s="173">
        <f>+F36-F58</f>
        <v>1038676636.6769967</v>
      </c>
      <c r="G37" s="249">
        <f t="shared" si="2"/>
        <v>28.373716411533223</v>
      </c>
      <c r="H37" s="173">
        <f t="shared" si="3"/>
        <v>47391641.783003807</v>
      </c>
      <c r="I37" s="249">
        <f t="shared" si="4"/>
        <v>4.5626945008238948</v>
      </c>
      <c r="J37" s="173">
        <f>+J36-J58</f>
        <v>1034347930.4600003</v>
      </c>
      <c r="K37" s="249">
        <f t="shared" si="1"/>
        <v>29.912603905838814</v>
      </c>
      <c r="L37" s="173">
        <f t="shared" si="5"/>
        <v>51720348.000000238</v>
      </c>
      <c r="M37" s="249">
        <f t="shared" si="6"/>
        <v>5.0002853466336887</v>
      </c>
      <c r="N37" s="220"/>
      <c r="O37" s="81"/>
      <c r="P37" s="81"/>
      <c r="Q37" s="81"/>
      <c r="R37" s="81"/>
      <c r="CD37" s="161"/>
      <c r="CE37" s="161"/>
      <c r="CF37" s="145"/>
      <c r="CG37" s="145"/>
      <c r="CH37" s="145"/>
      <c r="CI37" s="142"/>
    </row>
    <row r="38" spans="1:87" ht="13.5" customHeight="1" thickTop="1">
      <c r="A38" s="80">
        <v>41</v>
      </c>
      <c r="C38" s="93" t="s">
        <v>63</v>
      </c>
      <c r="D38" s="94">
        <f>+SUM(D39:D48)</f>
        <v>524913562.12000006</v>
      </c>
      <c r="E38" s="252">
        <f t="shared" si="0"/>
        <v>14.339158142431776</v>
      </c>
      <c r="F38" s="94">
        <f>+SUM(F39:F48)</f>
        <v>521731449.86095494</v>
      </c>
      <c r="G38" s="252">
        <f t="shared" si="2"/>
        <v>14.252231809789246</v>
      </c>
      <c r="H38" s="207">
        <f t="shared" si="3"/>
        <v>3182112.2590451241</v>
      </c>
      <c r="I38" s="258">
        <f t="shared" si="4"/>
        <v>0.60991382825265816</v>
      </c>
      <c r="J38" s="94">
        <f>+SUM(J39:J48)</f>
        <v>507166659.39000005</v>
      </c>
      <c r="K38" s="252">
        <f t="shared" si="1"/>
        <v>14.666897810520837</v>
      </c>
      <c r="L38" s="207">
        <f t="shared" si="5"/>
        <v>17746902.730000019</v>
      </c>
      <c r="M38" s="258">
        <f t="shared" si="6"/>
        <v>3.4992250380467169</v>
      </c>
      <c r="O38" s="81"/>
      <c r="P38" s="215"/>
      <c r="Q38" s="81"/>
      <c r="R38" s="81"/>
      <c r="CD38" s="161"/>
      <c r="CE38" s="161"/>
      <c r="CF38" s="145"/>
      <c r="CG38" s="145"/>
      <c r="CH38" s="145"/>
      <c r="CI38" s="142"/>
    </row>
    <row r="39" spans="1:87" ht="13.5" customHeight="1">
      <c r="B39" s="80">
        <v>411</v>
      </c>
      <c r="C39" s="93" t="s">
        <v>64</v>
      </c>
      <c r="D39" s="154">
        <f>+IF(ISNUMBER(VLOOKUP($B39,'Cental Budget'!$B$16:$K$75,'Public Expenditure'!D$1,FALSE)),VLOOKUP($B39,'Cental Budget'!$B$16:$K$75,'Public Expenditure'!D$1,FALSE),0)+IF(ISNUMBER(VLOOKUP('Public Expenditure'!$B39,'Local Government'!$B$16:$O$75,'Public Expenditure'!D$1,FALSE)),VLOOKUP('Public Expenditure'!$B39,'Local Government'!$B$16:$O$75,'Public Expenditure'!D$1,FALSE),0)</f>
        <v>311293091.63999999</v>
      </c>
      <c r="E39" s="252">
        <f t="shared" si="0"/>
        <v>8.5036493468462311</v>
      </c>
      <c r="F39" s="154">
        <f>+IF(ISNUMBER(VLOOKUP($B39,'Cental Budget'!$B$16:$K$75,'Public Expenditure'!F$1,FALSE)),VLOOKUP($B39,'Cental Budget'!$B$16:$K$75,'Public Expenditure'!F$1,FALSE),0)+IF(ISNUMBER(VLOOKUP('Public Expenditure'!$B39,'Local Government'!$B$16:$O$75,'Public Expenditure'!F$1,FALSE)),VLOOKUP('Public Expenditure'!$B39,'Local Government'!$B$16:$O$75,'Public Expenditure'!F$1,FALSE),0)</f>
        <v>311721770.77380002</v>
      </c>
      <c r="G39" s="252">
        <f t="shared" si="2"/>
        <v>8.5153596518097636</v>
      </c>
      <c r="H39" s="209">
        <f t="shared" si="3"/>
        <v>-428679.13380002975</v>
      </c>
      <c r="I39" s="258">
        <f t="shared" si="4"/>
        <v>-0.13751979296662853</v>
      </c>
      <c r="J39" s="154">
        <f>+IF(ISNUMBER(VLOOKUP($B39,'Cental Budget'!$B$16:$K$75,'Public Expenditure'!J$1,FALSE)),VLOOKUP($B39,'Cental Budget'!$B$16:$K$75,'Public Expenditure'!J$1,FALSE),0)+IF(ISNUMBER(VLOOKUP('Public Expenditure'!$B39,'Local Government'!$B$16:$O$75,'Public Expenditure'!J$1,FALSE)),VLOOKUP('Public Expenditure'!$B39,'Local Government'!$B$16:$O$75,'Public Expenditure'!J$1,FALSE),0)</f>
        <v>311007755.16000009</v>
      </c>
      <c r="K39" s="252">
        <f t="shared" si="1"/>
        <v>8.9941223042887337</v>
      </c>
      <c r="L39" s="209">
        <f t="shared" si="5"/>
        <v>285336.47999989986</v>
      </c>
      <c r="M39" s="258">
        <f t="shared" si="6"/>
        <v>9.1745776517086597E-2</v>
      </c>
      <c r="O39" s="81"/>
      <c r="P39" s="215"/>
      <c r="Q39" s="81"/>
      <c r="R39" s="81"/>
      <c r="CD39" s="161"/>
      <c r="CE39" s="161"/>
      <c r="CF39" s="145"/>
      <c r="CG39" s="145"/>
      <c r="CH39" s="145"/>
      <c r="CI39" s="142"/>
    </row>
    <row r="40" spans="1:87" ht="13.5" customHeight="1">
      <c r="B40" s="80">
        <v>412</v>
      </c>
      <c r="C40" s="93" t="s">
        <v>75</v>
      </c>
      <c r="D40" s="154">
        <f>+IF(ISNUMBER(VLOOKUP($B40,'Cental Budget'!$B$16:$K$75,'Public Expenditure'!D$1,FALSE)),VLOOKUP($B40,'Cental Budget'!$B$16:$K$75,'Public Expenditure'!D$1,FALSE),0)+IF(ISNUMBER(VLOOKUP('Public Expenditure'!$B40,'Local Government'!$B$16:$O$75,'Public Expenditure'!D$1,FALSE)),VLOOKUP('Public Expenditure'!$B40,'Local Government'!$B$16:$O$75,'Public Expenditure'!D$1,FALSE),0)</f>
        <v>10913274.820000002</v>
      </c>
      <c r="E40" s="252">
        <f t="shared" si="0"/>
        <v>0.2981198901849374</v>
      </c>
      <c r="F40" s="154">
        <f>+IF(ISNUMBER(VLOOKUP($B40,'Cental Budget'!$B$16:$K$75,'Public Expenditure'!F$1,FALSE)),VLOOKUP($B40,'Cental Budget'!$B$16:$K$75,'Public Expenditure'!F$1,FALSE),0)+IF(ISNUMBER(VLOOKUP('Public Expenditure'!$B40,'Local Government'!$B$16:$O$75,'Public Expenditure'!F$1,FALSE)),VLOOKUP('Public Expenditure'!$B40,'Local Government'!$B$16:$O$75,'Public Expenditure'!F$1,FALSE),0)</f>
        <v>10449293.513699999</v>
      </c>
      <c r="G40" s="252">
        <f t="shared" si="2"/>
        <v>0.28544522942879774</v>
      </c>
      <c r="H40" s="209">
        <f t="shared" si="3"/>
        <v>463981.30630000308</v>
      </c>
      <c r="I40" s="258">
        <f t="shared" si="4"/>
        <v>4.4403126937881439</v>
      </c>
      <c r="J40" s="154">
        <f>+IF(ISNUMBER(VLOOKUP($B40,'Cental Budget'!$B$16:$K$75,'Public Expenditure'!J$1,FALSE)),VLOOKUP($B40,'Cental Budget'!$B$16:$K$75,'Public Expenditure'!J$1,FALSE),0)+IF(ISNUMBER(VLOOKUP('Public Expenditure'!$B40,'Local Government'!$B$16:$O$75,'Public Expenditure'!J$1,FALSE)),VLOOKUP('Public Expenditure'!$B40,'Local Government'!$B$16:$O$75,'Public Expenditure'!J$1,FALSE),0)</f>
        <v>8721386.6299999934</v>
      </c>
      <c r="K40" s="252">
        <f t="shared" si="1"/>
        <v>0.25221627664189228</v>
      </c>
      <c r="L40" s="209">
        <f t="shared" si="5"/>
        <v>2191888.1900000088</v>
      </c>
      <c r="M40" s="258">
        <f t="shared" si="6"/>
        <v>25.132335980385378</v>
      </c>
      <c r="O40" s="81"/>
      <c r="P40" s="215"/>
      <c r="Q40" s="81"/>
      <c r="R40" s="81"/>
      <c r="CD40" s="161"/>
      <c r="CE40" s="161"/>
      <c r="CF40" s="145"/>
      <c r="CG40" s="145"/>
      <c r="CH40" s="145"/>
      <c r="CI40" s="142"/>
    </row>
    <row r="41" spans="1:87" ht="13.5" customHeight="1">
      <c r="B41" s="80">
        <v>413</v>
      </c>
      <c r="C41" s="93" t="s">
        <v>429</v>
      </c>
      <c r="D41" s="154">
        <f>+IF(ISNUMBER(VLOOKUP($B41,'Cental Budget'!$B$16:$K$75,'Public Expenditure'!D$1,FALSE)),VLOOKUP($B41,'Cental Budget'!$B$16:$K$75,'Public Expenditure'!D$1,FALSE),0)+IF(ISNUMBER(VLOOKUP('Public Expenditure'!$B41,'Local Government'!$B$16:$O$75,'Public Expenditure'!D$1,FALSE)),VLOOKUP('Public Expenditure'!$B41,'Local Government'!$B$16:$O$75,'Public Expenditure'!D$1,FALSE),0)</f>
        <v>19887492.539999999</v>
      </c>
      <c r="E41" s="252">
        <f t="shared" si="0"/>
        <v>0.54327020897642531</v>
      </c>
      <c r="F41" s="154">
        <f>+IF(ISNUMBER(VLOOKUP($B41,'Cental Budget'!$B$16:$K$75,'Public Expenditure'!F$1,FALSE)),VLOOKUP($B41,'Cental Budget'!$B$16:$K$75,'Public Expenditure'!F$1,FALSE),0)+IF(ISNUMBER(VLOOKUP('Public Expenditure'!$B41,'Local Government'!$B$16:$O$75,'Public Expenditure'!F$1,FALSE)),VLOOKUP('Public Expenditure'!$B41,'Local Government'!$B$16:$O$75,'Public Expenditure'!F$1,FALSE),0)</f>
        <v>26759311.559999999</v>
      </c>
      <c r="G41" s="252">
        <f t="shared" si="2"/>
        <v>0.73098892452263231</v>
      </c>
      <c r="H41" s="209">
        <f t="shared" si="3"/>
        <v>-6871819.0199999996</v>
      </c>
      <c r="I41" s="258">
        <f t="shared" si="4"/>
        <v>-25.680103931642407</v>
      </c>
      <c r="J41" s="154">
        <f>+IF(ISNUMBER(VLOOKUP($B41,'Cental Budget'!$B$16:$K$75,'Public Expenditure'!J$1,FALSE)),VLOOKUP($B41,'Cental Budget'!$B$16:$K$75,'Public Expenditure'!J$1,FALSE),0)+IF(ISNUMBER(VLOOKUP('Public Expenditure'!$B41,'Local Government'!$B$16:$O$75,'Public Expenditure'!J$1,FALSE)),VLOOKUP('Public Expenditure'!$B41,'Local Government'!$B$16:$O$75,'Public Expenditure'!J$1,FALSE),0)</f>
        <v>21188788.859999999</v>
      </c>
      <c r="K41" s="252">
        <f t="shared" si="1"/>
        <v>0.61276465079961817</v>
      </c>
      <c r="L41" s="209">
        <f t="shared" si="5"/>
        <v>-1301296.3200000003</v>
      </c>
      <c r="M41" s="258">
        <f t="shared" si="6"/>
        <v>-6.1414379490871909</v>
      </c>
      <c r="O41" s="81"/>
      <c r="P41" s="215"/>
      <c r="Q41" s="81"/>
      <c r="R41" s="81"/>
      <c r="CD41" s="161"/>
      <c r="CE41" s="161"/>
      <c r="CF41" s="145"/>
      <c r="CG41" s="145"/>
      <c r="CH41" s="145"/>
      <c r="CI41" s="142"/>
    </row>
    <row r="42" spans="1:87" ht="13.5" customHeight="1">
      <c r="B42" s="80">
        <v>414</v>
      </c>
      <c r="C42" s="93" t="s">
        <v>430</v>
      </c>
      <c r="D42" s="154">
        <f>+IF(ISNUMBER(VLOOKUP($B42,'Cental Budget'!$B$16:$K$75,'Public Expenditure'!D$1,FALSE)),VLOOKUP($B42,'Cental Budget'!$B$16:$K$75,'Public Expenditure'!D$1,FALSE),0)+IF(ISNUMBER(VLOOKUP('Public Expenditure'!$B42,'Local Government'!$B$16:$O$75,'Public Expenditure'!D$1,FALSE)),VLOOKUP('Public Expenditure'!$B42,'Local Government'!$B$16:$O$75,'Public Expenditure'!D$1,FALSE),0)</f>
        <v>41497038.619999997</v>
      </c>
      <c r="E42" s="252">
        <f t="shared" si="0"/>
        <v>1.1335820640861036</v>
      </c>
      <c r="F42" s="154">
        <f>+IF(ISNUMBER(VLOOKUP($B42,'Cental Budget'!$B$16:$K$75,'Public Expenditure'!F$1,FALSE)),VLOOKUP($B42,'Cental Budget'!$B$16:$K$75,'Public Expenditure'!F$1,FALSE),0)+IF(ISNUMBER(VLOOKUP('Public Expenditure'!$B42,'Local Government'!$B$16:$O$75,'Public Expenditure'!F$1,FALSE)),VLOOKUP('Public Expenditure'!$B42,'Local Government'!$B$16:$O$75,'Public Expenditure'!F$1,FALSE),0)</f>
        <v>37030243.247699991</v>
      </c>
      <c r="G42" s="252">
        <f t="shared" si="2"/>
        <v>1.0115618118857048</v>
      </c>
      <c r="H42" s="209">
        <f t="shared" si="3"/>
        <v>4466795.3723000064</v>
      </c>
      <c r="I42" s="258">
        <f t="shared" si="4"/>
        <v>12.062560168511567</v>
      </c>
      <c r="J42" s="154">
        <f>+IF(ISNUMBER(VLOOKUP($B42,'Cental Budget'!$B$16:$K$75,'Public Expenditure'!J$1,FALSE)),VLOOKUP($B42,'Cental Budget'!$B$16:$K$75,'Public Expenditure'!J$1,FALSE),0)+IF(ISNUMBER(VLOOKUP('Public Expenditure'!$B42,'Local Government'!$B$16:$O$75,'Public Expenditure'!J$1,FALSE)),VLOOKUP('Public Expenditure'!$B42,'Local Government'!$B$16:$O$75,'Public Expenditure'!J$1,FALSE),0)</f>
        <v>37054944.300000027</v>
      </c>
      <c r="K42" s="252">
        <f t="shared" si="1"/>
        <v>1.0716025420052642</v>
      </c>
      <c r="L42" s="209">
        <f t="shared" si="5"/>
        <v>4442094.3199999705</v>
      </c>
      <c r="M42" s="258">
        <f t="shared" si="6"/>
        <v>11.987858581128592</v>
      </c>
      <c r="O42" s="81"/>
      <c r="P42" s="215"/>
      <c r="Q42" s="81"/>
      <c r="R42" s="81"/>
      <c r="CD42" s="161"/>
      <c r="CE42" s="161"/>
      <c r="CF42" s="145"/>
      <c r="CG42" s="145"/>
      <c r="CH42" s="145"/>
      <c r="CI42" s="142"/>
    </row>
    <row r="43" spans="1:87" ht="13.5" customHeight="1">
      <c r="B43" s="80">
        <v>415</v>
      </c>
      <c r="C43" s="93" t="s">
        <v>431</v>
      </c>
      <c r="D43" s="154">
        <f>+IF(ISNUMBER(VLOOKUP($B43,'Cental Budget'!$B$16:$K$75,'Public Expenditure'!D$1,FALSE)),VLOOKUP($B43,'Cental Budget'!$B$16:$K$75,'Public Expenditure'!D$1,FALSE),0)+IF(ISNUMBER(VLOOKUP('Public Expenditure'!$B43,'Local Government'!$B$16:$O$75,'Public Expenditure'!D$1,FALSE)),VLOOKUP('Public Expenditure'!$B43,'Local Government'!$B$16:$O$75,'Public Expenditure'!D$1,FALSE),0)</f>
        <v>17599328.599999998</v>
      </c>
      <c r="E43" s="252">
        <f t="shared" si="0"/>
        <v>0.48076402327423706</v>
      </c>
      <c r="F43" s="154">
        <f>+IF(ISNUMBER(VLOOKUP($B43,'Cental Budget'!$B$16:$K$75,'Public Expenditure'!F$1,FALSE)),VLOOKUP($B43,'Cental Budget'!$B$16:$K$75,'Public Expenditure'!F$1,FALSE),0)+IF(ISNUMBER(VLOOKUP('Public Expenditure'!$B43,'Local Government'!$B$16:$O$75,'Public Expenditure'!F$1,FALSE)),VLOOKUP('Public Expenditure'!$B43,'Local Government'!$B$16:$O$75,'Public Expenditure'!F$1,FALSE),0)</f>
        <v>18796680.931965005</v>
      </c>
      <c r="G43" s="252">
        <f t="shared" si="2"/>
        <v>0.5134723121797744</v>
      </c>
      <c r="H43" s="209">
        <f t="shared" si="3"/>
        <v>-1197352.3319650069</v>
      </c>
      <c r="I43" s="258">
        <f t="shared" si="4"/>
        <v>-6.3700199854370538</v>
      </c>
      <c r="J43" s="154">
        <f>+IF(ISNUMBER(VLOOKUP($B43,'Cental Budget'!$B$16:$K$75,'Public Expenditure'!J$1,FALSE)),VLOOKUP($B43,'Cental Budget'!$B$16:$K$75,'Public Expenditure'!J$1,FALSE),0)+IF(ISNUMBER(VLOOKUP('Public Expenditure'!$B43,'Local Government'!$B$16:$O$75,'Public Expenditure'!J$1,FALSE)),VLOOKUP('Public Expenditure'!$B43,'Local Government'!$B$16:$O$75,'Public Expenditure'!J$1,FALSE),0)</f>
        <v>16404690.390000001</v>
      </c>
      <c r="K43" s="252">
        <f t="shared" si="1"/>
        <v>0.4744119375921802</v>
      </c>
      <c r="L43" s="209">
        <f t="shared" si="5"/>
        <v>1194638.2099999972</v>
      </c>
      <c r="M43" s="258">
        <f t="shared" si="6"/>
        <v>7.2822965968819915</v>
      </c>
      <c r="O43" s="81"/>
      <c r="P43" s="215"/>
      <c r="Q43" s="81"/>
      <c r="R43" s="81"/>
      <c r="CD43" s="161"/>
      <c r="CE43" s="161"/>
      <c r="CF43" s="145"/>
      <c r="CG43" s="145"/>
      <c r="CH43" s="145"/>
      <c r="CI43" s="142"/>
    </row>
    <row r="44" spans="1:87" ht="13.5" customHeight="1">
      <c r="B44" s="80">
        <v>416</v>
      </c>
      <c r="C44" s="93" t="s">
        <v>80</v>
      </c>
      <c r="D44" s="154">
        <f>+IF(ISNUMBER(VLOOKUP($B44,'Cental Budget'!$B$16:$K$75,'Public Expenditure'!D$1,FALSE)),VLOOKUP($B44,'Cental Budget'!$B$16:$K$75,'Public Expenditure'!D$1,FALSE),0)+IF(ISNUMBER(VLOOKUP('Public Expenditure'!$B44,'Local Government'!$B$16:$O$75,'Public Expenditure'!D$1,FALSE)),VLOOKUP('Public Expenditure'!$B44,'Local Government'!$B$16:$O$75,'Public Expenditure'!D$1,FALSE),0)</f>
        <v>75510762.350000009</v>
      </c>
      <c r="E44" s="252">
        <f t="shared" si="0"/>
        <v>2.0627410700139319</v>
      </c>
      <c r="F44" s="154">
        <f>+IF(ISNUMBER(VLOOKUP($B44,'Cental Budget'!$B$16:$K$75,'Public Expenditure'!F$1,FALSE)),VLOOKUP($B44,'Cental Budget'!$B$16:$K$75,'Public Expenditure'!F$1,FALSE),0)+IF(ISNUMBER(VLOOKUP('Public Expenditure'!$B44,'Local Government'!$B$16:$O$75,'Public Expenditure'!F$1,FALSE)),VLOOKUP('Public Expenditure'!$B44,'Local Government'!$B$16:$O$75,'Public Expenditure'!F$1,FALSE),0)</f>
        <v>59923543.14362175</v>
      </c>
      <c r="G44" s="252">
        <f t="shared" si="2"/>
        <v>1.6369422007709387</v>
      </c>
      <c r="H44" s="209">
        <f t="shared" si="3"/>
        <v>15587219.206378259</v>
      </c>
      <c r="I44" s="258">
        <f t="shared" si="4"/>
        <v>26.011845075681833</v>
      </c>
      <c r="J44" s="154">
        <f>+IF(ISNUMBER(VLOOKUP($B44,'Cental Budget'!$B$16:$K$75,'Public Expenditure'!J$1,FALSE)),VLOOKUP($B44,'Cental Budget'!$B$16:$K$75,'Public Expenditure'!J$1,FALSE),0)+IF(ISNUMBER(VLOOKUP('Public Expenditure'!$B44,'Local Government'!$B$16:$O$75,'Public Expenditure'!J$1,FALSE)),VLOOKUP('Public Expenditure'!$B44,'Local Government'!$B$16:$O$75,'Public Expenditure'!J$1,FALSE),0)</f>
        <v>70595878.120000005</v>
      </c>
      <c r="K44" s="252">
        <f t="shared" si="1"/>
        <v>2.0415824089765464</v>
      </c>
      <c r="L44" s="209">
        <f t="shared" si="5"/>
        <v>4914884.2300000042</v>
      </c>
      <c r="M44" s="258">
        <f t="shared" si="6"/>
        <v>6.9619988601113505</v>
      </c>
      <c r="O44" s="81"/>
      <c r="P44" s="215"/>
      <c r="Q44" s="81"/>
      <c r="R44" s="81"/>
      <c r="CD44" s="161"/>
      <c r="CE44" s="161"/>
      <c r="CF44" s="145"/>
      <c r="CG44" s="145"/>
      <c r="CH44" s="145"/>
      <c r="CI44" s="142"/>
    </row>
    <row r="45" spans="1:87" ht="13.5" customHeight="1">
      <c r="B45" s="80">
        <v>417</v>
      </c>
      <c r="C45" s="93" t="s">
        <v>82</v>
      </c>
      <c r="D45" s="154">
        <f>+IF(ISNUMBER(VLOOKUP($B45,'Cental Budget'!$B$16:$K$75,'Public Expenditure'!D$1,FALSE)),VLOOKUP($B45,'Cental Budget'!$B$16:$K$75,'Public Expenditure'!D$1,FALSE),0)+IF(ISNUMBER(VLOOKUP('Public Expenditure'!$B45,'Local Government'!$B$16:$O$75,'Public Expenditure'!D$1,FALSE)),VLOOKUP('Public Expenditure'!$B45,'Local Government'!$B$16:$O$75,'Public Expenditure'!D$1,FALSE),0)</f>
        <v>6767833.0899999999</v>
      </c>
      <c r="E45" s="252">
        <f t="shared" si="0"/>
        <v>0.18487811320239297</v>
      </c>
      <c r="F45" s="154">
        <f>+IF(ISNUMBER(VLOOKUP($B45,'Cental Budget'!$B$16:$K$75,'Public Expenditure'!F$1,FALSE)),VLOOKUP($B45,'Cental Budget'!$B$16:$K$75,'Public Expenditure'!F$1,FALSE),0)+IF(ISNUMBER(VLOOKUP('Public Expenditure'!$B45,'Local Government'!$B$16:$O$75,'Public Expenditure'!F$1,FALSE)),VLOOKUP('Public Expenditure'!$B45,'Local Government'!$B$16:$O$75,'Public Expenditure'!F$1,FALSE),0)</f>
        <v>6596285.3949824991</v>
      </c>
      <c r="G45" s="252">
        <f t="shared" si="2"/>
        <v>0.1801919139777228</v>
      </c>
      <c r="H45" s="209">
        <f t="shared" si="3"/>
        <v>171547.69501750078</v>
      </c>
      <c r="I45" s="258">
        <f t="shared" si="4"/>
        <v>2.6006712072826446</v>
      </c>
      <c r="J45" s="154">
        <f>+IF(ISNUMBER(VLOOKUP($B45,'Cental Budget'!$B$16:$K$75,'Public Expenditure'!J$1,FALSE)),VLOOKUP($B45,'Cental Budget'!$B$16:$K$75,'Public Expenditure'!J$1,FALSE),0)+IF(ISNUMBER(VLOOKUP('Public Expenditure'!$B45,'Local Government'!$B$16:$O$75,'Public Expenditure'!J$1,FALSE)),VLOOKUP('Public Expenditure'!$B45,'Local Government'!$B$16:$O$75,'Public Expenditure'!J$1,FALSE),0)</f>
        <v>6258192.71</v>
      </c>
      <c r="K45" s="252">
        <f t="shared" si="1"/>
        <v>0.18098246652592614</v>
      </c>
      <c r="L45" s="209">
        <f t="shared" si="5"/>
        <v>509640.37999999989</v>
      </c>
      <c r="M45" s="258">
        <f t="shared" si="6"/>
        <v>8.1435712132297056</v>
      </c>
      <c r="O45" s="81"/>
      <c r="P45" s="215"/>
      <c r="Q45" s="81"/>
      <c r="R45" s="81"/>
      <c r="CD45" s="161"/>
      <c r="CE45" s="161"/>
      <c r="CF45" s="145"/>
      <c r="CG45" s="145"/>
      <c r="CH45" s="145"/>
      <c r="CI45" s="142"/>
    </row>
    <row r="46" spans="1:87" ht="13.5" customHeight="1">
      <c r="B46" s="80">
        <v>418</v>
      </c>
      <c r="C46" s="93" t="s">
        <v>84</v>
      </c>
      <c r="D46" s="154">
        <f>+IF(ISNUMBER(VLOOKUP($B46,'Cental Budget'!$B$16:$K$75,'Public Expenditure'!D$1,FALSE)),VLOOKUP($B46,'Cental Budget'!$B$16:$K$75,'Public Expenditure'!D$1,FALSE),0)+IF(ISNUMBER(VLOOKUP('Public Expenditure'!$B46,'Local Government'!$B$16:$O$75,'Public Expenditure'!D$1,FALSE)),VLOOKUP('Public Expenditure'!$B46,'Local Government'!$B$16:$O$75,'Public Expenditure'!D$1,FALSE),0)</f>
        <v>11277281.600000001</v>
      </c>
      <c r="E46" s="252">
        <f t="shared" si="0"/>
        <v>0.30806352883328331</v>
      </c>
      <c r="F46" s="154">
        <f>+IF(ISNUMBER(VLOOKUP($B46,'Cental Budget'!$B$16:$K$75,'Public Expenditure'!F$1,FALSE)),VLOOKUP($B46,'Cental Budget'!$B$16:$K$75,'Public Expenditure'!F$1,FALSE),0)+IF(ISNUMBER(VLOOKUP('Public Expenditure'!$B46,'Local Government'!$B$16:$O$75,'Public Expenditure'!F$1,FALSE)),VLOOKUP('Public Expenditure'!$B46,'Local Government'!$B$16:$O$75,'Public Expenditure'!F$1,FALSE),0)</f>
        <v>16376003.947340248</v>
      </c>
      <c r="G46" s="252">
        <f t="shared" si="2"/>
        <v>0.44734624381512411</v>
      </c>
      <c r="H46" s="209">
        <f t="shared" si="3"/>
        <v>-5098722.3473402467</v>
      </c>
      <c r="I46" s="258">
        <f t="shared" si="4"/>
        <v>-31.135326809495353</v>
      </c>
      <c r="J46" s="154">
        <f>+IF(ISNUMBER(VLOOKUP($B46,'Cental Budget'!$B$16:$K$75,'Public Expenditure'!J$1,FALSE)),VLOOKUP($B46,'Cental Budget'!$B$16:$K$75,'Public Expenditure'!J$1,FALSE),0)+IF(ISNUMBER(VLOOKUP('Public Expenditure'!$B46,'Local Government'!$B$16:$O$75,'Public Expenditure'!J$1,FALSE)),VLOOKUP('Public Expenditure'!$B46,'Local Government'!$B$16:$O$75,'Public Expenditure'!J$1,FALSE),0)</f>
        <v>12346177.990000002</v>
      </c>
      <c r="K46" s="252">
        <f t="shared" si="1"/>
        <v>0.35704265565805843</v>
      </c>
      <c r="L46" s="209">
        <f t="shared" si="5"/>
        <v>-1068896.3900000006</v>
      </c>
      <c r="M46" s="258">
        <f t="shared" si="6"/>
        <v>-8.6577108386560724</v>
      </c>
      <c r="O46" s="81"/>
      <c r="P46" s="215"/>
      <c r="Q46" s="81"/>
      <c r="R46" s="81"/>
      <c r="CD46" s="161"/>
      <c r="CE46" s="161"/>
      <c r="CF46" s="145"/>
      <c r="CG46" s="145"/>
      <c r="CH46" s="145"/>
      <c r="CI46" s="142"/>
    </row>
    <row r="47" spans="1:87" ht="13.5" customHeight="1">
      <c r="B47" s="80">
        <v>419</v>
      </c>
      <c r="C47" s="93" t="s">
        <v>86</v>
      </c>
      <c r="D47" s="154">
        <f>+IF(ISNUMBER(VLOOKUP($B47,'Cental Budget'!$B$16:$K$75,'Public Expenditure'!D$1,FALSE)),VLOOKUP($B47,'Cental Budget'!$B$16:$K$75,'Public Expenditure'!D$1,FALSE),0)+IF(ISNUMBER(VLOOKUP('Public Expenditure'!$B47,'Local Government'!$B$16:$O$75,'Public Expenditure'!D$1,FALSE)),VLOOKUP('Public Expenditure'!$B47,'Local Government'!$B$16:$O$75,'Public Expenditure'!D$1,FALSE),0)</f>
        <v>20411732.449999996</v>
      </c>
      <c r="E47" s="252">
        <f t="shared" si="0"/>
        <v>0.55759096484278947</v>
      </c>
      <c r="F47" s="154">
        <f>+IF(ISNUMBER(VLOOKUP($B47,'Cental Budget'!$B$16:$K$75,'Public Expenditure'!F$1,FALSE)),VLOOKUP($B47,'Cental Budget'!$B$16:$K$75,'Public Expenditure'!F$1,FALSE),0)+IF(ISNUMBER(VLOOKUP('Public Expenditure'!$B47,'Local Government'!$B$16:$O$75,'Public Expenditure'!F$1,FALSE)),VLOOKUP('Public Expenditure'!$B47,'Local Government'!$B$16:$O$75,'Public Expenditure'!F$1,FALSE),0)</f>
        <v>23690909.440345492</v>
      </c>
      <c r="G47" s="252">
        <f t="shared" si="2"/>
        <v>0.64716883220000254</v>
      </c>
      <c r="H47" s="209">
        <f t="shared" si="3"/>
        <v>-3279176.9903454967</v>
      </c>
      <c r="I47" s="258">
        <f t="shared" si="4"/>
        <v>-13.841498987628881</v>
      </c>
      <c r="J47" s="154">
        <f>+IF(ISNUMBER(VLOOKUP($B47,'Cental Budget'!$B$16:$K$75,'Public Expenditure'!J$1,FALSE)),VLOOKUP($B47,'Cental Budget'!$B$16:$K$75,'Public Expenditure'!J$1,FALSE),0)+IF(ISNUMBER(VLOOKUP('Public Expenditure'!$B47,'Local Government'!$B$16:$O$75,'Public Expenditure'!J$1,FALSE)),VLOOKUP('Public Expenditure'!$B47,'Local Government'!$B$16:$O$75,'Public Expenditure'!J$1,FALSE),0)</f>
        <v>17487765.960000001</v>
      </c>
      <c r="K47" s="252">
        <f t="shared" si="1"/>
        <v>0.50573371005523582</v>
      </c>
      <c r="L47" s="209">
        <f t="shared" si="5"/>
        <v>2923966.4899999946</v>
      </c>
      <c r="M47" s="258">
        <f t="shared" si="6"/>
        <v>16.720068742274009</v>
      </c>
      <c r="O47" s="81"/>
      <c r="P47" s="215"/>
      <c r="Q47" s="81"/>
      <c r="R47" s="81"/>
      <c r="CD47" s="161"/>
      <c r="CE47" s="161"/>
      <c r="CF47" s="145"/>
      <c r="CG47" s="145"/>
      <c r="CH47" s="145"/>
      <c r="CI47" s="142"/>
    </row>
    <row r="48" spans="1:87" ht="13.5" customHeight="1">
      <c r="B48" s="80">
        <v>441</v>
      </c>
      <c r="C48" s="93" t="s">
        <v>130</v>
      </c>
      <c r="D48" s="154">
        <f>+IF(ISNUMBER(VLOOKUP($B48,'Cental Budget'!$B$16:$K$75,'Public Expenditure'!D$1,FALSE)),VLOOKUP($B48,'Cental Budget'!$B$16:$K$75,'Public Expenditure'!D$1,FALSE),0)+IF(ISNUMBER(VLOOKUP('Public Expenditure'!$B48,'Local Government'!$B$16:$O$75,'Public Expenditure'!D$1,FALSE)),VLOOKUP('Public Expenditure'!$B48,'Local Government'!$B$16:$O$75,'Public Expenditure'!D$1,FALSE),0)</f>
        <v>9755726.410000002</v>
      </c>
      <c r="E48" s="252">
        <f t="shared" si="0"/>
        <v>0.26649893217144266</v>
      </c>
      <c r="F48" s="154">
        <f>+IF(ISNUMBER(VLOOKUP($B48,'Cental Budget'!$B$16:$K$75,'Public Expenditure'!F$1,FALSE)),VLOOKUP($B48,'Cental Budget'!$B$16:$K$75,'Public Expenditure'!F$1,FALSE),0)+IF(ISNUMBER(VLOOKUP('Public Expenditure'!$B48,'Local Government'!$B$16:$O$75,'Public Expenditure'!F$1,FALSE)),VLOOKUP('Public Expenditure'!$B48,'Local Government'!$B$16:$O$75,'Public Expenditure'!F$1,FALSE),0)</f>
        <v>10387407.907499997</v>
      </c>
      <c r="G48" s="252">
        <f t="shared" si="2"/>
        <v>0.28375468919878705</v>
      </c>
      <c r="H48" s="209">
        <f>+D48-F48</f>
        <v>-631681.49749999493</v>
      </c>
      <c r="I48" s="258">
        <f t="shared" si="4"/>
        <v>-6.08122356535074</v>
      </c>
      <c r="J48" s="154">
        <f>+IF(ISNUMBER(VLOOKUP($B48,'Cental Budget'!$B$16:$K$75,'Public Expenditure'!J$1,FALSE)),VLOOKUP($B48,'Cental Budget'!$B$16:$K$75,'Public Expenditure'!J$1,FALSE),0)+IF(ISNUMBER(VLOOKUP('Public Expenditure'!$B48,'Local Government'!$B$16:$O$75,'Public Expenditure'!J$1,FALSE)),VLOOKUP('Public Expenditure'!$B48,'Local Government'!$B$16:$O$75,'Public Expenditure'!J$1,FALSE),0)</f>
        <v>6101079.2699999996</v>
      </c>
      <c r="K48" s="252">
        <f t="shared" si="1"/>
        <v>0.17643885797738512</v>
      </c>
      <c r="L48" s="209">
        <f t="shared" si="5"/>
        <v>3654647.1400000025</v>
      </c>
      <c r="M48" s="258">
        <f t="shared" si="6"/>
        <v>59.901649827277225</v>
      </c>
      <c r="O48" s="81"/>
      <c r="P48" s="215"/>
      <c r="Q48" s="81"/>
      <c r="R48" s="81"/>
      <c r="CD48" s="161"/>
      <c r="CE48" s="161"/>
      <c r="CF48" s="145"/>
      <c r="CG48" s="145"/>
      <c r="CH48" s="145"/>
      <c r="CI48" s="142"/>
    </row>
    <row r="49" spans="1:87" ht="13.5" customHeight="1">
      <c r="A49" s="80">
        <v>42</v>
      </c>
      <c r="B49" s="80" t="s">
        <v>428</v>
      </c>
      <c r="C49" s="93" t="s">
        <v>87</v>
      </c>
      <c r="D49" s="94">
        <f>+IF(ISNUMBER(VLOOKUP($B49,'Cental Budget'!$B$16:$K$75,'Public Expenditure'!D$1,FALSE)),VLOOKUP($B49,'Cental Budget'!$B$16:$K$75,'Public Expenditure'!D$1,FALSE),0)+IF(ISNUMBER(VLOOKUP('Public Expenditure'!$B49,'Local Government'!$B$16:$M$75,'Public Expenditure'!D$1,FALSE)),VLOOKUP('Public Expenditure'!$B49,'Local Government'!$B$16:$M$75,'Public Expenditure'!D$1,FALSE),0)</f>
        <v>364560386.56000018</v>
      </c>
      <c r="E49" s="252">
        <f t="shared" si="0"/>
        <v>9.9587616182697349</v>
      </c>
      <c r="F49" s="94">
        <f>+IF(ISNUMBER(VLOOKUP($B49,'Cental Budget'!$B$16:$K$75,'Public Expenditure'!F$1,FALSE)),VLOOKUP($B49,'Cental Budget'!$B$16:$K$75,'Public Expenditure'!F$1,FALSE),0)+IF(ISNUMBER(VLOOKUP('Public Expenditure'!$B49,'Local Government'!$B$16:$M$75,'Public Expenditure'!F$1,FALSE)),VLOOKUP('Public Expenditure'!$B49,'Local Government'!$B$16:$M$75,'Public Expenditure'!F$1,FALSE),0)</f>
        <v>379096600.21316248</v>
      </c>
      <c r="G49" s="252">
        <f t="shared" si="2"/>
        <v>10.355849979871676</v>
      </c>
      <c r="H49" s="207">
        <f t="shared" si="3"/>
        <v>-14536213.653162301</v>
      </c>
      <c r="I49" s="258">
        <f t="shared" si="4"/>
        <v>-3.8344352455254693</v>
      </c>
      <c r="J49" s="94">
        <f>+IF(ISNUMBER(VLOOKUP($B49,'Cental Budget'!$B$16:$K$75,'Public Expenditure'!J$1,FALSE)),VLOOKUP($B49,'Cental Budget'!$B$16:$K$75,'Public Expenditure'!J$1,FALSE),0)+IF(ISNUMBER(VLOOKUP('Public Expenditure'!$B49,'Local Government'!$B$16:$M$75,'Public Expenditure'!J$1,FALSE)),VLOOKUP('Public Expenditure'!$B49,'Local Government'!$B$16:$M$75,'Public Expenditure'!J$1,FALSE),0)</f>
        <v>368105753.03999996</v>
      </c>
      <c r="K49" s="252">
        <f t="shared" si="1"/>
        <v>10.645355650539344</v>
      </c>
      <c r="L49" s="207">
        <f t="shared" si="5"/>
        <v>-3545366.4799997807</v>
      </c>
      <c r="M49" s="258">
        <f t="shared" si="6"/>
        <v>-0.96313802507033586</v>
      </c>
      <c r="O49" s="215"/>
      <c r="P49" s="81"/>
      <c r="Q49" s="81"/>
      <c r="R49" s="81"/>
      <c r="CD49" s="161"/>
      <c r="CE49" s="161"/>
      <c r="CF49" s="145"/>
      <c r="CG49" s="145"/>
      <c r="CH49" s="145"/>
      <c r="CI49" s="142"/>
    </row>
    <row r="50" spans="1:87" ht="13.5" customHeight="1">
      <c r="B50" s="80">
        <v>421</v>
      </c>
      <c r="C50" s="97" t="s">
        <v>89</v>
      </c>
      <c r="D50" s="156">
        <f>+IF(ISNUMBER(VLOOKUP($B50,'Cental Budget'!$B$16:$K$75,'Public Expenditure'!D$1,FALSE)),VLOOKUP($B50,'Cental Budget'!$B$16:$K$75,'Public Expenditure'!D$1,FALSE),0)+IF(ISNUMBER(VLOOKUP('Public Expenditure'!$B50,'Local Government'!$B$16:$O$75,'Public Expenditure'!D$1,FALSE)),VLOOKUP('Public Expenditure'!$B50,'Local Government'!$B$16:$O$75,'Public Expenditure'!D$1,FALSE),0)</f>
        <v>45263221.549999997</v>
      </c>
      <c r="E50" s="251">
        <f t="shared" si="0"/>
        <v>1.2364635602480401</v>
      </c>
      <c r="F50" s="156">
        <f>+IF(ISNUMBER(VLOOKUP($B50,'Cental Budget'!$B$16:$K$75,'Public Expenditure'!F$1,FALSE)),VLOOKUP($B50,'Cental Budget'!$B$16:$K$75,'Public Expenditure'!F$1,FALSE),0)+IF(ISNUMBER(VLOOKUP('Public Expenditure'!$B50,'Local Government'!$B$16:$O$75,'Public Expenditure'!F$1,FALSE)),VLOOKUP('Public Expenditure'!$B50,'Local Government'!$B$16:$O$75,'Public Expenditure'!F$1,FALSE),0)</f>
        <v>45860425.213162497</v>
      </c>
      <c r="G50" s="251">
        <f t="shared" si="2"/>
        <v>1.2527774800765563</v>
      </c>
      <c r="H50" s="210">
        <f t="shared" si="3"/>
        <v>-597203.66316249967</v>
      </c>
      <c r="I50" s="257">
        <f t="shared" si="4"/>
        <v>-1.3022200740325758</v>
      </c>
      <c r="J50" s="156">
        <f>+IF(ISNUMBER(VLOOKUP($B50,'Cental Budget'!$B$16:$K$75,'Public Expenditure'!J$1,FALSE)),VLOOKUP($B50,'Cental Budget'!$B$16:$K$75,'Public Expenditure'!J$1,FALSE),0)+IF(ISNUMBER(VLOOKUP('Public Expenditure'!$B50,'Local Government'!$B$16:$O$75,'Public Expenditure'!J$1,FALSE)),VLOOKUP('Public Expenditure'!$B50,'Local Government'!$B$16:$O$75,'Public Expenditure'!J$1,FALSE),0)</f>
        <v>46187831.689999998</v>
      </c>
      <c r="K50" s="251">
        <f t="shared" si="1"/>
        <v>1.3357191269267474</v>
      </c>
      <c r="L50" s="210">
        <f t="shared" si="5"/>
        <v>-924610.1400000006</v>
      </c>
      <c r="M50" s="257">
        <f t="shared" si="6"/>
        <v>-2.0018479027240943</v>
      </c>
      <c r="O50" s="81"/>
      <c r="P50" s="81"/>
      <c r="Q50" s="81"/>
      <c r="R50" s="81"/>
      <c r="CD50" s="161"/>
      <c r="CE50" s="161"/>
      <c r="CF50" s="145"/>
      <c r="CG50" s="145"/>
      <c r="CH50" s="145"/>
      <c r="CI50" s="142"/>
    </row>
    <row r="51" spans="1:87" ht="13.5" customHeight="1">
      <c r="B51" s="80">
        <v>422</v>
      </c>
      <c r="C51" s="97" t="s">
        <v>91</v>
      </c>
      <c r="D51" s="156">
        <f>+IF(ISNUMBER(VLOOKUP($B51,'Cental Budget'!$B$16:$K$75,'Public Expenditure'!D$1,FALSE)),VLOOKUP($B51,'Cental Budget'!$B$16:$K$75,'Public Expenditure'!D$1,FALSE),0)+IF(ISNUMBER(VLOOKUP('Public Expenditure'!$B51,'Local Government'!$B$16:$O$75,'Public Expenditure'!D$1,FALSE)),VLOOKUP('Public Expenditure'!$B51,'Local Government'!$B$16:$O$75,'Public Expenditure'!D$1,FALSE),0)</f>
        <v>13046157.02</v>
      </c>
      <c r="E51" s="251">
        <f t="shared" si="0"/>
        <v>0.35638421667986997</v>
      </c>
      <c r="F51" s="156">
        <f>+IF(ISNUMBER(VLOOKUP($B51,'Cental Budget'!$B$16:$K$75,'Public Expenditure'!F$1,FALSE)),VLOOKUP($B51,'Cental Budget'!$B$16:$K$75,'Public Expenditure'!F$1,FALSE),0)+IF(ISNUMBER(VLOOKUP('Public Expenditure'!$B51,'Local Government'!$B$16:$O$75,'Public Expenditure'!F$1,FALSE)),VLOOKUP('Public Expenditure'!$B51,'Local Government'!$B$16:$O$75,'Public Expenditure'!F$1,FALSE),0)</f>
        <v>14580000</v>
      </c>
      <c r="G51" s="251">
        <f t="shared" si="2"/>
        <v>0.39828448111017017</v>
      </c>
      <c r="H51" s="210">
        <f t="shared" si="3"/>
        <v>-1533842.9800000004</v>
      </c>
      <c r="I51" s="257">
        <f t="shared" si="4"/>
        <v>-10.520185048010973</v>
      </c>
      <c r="J51" s="156">
        <f>+IF(ISNUMBER(VLOOKUP($B51,'Cental Budget'!$B$16:$K$75,'Public Expenditure'!J$1,FALSE)),VLOOKUP($B51,'Cental Budget'!$B$16:$K$75,'Public Expenditure'!J$1,FALSE),0)+IF(ISNUMBER(VLOOKUP('Public Expenditure'!$B51,'Local Government'!$B$16:$O$75,'Public Expenditure'!J$1,FALSE)),VLOOKUP('Public Expenditure'!$B51,'Local Government'!$B$16:$O$75,'Public Expenditure'!J$1,FALSE),0)</f>
        <v>17052455.699999999</v>
      </c>
      <c r="K51" s="251">
        <f t="shared" si="1"/>
        <v>0.4931448480291506</v>
      </c>
      <c r="L51" s="210">
        <f t="shared" si="5"/>
        <v>-4006298.6799999997</v>
      </c>
      <c r="M51" s="257">
        <f t="shared" si="6"/>
        <v>-23.493969141347776</v>
      </c>
      <c r="O51" s="81"/>
      <c r="P51" s="81"/>
      <c r="Q51" s="81"/>
      <c r="R51" s="81"/>
      <c r="CD51" s="161"/>
      <c r="CE51" s="161"/>
      <c r="CF51" s="145"/>
      <c r="CG51" s="145"/>
      <c r="CH51" s="145"/>
      <c r="CI51" s="142"/>
    </row>
    <row r="52" spans="1:87" ht="13.5" customHeight="1">
      <c r="B52" s="80">
        <v>423</v>
      </c>
      <c r="C52" s="97" t="s">
        <v>93</v>
      </c>
      <c r="D52" s="156">
        <f>+IF(ISNUMBER(VLOOKUP($B52,'Cental Budget'!$B$16:$K$75,'Public Expenditure'!D$1,FALSE)),VLOOKUP($B52,'Cental Budget'!$B$16:$K$75,'Public Expenditure'!D$1,FALSE),0)+IF(ISNUMBER(VLOOKUP('Public Expenditure'!$B52,'Local Government'!$B$16:$O$75,'Public Expenditure'!D$1,FALSE)),VLOOKUP('Public Expenditure'!$B52,'Local Government'!$B$16:$O$75,'Public Expenditure'!D$1,FALSE),0)</f>
        <v>289532440.16000009</v>
      </c>
      <c r="E52" s="251">
        <f t="shared" si="0"/>
        <v>7.9092097183598788</v>
      </c>
      <c r="F52" s="156">
        <f>+IF(ISNUMBER(VLOOKUP($B52,'Cental Budget'!$B$16:$K$75,'Public Expenditure'!F$1,FALSE)),VLOOKUP($B52,'Cental Budget'!$B$16:$K$75,'Public Expenditure'!F$1,FALSE),0)+IF(ISNUMBER(VLOOKUP('Public Expenditure'!$B52,'Local Government'!$B$16:$O$75,'Public Expenditure'!F$1,FALSE)),VLOOKUP('Public Expenditure'!$B52,'Local Government'!$B$16:$O$75,'Public Expenditure'!F$1,FALSE),0)</f>
        <v>301841175</v>
      </c>
      <c r="G52" s="251">
        <f t="shared" si="2"/>
        <v>8.2454496407790856</v>
      </c>
      <c r="H52" s="210">
        <f t="shared" si="3"/>
        <v>-12308734.839999914</v>
      </c>
      <c r="I52" s="257">
        <f t="shared" si="4"/>
        <v>-4.0778846159739146</v>
      </c>
      <c r="J52" s="156">
        <f>+IF(ISNUMBER(VLOOKUP($B52,'Cental Budget'!$B$16:$K$75,'Public Expenditure'!J$1,FALSE)),VLOOKUP($B52,'Cental Budget'!$B$16:$K$75,'Public Expenditure'!J$1,FALSE),0)+IF(ISNUMBER(VLOOKUP('Public Expenditure'!$B52,'Local Government'!$B$16:$O$75,'Public Expenditure'!J$1,FALSE)),VLOOKUP('Public Expenditure'!$B52,'Local Government'!$B$16:$O$75,'Public Expenditure'!J$1,FALSE),0)</f>
        <v>288390330.13</v>
      </c>
      <c r="K52" s="251">
        <f t="shared" si="1"/>
        <v>8.3400425151103263</v>
      </c>
      <c r="L52" s="210">
        <f t="shared" si="5"/>
        <v>1142110.0300000906</v>
      </c>
      <c r="M52" s="257">
        <f t="shared" si="6"/>
        <v>0.39602923908206833</v>
      </c>
      <c r="O52" s="81"/>
      <c r="P52" s="81"/>
      <c r="Q52" s="81"/>
      <c r="R52" s="81"/>
      <c r="CD52" s="161"/>
      <c r="CE52" s="161"/>
      <c r="CF52" s="145"/>
      <c r="CG52" s="145"/>
      <c r="CH52" s="145"/>
      <c r="CI52" s="142"/>
    </row>
    <row r="53" spans="1:87" ht="13.5" customHeight="1">
      <c r="B53" s="80">
        <v>424</v>
      </c>
      <c r="C53" s="97" t="s">
        <v>95</v>
      </c>
      <c r="D53" s="156">
        <f>+IF(ISNUMBER(VLOOKUP($B53,'Cental Budget'!$B$16:$K$75,'Public Expenditure'!D$1,FALSE)),VLOOKUP($B53,'Cental Budget'!$B$16:$K$75,'Public Expenditure'!D$1,FALSE),0)+IF(ISNUMBER(VLOOKUP('Public Expenditure'!$B53,'Local Government'!$B$16:$O$75,'Public Expenditure'!D$1,FALSE)),VLOOKUP('Public Expenditure'!$B53,'Local Government'!$B$16:$O$75,'Public Expenditure'!D$1,FALSE),0)</f>
        <v>10857108.42</v>
      </c>
      <c r="E53" s="251">
        <f t="shared" si="0"/>
        <v>0.29658558253885869</v>
      </c>
      <c r="F53" s="156">
        <f>+IF(ISNUMBER(VLOOKUP($B53,'Cental Budget'!$B$16:$K$75,'Public Expenditure'!F$1,FALSE)),VLOOKUP($B53,'Cental Budget'!$B$16:$K$75,'Public Expenditure'!F$1,FALSE),0)+IF(ISNUMBER(VLOOKUP('Public Expenditure'!$B53,'Local Government'!$B$16:$O$75,'Public Expenditure'!F$1,FALSE)),VLOOKUP('Public Expenditure'!$B53,'Local Government'!$B$16:$O$75,'Public Expenditure'!F$1,FALSE),0)</f>
        <v>11250000</v>
      </c>
      <c r="G53" s="251">
        <f t="shared" si="2"/>
        <v>0.30731827246155108</v>
      </c>
      <c r="H53" s="210">
        <f t="shared" si="3"/>
        <v>-392891.58000000007</v>
      </c>
      <c r="I53" s="257">
        <f t="shared" si="4"/>
        <v>-3.4923696000000035</v>
      </c>
      <c r="J53" s="156">
        <f>+IF(ISNUMBER(VLOOKUP($B53,'Cental Budget'!$B$16:$K$75,'Public Expenditure'!J$1,FALSE)),VLOOKUP($B53,'Cental Budget'!$B$16:$K$75,'Public Expenditure'!J$1,FALSE),0)+IF(ISNUMBER(VLOOKUP('Public Expenditure'!$B53,'Local Government'!$B$16:$O$75,'Public Expenditure'!J$1,FALSE)),VLOOKUP('Public Expenditure'!$B53,'Local Government'!$B$16:$O$75,'Public Expenditure'!J$1,FALSE),0)</f>
        <v>10816800</v>
      </c>
      <c r="K53" s="251">
        <f t="shared" si="1"/>
        <v>0.31281413574712974</v>
      </c>
      <c r="L53" s="210">
        <f t="shared" si="5"/>
        <v>40308.419999999925</v>
      </c>
      <c r="M53" s="257">
        <f t="shared" si="6"/>
        <v>0.37264643887286297</v>
      </c>
      <c r="O53" s="81"/>
      <c r="P53" s="81"/>
      <c r="Q53" s="81"/>
      <c r="R53" s="81"/>
      <c r="CD53" s="161"/>
      <c r="CE53" s="161"/>
      <c r="CF53" s="145"/>
      <c r="CG53" s="145"/>
      <c r="CH53" s="145"/>
      <c r="CI53" s="142"/>
    </row>
    <row r="54" spans="1:87" ht="13.5" customHeight="1">
      <c r="B54" s="80">
        <v>425</v>
      </c>
      <c r="C54" s="97" t="s">
        <v>432</v>
      </c>
      <c r="D54" s="156">
        <f>+IF(ISNUMBER(VLOOKUP($B54,'Cental Budget'!$B$16:$K$75,'Public Expenditure'!D$1,FALSE)),VLOOKUP($B54,'Cental Budget'!$B$16:$K$75,'Public Expenditure'!D$1,FALSE),0)+IF(ISNUMBER(VLOOKUP('Public Expenditure'!$B54,'Local Government'!$B$16:$O$75,'Public Expenditure'!D$1,FALSE)),VLOOKUP('Public Expenditure'!$B54,'Local Government'!$B$16:$O$75,'Public Expenditure'!D$1,FALSE),0)</f>
        <v>5861459.4099999992</v>
      </c>
      <c r="E54" s="251">
        <f t="shared" si="0"/>
        <v>0.16011854044308466</v>
      </c>
      <c r="F54" s="156">
        <f>+IF(ISNUMBER(VLOOKUP($B54,'Cental Budget'!$B$16:$K$75,'Public Expenditure'!F$1,FALSE)),VLOOKUP($B54,'Cental Budget'!$B$16:$K$75,'Public Expenditure'!F$1,FALSE),0)+IF(ISNUMBER(VLOOKUP('Public Expenditure'!$B54,'Local Government'!$B$16:$O$75,'Public Expenditure'!F$1,FALSE)),VLOOKUP('Public Expenditure'!$B54,'Local Government'!$B$16:$O$75,'Public Expenditure'!F$1,FALSE),0)</f>
        <v>5564999.9999999981</v>
      </c>
      <c r="G54" s="251">
        <f t="shared" si="2"/>
        <v>0.15202010544431388</v>
      </c>
      <c r="H54" s="210">
        <f t="shared" si="3"/>
        <v>296459.41000000108</v>
      </c>
      <c r="I54" s="257">
        <f t="shared" si="4"/>
        <v>5.3272131176999267</v>
      </c>
      <c r="J54" s="156">
        <f>+IF(ISNUMBER(VLOOKUP($B54,'Cental Budget'!$B$16:$K$75,'Public Expenditure'!J$1,FALSE)),VLOOKUP($B54,'Cental Budget'!$B$16:$K$75,'Public Expenditure'!J$1,FALSE),0)+IF(ISNUMBER(VLOOKUP('Public Expenditure'!$B54,'Local Government'!$B$16:$O$75,'Public Expenditure'!J$1,FALSE)),VLOOKUP('Public Expenditure'!$B54,'Local Government'!$B$16:$O$75,'Public Expenditure'!J$1,FALSE),0)</f>
        <v>5658335.5200000005</v>
      </c>
      <c r="K54" s="251">
        <f t="shared" si="1"/>
        <v>0.16363502472598979</v>
      </c>
      <c r="L54" s="210">
        <f t="shared" si="5"/>
        <v>203123.88999999873</v>
      </c>
      <c r="M54" s="257">
        <f t="shared" si="6"/>
        <v>3.5898169926833674</v>
      </c>
      <c r="O54" s="81"/>
      <c r="P54" s="81"/>
      <c r="Q54" s="81"/>
      <c r="R54" s="81"/>
      <c r="CD54" s="161"/>
      <c r="CE54" s="161"/>
      <c r="CF54" s="145"/>
      <c r="CG54" s="145"/>
      <c r="CH54" s="145"/>
      <c r="CI54" s="142"/>
    </row>
    <row r="55" spans="1:87" ht="13.5" customHeight="1">
      <c r="A55" s="80">
        <v>43</v>
      </c>
      <c r="C55" s="93" t="s">
        <v>433</v>
      </c>
      <c r="D55" s="94">
        <f>+SUM(D56:D57)</f>
        <v>116125105.58000003</v>
      </c>
      <c r="E55" s="252">
        <f t="shared" si="0"/>
        <v>3.1722103854454073</v>
      </c>
      <c r="F55" s="94">
        <f>+SUM(F56:F57)</f>
        <v>122296125.1146</v>
      </c>
      <c r="G55" s="252">
        <f t="shared" si="2"/>
        <v>3.3407852354631631</v>
      </c>
      <c r="H55" s="207">
        <f t="shared" si="3"/>
        <v>-6171019.5345999748</v>
      </c>
      <c r="I55" s="258">
        <f t="shared" si="4"/>
        <v>-5.045964889580361</v>
      </c>
      <c r="J55" s="94">
        <f>+SUM(J56:J57)</f>
        <v>91761781.590000018</v>
      </c>
      <c r="K55" s="252">
        <f t="shared" si="1"/>
        <v>2.6536852306313086</v>
      </c>
      <c r="L55" s="207">
        <f t="shared" si="5"/>
        <v>24363323.99000001</v>
      </c>
      <c r="M55" s="258">
        <f t="shared" si="6"/>
        <v>26.550622239286454</v>
      </c>
      <c r="O55" s="212"/>
      <c r="P55" s="81"/>
      <c r="Q55" s="81"/>
      <c r="R55" s="81"/>
      <c r="CD55" s="161"/>
      <c r="CE55" s="161"/>
      <c r="CF55" s="145"/>
      <c r="CG55" s="145"/>
      <c r="CH55" s="145"/>
      <c r="CI55" s="142"/>
    </row>
    <row r="56" spans="1:87" ht="13.5" customHeight="1">
      <c r="A56" s="80">
        <v>999</v>
      </c>
      <c r="B56" s="80">
        <v>431</v>
      </c>
      <c r="C56" s="97" t="s">
        <v>433</v>
      </c>
      <c r="D56" s="156">
        <f>+IF(ISNUMBER(VLOOKUP($B56,'Cental Budget'!$B$16:$K$75,'Public Expenditure'!D$1,FALSE)),VLOOKUP($B56,'Cental Budget'!$B$16:$K$75,'Public Expenditure'!D$1,FALSE),0)+IF(ISNUMBER(VLOOKUP('Public Expenditure'!$B56,'Local Government'!$B$16:$O$75,'Public Expenditure'!D$1,FALSE)),VLOOKUP('Public Expenditure'!$B56,'Local Government'!$B$16:$O$75,'Public Expenditure'!D$1,FALSE),0)-'Local Government'!D75</f>
        <v>105217221.18000002</v>
      </c>
      <c r="E56" s="251">
        <f t="shared" si="0"/>
        <v>2.8742377463326694</v>
      </c>
      <c r="F56" s="156">
        <f>+IF(ISNUMBER(VLOOKUP($B56,'Cental Budget'!$B$16:$K$75,'Public Expenditure'!F$1,FALSE)),VLOOKUP($B56,'Cental Budget'!$B$16:$K$75,'Public Expenditure'!F$1,FALSE),0)+IF(ISNUMBER(VLOOKUP('Public Expenditure'!$B56,'Local Government'!$B$16:$O$75,'Public Expenditure'!F$1,FALSE)),VLOOKUP('Public Expenditure'!$B56,'Local Government'!$B$16:$O$75,'Public Expenditure'!F$1,FALSE),0)-'Local Government'!F75</f>
        <v>110600196.296175</v>
      </c>
      <c r="G56" s="251">
        <f t="shared" si="2"/>
        <v>3.0212854453021283</v>
      </c>
      <c r="H56" s="210">
        <f t="shared" si="3"/>
        <v>-5382975.116174981</v>
      </c>
      <c r="I56" s="257">
        <f t="shared" si="4"/>
        <v>-4.8670574704587182</v>
      </c>
      <c r="J56" s="156">
        <f>+IF(ISNUMBER(VLOOKUP($B56,'Cental Budget'!$B$16:$K$75,'Public Expenditure'!J$1,FALSE)),VLOOKUP($B56,'Cental Budget'!$B$16:$K$75,'Public Expenditure'!J$1,FALSE),0)+IF(ISNUMBER(VLOOKUP('Public Expenditure'!$B56,'Local Government'!$B$16:$O$75,'Public Expenditure'!J$1,FALSE)),VLOOKUP('Public Expenditure'!$B56,'Local Government'!$B$16:$O$75,'Public Expenditure'!J$1,FALSE),0)-'Local Government'!J75</f>
        <v>82152616.810000017</v>
      </c>
      <c r="K56" s="251">
        <f t="shared" si="1"/>
        <v>2.3757950435235262</v>
      </c>
      <c r="L56" s="210">
        <f t="shared" si="5"/>
        <v>23064604.370000005</v>
      </c>
      <c r="M56" s="257">
        <f t="shared" si="6"/>
        <v>28.075313076567113</v>
      </c>
      <c r="N56" s="229"/>
      <c r="O56" s="81"/>
      <c r="P56" s="81"/>
      <c r="Q56" s="81"/>
      <c r="R56" s="81"/>
      <c r="CD56" s="161"/>
      <c r="CE56" s="161"/>
      <c r="CF56" s="145"/>
      <c r="CG56" s="145"/>
      <c r="CH56" s="145"/>
      <c r="CI56" s="142"/>
    </row>
    <row r="57" spans="1:87" ht="13.5" customHeight="1" thickBot="1">
      <c r="A57" s="80" t="s">
        <v>428</v>
      </c>
      <c r="B57" s="80">
        <v>432</v>
      </c>
      <c r="C57" s="97" t="s">
        <v>434</v>
      </c>
      <c r="D57" s="156">
        <f>+IF(ISNUMBER(VLOOKUP($B57,'Cental Budget'!$B$16:$K$75,'Public Expenditure'!D$1,FALSE)),VLOOKUP($B57,'Cental Budget'!$B$16:$K$75,'Public Expenditure'!D$1,FALSE),0)+IF(ISNUMBER(VLOOKUP('Public Expenditure'!$B57,'Local Government'!$B$16:$O$75,'Public Expenditure'!D$1,FALSE)),VLOOKUP('Public Expenditure'!$B57,'Local Government'!$B$16:$O$75,'Public Expenditure'!D$1,FALSE),0)</f>
        <v>10907884.400000002</v>
      </c>
      <c r="E57" s="251">
        <f t="shared" si="0"/>
        <v>0.29797263911273808</v>
      </c>
      <c r="F57" s="156">
        <f>+IF(ISNUMBER(VLOOKUP($B57,'Cental Budget'!$B$16:$K$75,'Public Expenditure'!F$1,FALSE)),VLOOKUP($B57,'Cental Budget'!$B$16:$K$75,'Public Expenditure'!F$1,FALSE),0)+IF(ISNUMBER(VLOOKUP('Public Expenditure'!$B57,'Local Government'!$B$16:$O$75,'Public Expenditure'!F$1,FALSE)),VLOOKUP('Public Expenditure'!$B57,'Local Government'!$B$16:$O$75,'Public Expenditure'!F$1,FALSE),0)</f>
        <v>11695928.818425</v>
      </c>
      <c r="G57" s="251">
        <f t="shared" si="2"/>
        <v>0.3194997901610348</v>
      </c>
      <c r="H57" s="210">
        <f t="shared" si="3"/>
        <v>-788044.41842499748</v>
      </c>
      <c r="I57" s="257"/>
      <c r="J57" s="156">
        <f>+IF(ISNUMBER(VLOOKUP($B57,'Cental Budget'!$B$16:$K$75,'Public Expenditure'!J$1,FALSE)),VLOOKUP($B57,'Cental Budget'!$B$16:$K$75,'Public Expenditure'!J$1,FALSE),0)+IF(ISNUMBER(VLOOKUP('Public Expenditure'!$B57,'Local Government'!$B$16:$O$75,'Public Expenditure'!J$1,FALSE)),VLOOKUP('Public Expenditure'!$B57,'Local Government'!$B$16:$O$75,'Public Expenditure'!J$1,FALSE),0)</f>
        <v>9609164.7799999993</v>
      </c>
      <c r="K57" s="251">
        <f t="shared" si="1"/>
        <v>0.27789018710778218</v>
      </c>
      <c r="L57" s="210">
        <f t="shared" si="5"/>
        <v>1298719.6200000029</v>
      </c>
      <c r="M57" s="257">
        <f t="shared" si="6"/>
        <v>13.515426675823988</v>
      </c>
      <c r="N57" s="220"/>
      <c r="O57" s="81"/>
      <c r="P57" s="81"/>
      <c r="Q57" s="81"/>
      <c r="R57" s="81"/>
      <c r="CD57" s="161"/>
      <c r="CE57" s="161"/>
      <c r="CF57" s="145"/>
      <c r="CG57" s="145"/>
      <c r="CH57" s="145"/>
      <c r="CI57" s="142"/>
    </row>
    <row r="58" spans="1:87" ht="13.5" customHeight="1" thickTop="1" thickBot="1">
      <c r="B58" s="80">
        <v>44</v>
      </c>
      <c r="C58" s="178" t="s">
        <v>281</v>
      </c>
      <c r="D58" s="177">
        <f>+IF(ISNUMBER(VLOOKUP($B58,'Cental Budget'!$B$16:$K$75,'Public Expenditure'!D$1,FALSE)),VLOOKUP($B58,'Cental Budget'!$B$16:$K$75,'Public Expenditure'!D$1,FALSE),0)+IF(ISNUMBER(VLOOKUP('Public Expenditure'!$B58,'Local Government'!$B$16:$O$75,'Public Expenditure'!D$1,FALSE)),VLOOKUP('Public Expenditure'!$B58,'Local Government'!$B$16:$O$75,'Public Expenditure'!D$1,FALSE),0)</f>
        <v>219279600.04000002</v>
      </c>
      <c r="E58" s="249">
        <f t="shared" si="0"/>
        <v>5.9901002551424591</v>
      </c>
      <c r="F58" s="177">
        <f>+IF(ISNUMBER(VLOOKUP($B58,'Cental Budget'!$B$16:$K$75,'Public Expenditure'!F$1,FALSE)),VLOOKUP($B58,'Cental Budget'!$B$16:$K$75,'Public Expenditure'!F$1,FALSE),0)+IF(ISNUMBER(VLOOKUP('Public Expenditure'!$B58,'Local Government'!$B$16:$O$75,'Public Expenditure'!F$1,FALSE)),VLOOKUP('Public Expenditure'!$B58,'Local Government'!$B$16:$O$75,'Public Expenditure'!F$1,FALSE),0)</f>
        <v>243522807.74999997</v>
      </c>
      <c r="G58" s="249">
        <f t="shared" si="2"/>
        <v>6.6523563184636814</v>
      </c>
      <c r="H58" s="177">
        <f t="shared" si="3"/>
        <v>-24243207.709999949</v>
      </c>
      <c r="I58" s="249">
        <f t="shared" si="4"/>
        <v>-9.9552103287540774</v>
      </c>
      <c r="J58" s="177">
        <f>+IF(ISNUMBER(VLOOKUP($B58,'Cental Budget'!$B$16:$K$75,'Public Expenditure'!J$1,FALSE)),VLOOKUP($B58,'Cental Budget'!$B$16:$K$75,'Public Expenditure'!J$1,FALSE),0)+IF(ISNUMBER(VLOOKUP('Public Expenditure'!$B58,'Local Government'!$B$16:$O$75,'Public Expenditure'!J$1,FALSE)),VLOOKUP('Public Expenditure'!$B58,'Local Government'!$B$16:$O$75,'Public Expenditure'!J$1,FALSE),0)</f>
        <v>72290959.530000001</v>
      </c>
      <c r="K58" s="249">
        <f t="shared" si="1"/>
        <v>2.090602953526707</v>
      </c>
      <c r="L58" s="177">
        <f t="shared" si="5"/>
        <v>146988640.51000002</v>
      </c>
      <c r="M58" s="249">
        <f t="shared" si="6"/>
        <v>203.32921497466259</v>
      </c>
      <c r="O58" s="212"/>
      <c r="P58" s="81"/>
      <c r="Q58" s="81"/>
      <c r="R58" s="81"/>
      <c r="CD58" s="161"/>
      <c r="CE58" s="161"/>
      <c r="CF58" s="145"/>
      <c r="CG58" s="145"/>
      <c r="CH58" s="145"/>
      <c r="CI58" s="142"/>
    </row>
    <row r="59" spans="1:87" ht="13.5" customHeight="1" thickTop="1">
      <c r="B59" s="80">
        <v>451</v>
      </c>
      <c r="C59" s="93" t="s">
        <v>111</v>
      </c>
      <c r="D59" s="154">
        <f>+IF(ISNUMBER(VLOOKUP($B59,'Cental Budget'!$B$16:$K$75,'Public Expenditure'!D$1,FALSE)),VLOOKUP($B59,'Cental Budget'!$B$16:$K$75,'Public Expenditure'!D$1,FALSE),0)+IF(ISNUMBER(VLOOKUP('Public Expenditure'!$B59,'Local Government'!$B$16:$O$75,'Public Expenditure'!D$1,FALSE)),VLOOKUP('Public Expenditure'!$B59,'Local Government'!$B$16:$O$75,'Public Expenditure'!D$1,FALSE),0)</f>
        <v>2507525.36</v>
      </c>
      <c r="E59" s="252">
        <f t="shared" si="0"/>
        <v>6.849852104788702E-2</v>
      </c>
      <c r="F59" s="154">
        <f>+IF(ISNUMBER(VLOOKUP($B59,'Cental Budget'!$B$16:$K$75,'Public Expenditure'!F$1,FALSE)),VLOOKUP($B59,'Cental Budget'!$B$16:$K$75,'Public Expenditure'!F$1,FALSE),0)+IF(ISNUMBER(VLOOKUP('Public Expenditure'!$B59,'Local Government'!$B$16:$O$75,'Public Expenditure'!F$1,FALSE)),VLOOKUP('Public Expenditure'!$B59,'Local Government'!$B$16:$O$75,'Public Expenditure'!F$1,FALSE),0)</f>
        <v>3370812.8453347501</v>
      </c>
      <c r="G59" s="252">
        <f t="shared" si="2"/>
        <v>9.208110048173164E-2</v>
      </c>
      <c r="H59" s="209">
        <f t="shared" si="3"/>
        <v>-863287.48533475026</v>
      </c>
      <c r="I59" s="258">
        <f t="shared" si="4"/>
        <v>-25.61066202561652</v>
      </c>
      <c r="J59" s="154">
        <f>+IF(ISNUMBER(VLOOKUP($B59,'Cental Budget'!$B$16:$K$75,'Public Expenditure'!J$1,FALSE)),VLOOKUP($B59,'Cental Budget'!$B$16:$K$75,'Public Expenditure'!J$1,FALSE),0)+IF(ISNUMBER(VLOOKUP('Public Expenditure'!$B59,'Local Government'!$B$16:$O$75,'Public Expenditure'!J$1,FALSE)),VLOOKUP('Public Expenditure'!$B59,'Local Government'!$B$16:$O$75,'Public Expenditure'!J$1,FALSE),0)</f>
        <v>2541746.4</v>
      </c>
      <c r="K59" s="252">
        <f t="shared" si="1"/>
        <v>7.3505491772463058E-2</v>
      </c>
      <c r="L59" s="209">
        <f t="shared" si="5"/>
        <v>-34221.040000000037</v>
      </c>
      <c r="M59" s="258">
        <f t="shared" si="6"/>
        <v>-1.3463593378159118</v>
      </c>
      <c r="O59" s="212"/>
      <c r="P59" s="81"/>
      <c r="Q59" s="81"/>
      <c r="R59" s="81"/>
      <c r="CD59" s="161"/>
      <c r="CE59" s="161"/>
      <c r="CF59" s="145"/>
      <c r="CG59" s="145"/>
      <c r="CH59" s="145"/>
      <c r="CI59" s="142"/>
    </row>
    <row r="60" spans="1:87" ht="13.5" customHeight="1" thickBot="1">
      <c r="B60" s="80">
        <v>47</v>
      </c>
      <c r="C60" s="93" t="s">
        <v>118</v>
      </c>
      <c r="D60" s="154">
        <f>+IF(ISNUMBER(VLOOKUP($B60,'Cental Budget'!$B$16:$K$75,'Public Expenditure'!D$1,FALSE)),VLOOKUP($B60,'Cental Budget'!$B$16:$K$75,'Public Expenditure'!D$1,FALSE),0)+IF(ISNUMBER(VLOOKUP('Public Expenditure'!$B60,'Local Government'!$B$16:$O$75,'Public Expenditure'!D$1,FALSE)),VLOOKUP('Public Expenditure'!$B60,'Local Government'!$B$16:$O$75,'Public Expenditure'!D$1,FALSE),0)</f>
        <v>15330809.91</v>
      </c>
      <c r="E60" s="252">
        <f t="shared" si="0"/>
        <v>0.41879449039801131</v>
      </c>
      <c r="F60" s="154">
        <f>+IF(ISNUMBER(VLOOKUP($B60,'Cental Budget'!$B$16:$K$75,'Public Expenditure'!F$1,FALSE)),VLOOKUP($B60,'Cental Budget'!$B$16:$K$75,'Public Expenditure'!F$1,FALSE),0)+IF(ISNUMBER(VLOOKUP('Public Expenditure'!$B60,'Local Government'!$B$16:$O$75,'Public Expenditure'!F$1,FALSE)),VLOOKUP('Public Expenditure'!$B60,'Local Government'!$B$16:$O$75,'Public Expenditure'!F$1,FALSE),0)</f>
        <v>12041372.5725</v>
      </c>
      <c r="G60" s="252">
        <f t="shared" si="2"/>
        <v>0.3289363392930314</v>
      </c>
      <c r="H60" s="209">
        <f t="shared" si="3"/>
        <v>3289437.3375000004</v>
      </c>
      <c r="I60" s="258">
        <f t="shared" si="4"/>
        <v>27.317793861909024</v>
      </c>
      <c r="J60" s="154">
        <f>+IF(ISNUMBER(VLOOKUP($B60,'Cental Budget'!$B$16:$K$75,'Public Expenditure'!J$1,FALSE)),VLOOKUP($B60,'Cental Budget'!$B$16:$K$75,'Public Expenditure'!J$1,FALSE),0)+IF(ISNUMBER(VLOOKUP('Public Expenditure'!$B60,'Local Government'!$B$16:$O$75,'Public Expenditure'!J$1,FALSE)),VLOOKUP('Public Expenditure'!$B60,'Local Government'!$B$16:$O$75,'Public Expenditure'!J$1,FALSE),0)</f>
        <v>10554263.559999999</v>
      </c>
      <c r="K60" s="252">
        <f t="shared" si="1"/>
        <v>0.30522176928193406</v>
      </c>
      <c r="L60" s="209">
        <f t="shared" si="5"/>
        <v>4776546.3500000015</v>
      </c>
      <c r="M60" s="258">
        <f t="shared" si="6"/>
        <v>45.257031178402769</v>
      </c>
      <c r="O60" s="212"/>
      <c r="P60" s="81"/>
      <c r="Q60" s="81"/>
      <c r="R60" s="81"/>
      <c r="CD60" s="161"/>
      <c r="CE60" s="161"/>
      <c r="CF60" s="145"/>
      <c r="CG60" s="145"/>
      <c r="CH60" s="145"/>
      <c r="CI60" s="142"/>
    </row>
    <row r="61" spans="1:87" ht="13.5" customHeight="1" thickTop="1" thickBot="1">
      <c r="B61" s="80">
        <v>462</v>
      </c>
      <c r="C61" s="148" t="s">
        <v>113</v>
      </c>
      <c r="D61" s="163">
        <f>+IF(ISNUMBER(VLOOKUP($B61,'Cental Budget'!$B$16:$K$75,'Public Expenditure'!D$1,FALSE)),VLOOKUP($B61,'Cental Budget'!$B$16:$K$75,'Public Expenditure'!D$1,FALSE),0)+IF(ISNUMBER(VLOOKUP('Public Expenditure'!$B61,'Local Government'!$B$16:$O$75,'Public Expenditure'!D$1,FALSE)),VLOOKUP('Public Expenditure'!$B61,'Local Government'!$B$16:$O$75,'Public Expenditure'!D$1,FALSE),0)</f>
        <v>0</v>
      </c>
      <c r="E61" s="253">
        <f t="shared" si="0"/>
        <v>0</v>
      </c>
      <c r="F61" s="163">
        <f>+IF(ISNUMBER(VLOOKUP($B61,'Cental Budget'!$B$16:$K$75,'Public Expenditure'!F$1,FALSE)),VLOOKUP($B61,'Cental Budget'!$B$16:$K$75,'Public Expenditure'!F$1,FALSE),0)+IF(ISNUMBER(VLOOKUP('Public Expenditure'!$B61,'Local Government'!$B$16:$O$75,'Public Expenditure'!F$1,FALSE)),VLOOKUP('Public Expenditure'!$B61,'Local Government'!$B$16:$O$75,'Public Expenditure'!F$1,FALSE),0)</f>
        <v>0</v>
      </c>
      <c r="G61" s="253">
        <f t="shared" si="2"/>
        <v>0</v>
      </c>
      <c r="H61" s="211">
        <f t="shared" si="3"/>
        <v>0</v>
      </c>
      <c r="I61" s="259"/>
      <c r="J61" s="163">
        <f>+IF(ISNUMBER(VLOOKUP($B61,'Cental Budget'!$B$16:$K$75,'Public Expenditure'!J$1,FALSE)),VLOOKUP($B61,'Cental Budget'!$B$16:$K$75,'Public Expenditure'!J$1,FALSE),0)+IF(ISNUMBER(VLOOKUP('Public Expenditure'!$B61,'Local Government'!$B$16:$O$75,'Public Expenditure'!J$1,FALSE)),VLOOKUP('Public Expenditure'!$B61,'Local Government'!$B$16:$O$75,'Public Expenditure'!J$1,FALSE),0)</f>
        <v>15258930.949999999</v>
      </c>
      <c r="K61" s="253">
        <f t="shared" si="1"/>
        <v>0.44127739234795682</v>
      </c>
      <c r="L61" s="211">
        <f t="shared" si="5"/>
        <v>-15258930.949999999</v>
      </c>
      <c r="M61" s="259">
        <f t="shared" si="6"/>
        <v>-100</v>
      </c>
      <c r="O61" s="212"/>
      <c r="P61" s="81"/>
      <c r="Q61" s="81"/>
      <c r="R61" s="81"/>
      <c r="CD61" s="161"/>
      <c r="CE61" s="161"/>
      <c r="CF61" s="145"/>
      <c r="CG61" s="145"/>
      <c r="CH61" s="145"/>
      <c r="CI61" s="142"/>
    </row>
    <row r="62" spans="1:87" ht="13.5" customHeight="1" thickTop="1" thickBot="1">
      <c r="B62" s="80" t="s">
        <v>456</v>
      </c>
      <c r="C62" s="217" t="s">
        <v>116</v>
      </c>
      <c r="D62" s="218">
        <f>+IF(ISNUMBER(VLOOKUP($B62,'Cental Budget'!$B$16:$K$75,'Public Expenditure'!D$1,FALSE)),VLOOKUP($B62,'Cental Budget'!$B$16:$K$75,'Public Expenditure'!D$1,FALSE),0)+IF(ISNUMBER(VLOOKUP('Public Expenditure'!$B62,'Local Government'!$B$16:$O$75,'Public Expenditure'!D$1,FALSE)),VLOOKUP('Public Expenditure'!$B62,'Local Government'!$B$16:$O$75,'Public Expenditure'!D$1,FALSE),0)</f>
        <v>62630888.929999977</v>
      </c>
      <c r="E62" s="254">
        <f>D62/D$11*100</f>
        <v>1.7108992523287889</v>
      </c>
      <c r="F62" s="218">
        <f>+IF(ISNUMBER(VLOOKUP($B62,'Cental Budget'!$B$16:$K$75,'Public Expenditure'!F$1,FALSE)),VLOOKUP($B62,'Cental Budget'!$B$16:$K$75,'Public Expenditure'!F$1,FALSE),0)+IF(ISNUMBER(VLOOKUP('Public Expenditure'!$B62,'Local Government'!$B$16:$O$75,'Public Expenditure'!F$1,FALSE)),VLOOKUP('Public Expenditure'!$B62,'Local Government'!$B$16:$O$75,'Public Expenditure'!F$1,FALSE),0)</f>
        <v>0</v>
      </c>
      <c r="G62" s="254">
        <f>F62/D$11*100</f>
        <v>0</v>
      </c>
      <c r="H62" s="219">
        <f>+D62-F62</f>
        <v>62630888.929999977</v>
      </c>
      <c r="I62" s="260"/>
      <c r="J62" s="218">
        <f>+IF(ISNUMBER(VLOOKUP($B62,'Cental Budget'!$B$16:$K$75,'Public Expenditure'!J$1,FALSE)),VLOOKUP($B62,'Cental Budget'!$B$16:$K$75,'Public Expenditure'!J$1,FALSE),0)+IF(ISNUMBER(VLOOKUP('Public Expenditure'!$B62,'Local Government'!$B$16:$O$75,'Public Expenditure'!J$1,FALSE)),VLOOKUP('Public Expenditure'!$B62,'Local Government'!$B$16:$O$75,'Public Expenditure'!J$1,FALSE),0)</f>
        <v>38958795.530000016</v>
      </c>
      <c r="K62" s="254">
        <f>J62/J$11*100</f>
        <v>1.1266605607449611</v>
      </c>
      <c r="L62" s="219">
        <f>+D62-J62</f>
        <v>23672093.399999961</v>
      </c>
      <c r="M62" s="260">
        <f>+D62/J62*100-100</f>
        <v>60.76187181344298</v>
      </c>
      <c r="O62" s="81"/>
      <c r="P62" s="81"/>
      <c r="Q62" s="81"/>
      <c r="R62" s="81"/>
      <c r="CD62" s="161"/>
      <c r="CE62" s="161"/>
      <c r="CF62" s="145"/>
      <c r="CG62" s="145"/>
      <c r="CH62" s="145"/>
      <c r="CI62" s="142"/>
    </row>
    <row r="63" spans="1:87" ht="13.5" customHeight="1" thickTop="1" thickBot="1">
      <c r="B63" s="80">
        <v>990</v>
      </c>
      <c r="C63" s="147" t="s">
        <v>152</v>
      </c>
      <c r="D63" s="154">
        <f>+IF(ISNUMBER(VLOOKUP($B63,'Cental Budget'!$B$16:$K$75,'Public Expenditure'!D$1,FALSE)),VLOOKUP($B63,'Cental Budget'!$B$16:$K$75,'Public Expenditure'!D$1,FALSE),0)+IF(ISNUMBER(VLOOKUP('Public Expenditure'!$B63,'Local Government'!$B$16:$O$75,'Public Expenditure'!D$1,FALSE)),VLOOKUP('Public Expenditure'!$B63,'Local Government'!$B$16:$O$75,'Public Expenditure'!D$1,FALSE),0)</f>
        <v>0</v>
      </c>
      <c r="E63" s="252">
        <f t="shared" si="0"/>
        <v>0</v>
      </c>
      <c r="F63" s="154">
        <f>+IF(ISNUMBER(VLOOKUP($B63,'Cental Budget'!$B$16:$K$75,'Public Expenditure'!F$1,FALSE)),VLOOKUP($B63,'Cental Budget'!$B$16:$K$75,'Public Expenditure'!F$1,FALSE),0)+IF(ISNUMBER(VLOOKUP('Public Expenditure'!$B63,'Local Government'!$B$16:$O$75,'Public Expenditure'!F$1,FALSE)),VLOOKUP('Public Expenditure'!$B63,'Local Government'!$B$16:$O$75,'Public Expenditure'!F$1,FALSE),0)</f>
        <v>140276.0704445625</v>
      </c>
      <c r="G63" s="252">
        <f t="shared" si="2"/>
        <v>3.8319466343749151E-3</v>
      </c>
      <c r="H63" s="209">
        <f t="shared" si="3"/>
        <v>-140276.0704445625</v>
      </c>
      <c r="I63" s="258"/>
      <c r="J63" s="154">
        <f>+IF(ISNUMBER(VLOOKUP($B63,'Cental Budget'!$B$16:$K$75,'Public Expenditure'!J$1,FALSE)),VLOOKUP($B63,'Cental Budget'!$B$16:$K$75,'Public Expenditure'!J$1,FALSE),0)+IF(ISNUMBER(VLOOKUP('Public Expenditure'!$B63,'Local Government'!$B$16:$O$75,'Public Expenditure'!J$1,FALSE)),VLOOKUP('Public Expenditure'!$B63,'Local Government'!$B$16:$O$75,'Public Expenditure'!J$1,FALSE),0)</f>
        <v>0</v>
      </c>
      <c r="K63" s="252">
        <f t="shared" si="1"/>
        <v>0</v>
      </c>
      <c r="L63" s="209">
        <f t="shared" si="5"/>
        <v>0</v>
      </c>
      <c r="M63" s="258" t="e">
        <f t="shared" si="6"/>
        <v>#DIV/0!</v>
      </c>
      <c r="O63" s="81"/>
      <c r="P63" s="81"/>
      <c r="Q63" s="81"/>
      <c r="R63" s="81"/>
      <c r="CD63" s="161"/>
      <c r="CE63" s="161"/>
      <c r="CF63" s="145"/>
      <c r="CG63" s="145"/>
      <c r="CH63" s="145"/>
      <c r="CI63" s="142"/>
    </row>
    <row r="64" spans="1:87" ht="13.5" customHeight="1" thickTop="1" thickBot="1">
      <c r="C64" s="178" t="s">
        <v>132</v>
      </c>
      <c r="D64" s="173">
        <f>+D16-D36</f>
        <v>-191459109.18000031</v>
      </c>
      <c r="E64" s="249">
        <f t="shared" si="0"/>
        <v>-5.2301229049089057</v>
      </c>
      <c r="F64" s="173">
        <f>+F16-F36</f>
        <v>-167925430.51497173</v>
      </c>
      <c r="G64" s="249">
        <f t="shared" si="2"/>
        <v>-4.5872491740642971</v>
      </c>
      <c r="H64" s="173">
        <f t="shared" si="3"/>
        <v>-23533678.665028572</v>
      </c>
      <c r="I64" s="249">
        <f t="shared" si="4"/>
        <v>14.014362561321761</v>
      </c>
      <c r="J64" s="173">
        <f>+J16-J36-J63</f>
        <v>-20535738.110000134</v>
      </c>
      <c r="K64" s="249">
        <f>J64/J$11*100</f>
        <v>-0.59387888921021814</v>
      </c>
      <c r="L64" s="173">
        <f t="shared" si="5"/>
        <v>-170923371.07000017</v>
      </c>
      <c r="M64" s="249">
        <f t="shared" si="6"/>
        <v>832.32153699295031</v>
      </c>
      <c r="O64" s="212"/>
      <c r="P64" s="212"/>
      <c r="Q64" s="81"/>
      <c r="R64" s="81"/>
      <c r="CD64" s="161"/>
      <c r="CE64" s="161"/>
      <c r="CF64" s="145"/>
      <c r="CG64" s="145"/>
      <c r="CH64" s="145"/>
      <c r="CI64" s="142"/>
    </row>
    <row r="65" spans="2:87" ht="13.5" customHeight="1" thickTop="1" thickBot="1">
      <c r="C65" s="178" t="s">
        <v>133</v>
      </c>
      <c r="D65" s="173">
        <f>+D64+D44</f>
        <v>-115948346.8300003</v>
      </c>
      <c r="E65" s="249">
        <f t="shared" si="0"/>
        <v>-3.1673818348949738</v>
      </c>
      <c r="F65" s="173">
        <f>+F64+F44</f>
        <v>-108001887.37134999</v>
      </c>
      <c r="G65" s="249">
        <f t="shared" si="2"/>
        <v>-2.9503069732933587</v>
      </c>
      <c r="H65" s="173">
        <f t="shared" si="3"/>
        <v>-7946459.4586503059</v>
      </c>
      <c r="I65" s="249">
        <f t="shared" si="4"/>
        <v>7.3577042513409623</v>
      </c>
      <c r="J65" s="173">
        <f>+J64+J44</f>
        <v>50060140.009999871</v>
      </c>
      <c r="K65" s="249">
        <f t="shared" si="1"/>
        <v>1.4477035197663284</v>
      </c>
      <c r="L65" s="173">
        <f t="shared" si="5"/>
        <v>-166008486.84000015</v>
      </c>
      <c r="M65" s="249">
        <f t="shared" si="6"/>
        <v>-331.6181033589574</v>
      </c>
      <c r="O65" s="212"/>
      <c r="P65" s="81"/>
      <c r="Q65" s="81"/>
      <c r="R65" s="81"/>
      <c r="CD65" s="161"/>
      <c r="CE65" s="161"/>
      <c r="CF65" s="145"/>
      <c r="CG65" s="145"/>
      <c r="CH65" s="145"/>
      <c r="CI65" s="142"/>
    </row>
    <row r="66" spans="2:87" ht="13.5" customHeight="1" thickTop="1" thickBot="1">
      <c r="C66" s="178" t="s">
        <v>0</v>
      </c>
      <c r="D66" s="173">
        <f>+SUM(D67:D69)</f>
        <v>414032807.15999997</v>
      </c>
      <c r="E66" s="249">
        <f t="shared" si="0"/>
        <v>11.310208625672685</v>
      </c>
      <c r="F66" s="173">
        <f>+SUM(F67:F69)</f>
        <v>338844063.27750003</v>
      </c>
      <c r="G66" s="249">
        <f t="shared" si="2"/>
        <v>9.2562641920261157</v>
      </c>
      <c r="H66" s="173">
        <f t="shared" si="3"/>
        <v>75188743.882499933</v>
      </c>
      <c r="I66" s="249">
        <f t="shared" si="4"/>
        <v>22.189777549953192</v>
      </c>
      <c r="J66" s="173">
        <f>+SUM(J67:J69)</f>
        <v>204633188.53999999</v>
      </c>
      <c r="K66" s="249">
        <f t="shared" si="1"/>
        <v>5.9178457601434395</v>
      </c>
      <c r="L66" s="173">
        <f t="shared" si="5"/>
        <v>209399618.61999997</v>
      </c>
      <c r="M66" s="249">
        <f t="shared" si="6"/>
        <v>102.32925563737098</v>
      </c>
      <c r="O66" s="81"/>
      <c r="P66" s="81"/>
      <c r="Q66" s="81"/>
      <c r="R66" s="81"/>
      <c r="CD66" s="161"/>
      <c r="CE66" s="161"/>
      <c r="CF66" s="145"/>
      <c r="CG66" s="145"/>
      <c r="CH66" s="145"/>
      <c r="CI66" s="142"/>
    </row>
    <row r="67" spans="2:87" ht="13.5" customHeight="1" thickTop="1">
      <c r="B67" s="80">
        <v>4611</v>
      </c>
      <c r="C67" s="97" t="s">
        <v>135</v>
      </c>
      <c r="D67" s="156">
        <f>+IF(ISNUMBER(VLOOKUP($B67,'Cental Budget'!$B$16:$K$75,'Public Expenditure'!D$1,FALSE)),VLOOKUP($B67,'Cental Budget'!$B$16:$K$75,'Public Expenditure'!D$1,FALSE),0)+IF(ISNUMBER(VLOOKUP('Public Expenditure'!$B67,'Local Government'!$B$16:$O$75,'Public Expenditure'!D$1,FALSE)),VLOOKUP('Public Expenditure'!$B67,'Local Government'!$B$16:$O$75,'Public Expenditure'!D$1,FALSE),0)</f>
        <v>91122418.650000006</v>
      </c>
      <c r="E67" s="251">
        <f t="shared" si="0"/>
        <v>2.4892074917365536</v>
      </c>
      <c r="F67" s="156">
        <f>+IF(ISNUMBER(VLOOKUP($B67,'Cental Budget'!$B$16:$K$75,'Public Expenditure'!F$1,FALSE)),VLOOKUP($B67,'Cental Budget'!$B$16:$K$75,'Public Expenditure'!F$1,FALSE),0)+IF(ISNUMBER(VLOOKUP('Public Expenditure'!$B67,'Local Government'!$B$16:$O$75,'Public Expenditure'!F$1,FALSE)),VLOOKUP('Public Expenditure'!$B67,'Local Government'!$B$16:$O$75,'Public Expenditure'!F$1,FALSE),0)</f>
        <v>38407591.439999998</v>
      </c>
      <c r="G67" s="251">
        <f t="shared" si="2"/>
        <v>1.0491870800666538</v>
      </c>
      <c r="H67" s="210">
        <f t="shared" si="3"/>
        <v>52714827.210000008</v>
      </c>
      <c r="I67" s="257">
        <f t="shared" si="4"/>
        <v>137.25106218220074</v>
      </c>
      <c r="J67" s="156">
        <f>+IF(ISNUMBER(VLOOKUP($B67,'Cental Budget'!$B$16:$K$75,'Public Expenditure'!J$1,FALSE)),VLOOKUP($B67,'Cental Budget'!$B$16:$K$75,'Public Expenditure'!J$1,FALSE),0)+IF(ISNUMBER(VLOOKUP('Public Expenditure'!$B67,'Local Government'!$B$16:$O$75,'Public Expenditure'!J$1,FALSE)),VLOOKUP('Public Expenditure'!$B67,'Local Government'!$B$16:$O$75,'Public Expenditure'!J$1,FALSE),0)</f>
        <v>93447165.819999993</v>
      </c>
      <c r="K67" s="251">
        <f t="shared" si="1"/>
        <v>2.702425339657017</v>
      </c>
      <c r="L67" s="210">
        <f t="shared" si="5"/>
        <v>-2324747.1699999869</v>
      </c>
      <c r="M67" s="257">
        <f t="shared" si="6"/>
        <v>-2.4877663753633499</v>
      </c>
      <c r="O67" s="81"/>
      <c r="P67" s="81"/>
      <c r="Q67" s="81"/>
      <c r="R67" s="81"/>
      <c r="CD67" s="161"/>
      <c r="CE67" s="161"/>
      <c r="CF67" s="145"/>
      <c r="CG67" s="145"/>
      <c r="CH67" s="145"/>
      <c r="CI67" s="142"/>
    </row>
    <row r="68" spans="2:87" ht="13.5" customHeight="1">
      <c r="B68" s="80">
        <v>4612</v>
      </c>
      <c r="C68" s="97" t="s">
        <v>137</v>
      </c>
      <c r="D68" s="156">
        <f>+IF(ISNUMBER(VLOOKUP($B68,'Cental Budget'!$B$16:$K$75,'Public Expenditure'!D$1,FALSE)),VLOOKUP($B68,'Cental Budget'!$B$16:$K$75,'Public Expenditure'!D$1,FALSE),0)+IF(ISNUMBER(VLOOKUP('Public Expenditure'!$B68,'Local Government'!$B$16:$O$75,'Public Expenditure'!D$1,FALSE)),VLOOKUP('Public Expenditure'!$B68,'Local Government'!$B$16:$O$75,'Public Expenditure'!D$1,FALSE),0)</f>
        <v>289458163.98000002</v>
      </c>
      <c r="E68" s="251">
        <f t="shared" si="0"/>
        <v>7.9071807025978647</v>
      </c>
      <c r="F68" s="156">
        <f>+IF(ISNUMBER(VLOOKUP($B68,'Cental Budget'!$B$16:$K$75,'Public Expenditure'!F$1,FALSE)),VLOOKUP($B68,'Cental Budget'!$B$16:$K$75,'Public Expenditure'!F$1,FALSE),0)+IF(ISNUMBER(VLOOKUP('Public Expenditure'!$B68,'Local Government'!$B$16:$O$75,'Public Expenditure'!F$1,FALSE)),VLOOKUP('Public Expenditure'!$B68,'Local Government'!$B$16:$O$75,'Public Expenditure'!F$1,FALSE),0)</f>
        <v>242078161.83750001</v>
      </c>
      <c r="G68" s="251">
        <f t="shared" si="2"/>
        <v>6.612892666361625</v>
      </c>
      <c r="H68" s="210">
        <f t="shared" si="3"/>
        <v>47380002.142500013</v>
      </c>
      <c r="I68" s="257">
        <f t="shared" si="4"/>
        <v>19.572191800722962</v>
      </c>
      <c r="J68" s="156">
        <f>+IF(ISNUMBER(VLOOKUP($B68,'Cental Budget'!$B$16:$K$75,'Public Expenditure'!J$1,FALSE)),VLOOKUP($B68,'Cental Budget'!$B$16:$K$75,'Public Expenditure'!J$1,FALSE),0)+IF(ISNUMBER(VLOOKUP('Public Expenditure'!$B68,'Local Government'!$B$16:$O$75,'Public Expenditure'!J$1,FALSE)),VLOOKUP('Public Expenditure'!$B68,'Local Government'!$B$16:$O$75,'Public Expenditure'!J$1,FALSE),0)</f>
        <v>81271175.520000011</v>
      </c>
      <c r="K68" s="251">
        <f t="shared" si="1"/>
        <v>2.3503043905260421</v>
      </c>
      <c r="L68" s="210">
        <f t="shared" si="5"/>
        <v>208186988.46000001</v>
      </c>
      <c r="M68" s="257">
        <f t="shared" si="6"/>
        <v>256.16337788637907</v>
      </c>
      <c r="O68" s="81"/>
      <c r="P68" s="81"/>
      <c r="Q68" s="81"/>
      <c r="R68" s="81"/>
      <c r="CD68" s="161"/>
      <c r="CE68" s="161"/>
      <c r="CF68" s="145"/>
      <c r="CG68" s="145"/>
      <c r="CH68" s="145"/>
      <c r="CI68" s="142"/>
    </row>
    <row r="69" spans="2:87" ht="13.5" customHeight="1" thickBot="1">
      <c r="B69" s="80" t="s">
        <v>457</v>
      </c>
      <c r="C69" s="97" t="s">
        <v>116</v>
      </c>
      <c r="D69" s="156">
        <f>+IF(ISNUMBER(VLOOKUP($B69,'Cental Budget'!$B$16:$K$75,'Public Expenditure'!D$1,FALSE)),VLOOKUP($B69,'Cental Budget'!$B$16:$K$75,'Public Expenditure'!D$1,FALSE),0)+IF(ISNUMBER(VLOOKUP('Public Expenditure'!$B69,'Local Government'!$B$16:$O$75,'Public Expenditure'!D$1,FALSE)),VLOOKUP('Public Expenditure'!$B69,'Local Government'!$B$16:$O$75,'Public Expenditure'!D$1,FALSE),0)</f>
        <v>33452224.529999997</v>
      </c>
      <c r="E69" s="251">
        <f t="shared" si="0"/>
        <v>0.91382043133826851</v>
      </c>
      <c r="F69" s="156">
        <f>+IF(ISNUMBER(VLOOKUP($B69,'Cental Budget'!$B$16:$K$75,'Public Expenditure'!F$1,FALSE)),VLOOKUP($B69,'Cental Budget'!$B$16:$K$75,'Public Expenditure'!F$1,FALSE),0)+IF(ISNUMBER(VLOOKUP('Public Expenditure'!$B69,'Local Government'!$B$16:$O$75,'Public Expenditure'!F$1,FALSE)),VLOOKUP('Public Expenditure'!$B69,'Local Government'!$B$16:$O$75,'Public Expenditure'!F$1,FALSE),0)</f>
        <v>58358310</v>
      </c>
      <c r="G69" s="251">
        <f t="shared" si="2"/>
        <v>1.5941844455978367</v>
      </c>
      <c r="H69" s="210">
        <f t="shared" si="3"/>
        <v>-24906085.470000003</v>
      </c>
      <c r="I69" s="257">
        <f t="shared" si="4"/>
        <v>-42.677873074117464</v>
      </c>
      <c r="J69" s="156">
        <f>+IF(ISNUMBER(VLOOKUP($B69,'Cental Budget'!$B$16:$K$75,'Public Expenditure'!J$1,FALSE)),VLOOKUP($B69,'Cental Budget'!$B$16:$K$75,'Public Expenditure'!J$1,FALSE),0)+IF(ISNUMBER(VLOOKUP('Public Expenditure'!$B69,'Local Government'!$B$16:$O$75,'Public Expenditure'!J$1,FALSE)),VLOOKUP('Public Expenditure'!$B69,'Local Government'!$B$16:$O$75,'Public Expenditure'!J$1,FALSE),0)</f>
        <v>29914847.199999999</v>
      </c>
      <c r="K69" s="251">
        <f t="shared" si="1"/>
        <v>0.86511602996038051</v>
      </c>
      <c r="L69" s="210">
        <f t="shared" si="5"/>
        <v>3537377.3299999982</v>
      </c>
      <c r="M69" s="257">
        <f t="shared" si="6"/>
        <v>11.824821655782998</v>
      </c>
      <c r="O69" s="81"/>
      <c r="P69" s="81"/>
      <c r="Q69" s="81"/>
      <c r="R69" s="81"/>
      <c r="CD69" s="161"/>
      <c r="CE69" s="161"/>
      <c r="CF69" s="145"/>
      <c r="CG69" s="145"/>
      <c r="CH69" s="145"/>
      <c r="CI69" s="142"/>
    </row>
    <row r="70" spans="2:87" ht="13.5" customHeight="1" thickTop="1" thickBot="1">
      <c r="C70" s="178" t="s">
        <v>141</v>
      </c>
      <c r="D70" s="173">
        <f>+D64-D66</f>
        <v>-605491916.34000027</v>
      </c>
      <c r="E70" s="249">
        <f t="shared" si="0"/>
        <v>-16.540331530581589</v>
      </c>
      <c r="F70" s="173">
        <f>+F64-F66</f>
        <v>-506769493.79247177</v>
      </c>
      <c r="G70" s="249">
        <f t="shared" si="2"/>
        <v>-13.843513366090413</v>
      </c>
      <c r="H70" s="173">
        <f t="shared" si="3"/>
        <v>-98722422.547528505</v>
      </c>
      <c r="I70" s="249">
        <f t="shared" si="4"/>
        <v>19.48073507912386</v>
      </c>
      <c r="J70" s="173">
        <f>+J64-J66</f>
        <v>-225168926.65000013</v>
      </c>
      <c r="K70" s="249">
        <f t="shared" si="1"/>
        <v>-6.511724649353658</v>
      </c>
      <c r="L70" s="173">
        <f t="shared" si="5"/>
        <v>-380322989.69000018</v>
      </c>
      <c r="M70" s="249">
        <f t="shared" si="6"/>
        <v>168.90562803151329</v>
      </c>
      <c r="O70" s="81"/>
      <c r="P70" s="81"/>
      <c r="Q70" s="81"/>
      <c r="R70" s="81"/>
      <c r="CD70" s="161"/>
      <c r="CE70" s="161"/>
      <c r="CF70" s="145"/>
      <c r="CG70" s="145"/>
      <c r="CH70" s="145"/>
      <c r="CI70" s="142"/>
    </row>
    <row r="71" spans="2:87" ht="13.5" customHeight="1" thickTop="1" thickBot="1">
      <c r="C71" s="178" t="s">
        <v>121</v>
      </c>
      <c r="D71" s="173">
        <f>+SUM(D72:D75)</f>
        <v>605491916.34000027</v>
      </c>
      <c r="E71" s="249">
        <f t="shared" si="0"/>
        <v>16.540331530581589</v>
      </c>
      <c r="F71" s="173">
        <f>+SUM(F72:F75)</f>
        <v>506769493.79247177</v>
      </c>
      <c r="G71" s="249">
        <f t="shared" si="2"/>
        <v>13.843513366090413</v>
      </c>
      <c r="H71" s="173">
        <f t="shared" si="3"/>
        <v>98722422.547528505</v>
      </c>
      <c r="I71" s="249">
        <f t="shared" si="4"/>
        <v>19.48073507912386</v>
      </c>
      <c r="J71" s="173">
        <f>+SUM(J72:J75)</f>
        <v>225168926.65000013</v>
      </c>
      <c r="K71" s="249">
        <f t="shared" si="1"/>
        <v>6.511724649353658</v>
      </c>
      <c r="L71" s="173">
        <f t="shared" si="5"/>
        <v>380322989.69000018</v>
      </c>
      <c r="M71" s="249">
        <f t="shared" si="6"/>
        <v>168.90562803151329</v>
      </c>
      <c r="O71" s="81"/>
      <c r="P71" s="81"/>
      <c r="Q71" s="81"/>
      <c r="R71" s="81"/>
      <c r="CD71" s="161"/>
      <c r="CE71" s="161"/>
      <c r="CF71" s="145"/>
      <c r="CG71" s="145"/>
      <c r="CH71" s="145"/>
      <c r="CI71" s="142"/>
    </row>
    <row r="72" spans="2:87" ht="13.5" customHeight="1" thickTop="1">
      <c r="B72" s="80">
        <v>7511</v>
      </c>
      <c r="C72" s="97" t="s">
        <v>144</v>
      </c>
      <c r="D72" s="156">
        <f>+IF(ISNUMBER(VLOOKUP($B72,'Cental Budget'!$B$16:$K$75,'Public Expenditure'!D$1,FALSE)),VLOOKUP($B72,'Cental Budget'!$B$16:$K$75,'Public Expenditure'!D$1,FALSE),0)+IF(ISNUMBER(VLOOKUP('Public Expenditure'!$B72,'Local Government'!$B$16:$O$75,'Public Expenditure'!D$1,FALSE)),VLOOKUP('Public Expenditure'!$B72,'Local Government'!$B$16:$O$75,'Public Expenditure'!D$1,FALSE),0)</f>
        <v>49298001.289999999</v>
      </c>
      <c r="E72" s="251">
        <f t="shared" si="0"/>
        <v>1.3466823637555658</v>
      </c>
      <c r="F72" s="156">
        <f>+IF(ISNUMBER(VLOOKUP($B72,'Cental Budget'!$B$16:$K$75,'Public Expenditure'!F$1,FALSE)),VLOOKUP($B72,'Cental Budget'!$B$16:$K$75,'Public Expenditure'!F$1,FALSE),0)+IF(ISNUMBER(VLOOKUP('Public Expenditure'!$B72,'Local Government'!$B$16:$O$75,'Public Expenditure'!F$1,FALSE)),VLOOKUP('Public Expenditure'!$B72,'Local Government'!$B$16:$O$75,'Public Expenditure'!F$1,FALSE),0)</f>
        <v>3750000</v>
      </c>
      <c r="G72" s="251">
        <f t="shared" si="2"/>
        <v>0.10243942415385035</v>
      </c>
      <c r="H72" s="210">
        <f t="shared" si="3"/>
        <v>45548001.289999999</v>
      </c>
      <c r="I72" s="257">
        <f t="shared" si="4"/>
        <v>1214.6133677333332</v>
      </c>
      <c r="J72" s="156">
        <f>+IF(ISNUMBER(VLOOKUP($B72,'Cental Budget'!$B$16:$K$75,'Public Expenditure'!J$1,FALSE)),VLOOKUP($B72,'Cental Budget'!$B$16:$K$75,'Public Expenditure'!J$1,FALSE),0)+IF(ISNUMBER(VLOOKUP('Public Expenditure'!$B72,'Local Government'!$B$16:$O$75,'Public Expenditure'!J$1,FALSE)),VLOOKUP('Public Expenditure'!$B72,'Local Government'!$B$16:$O$75,'Public Expenditure'!J$1,FALSE),0)</f>
        <v>100255632.79000001</v>
      </c>
      <c r="K72" s="251">
        <f t="shared" si="1"/>
        <v>2.8993213450360047</v>
      </c>
      <c r="L72" s="210">
        <f t="shared" si="5"/>
        <v>-50957631.500000007</v>
      </c>
      <c r="M72" s="257">
        <f t="shared" si="6"/>
        <v>-50.827699234354419</v>
      </c>
      <c r="O72" s="81"/>
      <c r="P72" s="81"/>
      <c r="Q72" s="81"/>
      <c r="R72" s="81"/>
      <c r="CD72" s="161"/>
      <c r="CE72" s="161"/>
      <c r="CF72" s="145"/>
      <c r="CG72" s="145"/>
      <c r="CH72" s="145"/>
      <c r="CI72" s="142"/>
    </row>
    <row r="73" spans="2:87" ht="13.5" customHeight="1">
      <c r="B73" s="80">
        <v>7512</v>
      </c>
      <c r="C73" s="97" t="s">
        <v>122</v>
      </c>
      <c r="D73" s="156">
        <f>+IF(ISNUMBER(VLOOKUP($B73,'Cental Budget'!$B$16:$K$75,'Public Expenditure'!D$1,FALSE)),VLOOKUP($B73,'Cental Budget'!$B$16:$K$75,'Public Expenditure'!D$1,FALSE),0)+IF(ISNUMBER(VLOOKUP('Public Expenditure'!$B73,'Local Government'!$B$16:$O$75,'Public Expenditure'!D$1,FALSE)),VLOOKUP('Public Expenditure'!$B73,'Local Government'!$B$16:$O$75,'Public Expenditure'!D$1,FALSE),0)</f>
        <v>505195616.19000006</v>
      </c>
      <c r="E73" s="251">
        <f t="shared" si="0"/>
        <v>13.800519468680855</v>
      </c>
      <c r="F73" s="156">
        <f>+IF(ISNUMBER(VLOOKUP($B73,'Cental Budget'!$B$16:$K$75,'Public Expenditure'!F$1,FALSE)),VLOOKUP($B73,'Cental Budget'!$B$16:$K$75,'Public Expenditure'!F$1,FALSE),0)+IF(ISNUMBER(VLOOKUP('Public Expenditure'!$B73,'Local Government'!$B$16:$O$75,'Public Expenditure'!F$1,FALSE)),VLOOKUP('Public Expenditure'!$B73,'Local Government'!$B$16:$O$75,'Public Expenditure'!F$1,FALSE),0)</f>
        <v>477811229.12746286</v>
      </c>
      <c r="G73" s="251">
        <f t="shared" si="2"/>
        <v>13.052455244282864</v>
      </c>
      <c r="H73" s="210">
        <f t="shared" si="3"/>
        <v>27384387.062537193</v>
      </c>
      <c r="I73" s="257">
        <f t="shared" si="4"/>
        <v>5.7312146289538077</v>
      </c>
      <c r="J73" s="156">
        <f>+IF(ISNUMBER(VLOOKUP($B73,'Cental Budget'!$B$16:$K$75,'Public Expenditure'!J$1,FALSE)),VLOOKUP($B73,'Cental Budget'!$B$16:$K$75,'Public Expenditure'!J$1,FALSE),0)+IF(ISNUMBER(VLOOKUP('Public Expenditure'!$B73,'Local Government'!$B$16:$O$75,'Public Expenditure'!J$1,FALSE)),VLOOKUP('Public Expenditure'!$B73,'Local Government'!$B$16:$O$75,'Public Expenditure'!J$1,FALSE),0)</f>
        <v>202429326.11999997</v>
      </c>
      <c r="K73" s="251">
        <f t="shared" si="1"/>
        <v>5.8541116319153232</v>
      </c>
      <c r="L73" s="210">
        <f t="shared" si="5"/>
        <v>302766290.07000005</v>
      </c>
      <c r="M73" s="257">
        <f t="shared" si="6"/>
        <v>149.56641701732508</v>
      </c>
      <c r="O73" s="81"/>
      <c r="P73" s="81"/>
      <c r="Q73" s="81"/>
      <c r="R73" s="81"/>
      <c r="CD73" s="161"/>
      <c r="CE73" s="161"/>
      <c r="CF73" s="145"/>
      <c r="CG73" s="145"/>
      <c r="CH73" s="145"/>
      <c r="CI73" s="142"/>
    </row>
    <row r="74" spans="2:87" ht="13.5" customHeight="1" thickBot="1">
      <c r="B74" s="80">
        <v>72</v>
      </c>
      <c r="C74" s="103" t="s">
        <v>329</v>
      </c>
      <c r="D74" s="156">
        <f>+IF(ISNUMBER(VLOOKUP($B74,'Cental Budget'!$B$16:$K$75,'Public Expenditure'!D$1,FALSE)),VLOOKUP($B74,'Cental Budget'!$B$16:$K$75,'Public Expenditure'!D$1,FALSE),0)+IF(ISNUMBER(VLOOKUP('Public Expenditure'!$B74,'Local Government'!$B$16:$O$75,'Public Expenditure'!D$1,FALSE)),VLOOKUP('Public Expenditure'!$B74,'Local Government'!$B$16:$O$75,'Public Expenditure'!D$1,FALSE),0)</f>
        <v>7726789.1299999999</v>
      </c>
      <c r="E74" s="255">
        <f t="shared" si="0"/>
        <v>0.21107408774278141</v>
      </c>
      <c r="F74" s="156">
        <f>+IF(ISNUMBER(VLOOKUP($B74,'Cental Budget'!$B$16:$K$75,'Public Expenditure'!F$1,FALSE)),VLOOKUP($B74,'Cental Budget'!$B$16:$K$75,'Public Expenditure'!F$1,FALSE),0)+IF(ISNUMBER(VLOOKUP('Public Expenditure'!$B74,'Local Government'!$B$16:$O$75,'Public Expenditure'!F$1,FALSE)),VLOOKUP('Public Expenditure'!$B74,'Local Government'!$B$16:$O$75,'Public Expenditure'!F$1,FALSE),0)</f>
        <v>6500000</v>
      </c>
      <c r="G74" s="255">
        <f t="shared" si="2"/>
        <v>0.17756166853334063</v>
      </c>
      <c r="H74" s="210">
        <f t="shared" si="3"/>
        <v>1226789.1299999999</v>
      </c>
      <c r="I74" s="257">
        <f t="shared" si="4"/>
        <v>18.873678923076923</v>
      </c>
      <c r="J74" s="156">
        <f>+IF(ISNUMBER(VLOOKUP($B74,'Cental Budget'!$B$16:$K$75,'Public Expenditure'!J$1,FALSE)),VLOOKUP($B74,'Cental Budget'!$B$16:$K$75,'Public Expenditure'!J$1,FALSE),0)+IF(ISNUMBER(VLOOKUP('Public Expenditure'!$B74,'Local Government'!$B$16:$O$75,'Public Expenditure'!J$1,FALSE)),VLOOKUP('Public Expenditure'!$B74,'Local Government'!$B$16:$O$75,'Public Expenditure'!J$1,FALSE),0)</f>
        <v>5475702.9100000001</v>
      </c>
      <c r="K74" s="255">
        <f t="shared" si="1"/>
        <v>0.15835341999479452</v>
      </c>
      <c r="L74" s="210">
        <f t="shared" si="5"/>
        <v>2251086.2199999997</v>
      </c>
      <c r="M74" s="257">
        <f t="shared" si="6"/>
        <v>41.110452064317712</v>
      </c>
      <c r="O74" s="81"/>
      <c r="P74" s="81"/>
      <c r="Q74" s="81"/>
      <c r="R74" s="81"/>
      <c r="CD74" s="161"/>
      <c r="CE74" s="161"/>
      <c r="CF74" s="145"/>
      <c r="CG74" s="145"/>
      <c r="CH74" s="145"/>
      <c r="CI74" s="142"/>
    </row>
    <row r="75" spans="2:87" ht="13.5" customHeight="1" thickTop="1" thickBot="1">
      <c r="C75" s="148" t="s">
        <v>125</v>
      </c>
      <c r="D75" s="149">
        <f>-D70-SUM(D72:D74)</f>
        <v>43271509.730000257</v>
      </c>
      <c r="E75" s="253">
        <f t="shared" si="0"/>
        <v>1.1820556104023892</v>
      </c>
      <c r="F75" s="149">
        <f>-F70-SUM(F72:F74)</f>
        <v>18708264.665008903</v>
      </c>
      <c r="G75" s="253">
        <f t="shared" si="2"/>
        <v>0.51105702912035678</v>
      </c>
      <c r="H75" s="208">
        <f t="shared" si="3"/>
        <v>24563245.064991355</v>
      </c>
      <c r="I75" s="259">
        <f t="shared" si="4"/>
        <v>131.29622391398675</v>
      </c>
      <c r="J75" s="149">
        <f>-J70-SUM(J72:J74)</f>
        <v>-82991735.169999868</v>
      </c>
      <c r="K75" s="253">
        <f t="shared" si="1"/>
        <v>-2.4000617475924657</v>
      </c>
      <c r="L75" s="208">
        <f t="shared" si="5"/>
        <v>126263244.90000013</v>
      </c>
      <c r="M75" s="259">
        <f t="shared" si="6"/>
        <v>-152.13954093303761</v>
      </c>
      <c r="O75" s="81"/>
      <c r="P75" s="81"/>
      <c r="Q75" s="81"/>
      <c r="R75" s="81"/>
      <c r="CD75" s="161"/>
      <c r="CE75" s="161"/>
      <c r="CF75" s="145"/>
      <c r="CG75" s="145"/>
      <c r="CH75" s="145"/>
      <c r="CI75" s="142"/>
    </row>
    <row r="76" spans="2:87" ht="13.5" thickTop="1">
      <c r="C76" s="106" t="str">
        <f>IF(MasterSheet!$A$1=1,MasterSheet!C151,MasterSheet!B151)</f>
        <v>Izvor: Ministarstvo finansija Crne Gore</v>
      </c>
      <c r="D76" s="107"/>
      <c r="E76" s="107"/>
      <c r="F76" s="107"/>
      <c r="G76" s="107"/>
      <c r="H76" s="107"/>
      <c r="I76" s="107"/>
      <c r="J76" s="107"/>
      <c r="K76" s="107"/>
      <c r="L76" s="107"/>
      <c r="M76" s="107" t="s">
        <v>428</v>
      </c>
      <c r="O76" s="81"/>
      <c r="P76" s="81"/>
      <c r="Q76" s="81"/>
      <c r="R76" s="81"/>
    </row>
    <row r="77" spans="2:87" hidden="1">
      <c r="D77" s="80">
        <f>+D68/D66*100</f>
        <v>69.911890790852482</v>
      </c>
    </row>
    <row r="81" spans="4:10">
      <c r="D81" s="102"/>
      <c r="F81" s="102"/>
      <c r="J81" s="102"/>
    </row>
    <row r="82" spans="4:10">
      <c r="D82" s="102"/>
      <c r="F82" s="102"/>
      <c r="J82" s="102"/>
    </row>
  </sheetData>
  <sheetProtection formatCells="0" formatColumns="0" formatRows="0" sort="0" autoFilter="0"/>
  <mergeCells count="12">
    <mergeCell ref="H11:I11"/>
    <mergeCell ref="J11:K11"/>
    <mergeCell ref="L11:M11"/>
    <mergeCell ref="D11:G11"/>
    <mergeCell ref="C14:C15"/>
    <mergeCell ref="D14:E14"/>
    <mergeCell ref="F14:G14"/>
    <mergeCell ref="H14:I14"/>
    <mergeCell ref="J14:K14"/>
    <mergeCell ref="L14:M14"/>
    <mergeCell ref="D13:E13"/>
    <mergeCell ref="J13:K13"/>
  </mergeCells>
  <printOptions horizontalCentered="1" verticalCentered="1"/>
  <pageMargins left="0" right="0" top="0.19685039370078741" bottom="0.19685039370078741" header="0" footer="0"/>
  <pageSetup paperSize="9" scale="1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G59"/>
  <sheetViews>
    <sheetView workbookViewId="0">
      <selection activeCell="F5" sqref="F5"/>
    </sheetView>
  </sheetViews>
  <sheetFormatPr defaultColWidth="9.140625" defaultRowHeight="15"/>
  <cols>
    <col min="1" max="2" width="9.140625" style="29"/>
    <col min="3" max="3" width="51.7109375" style="29" bestFit="1" customWidth="1"/>
    <col min="4" max="4" width="15.42578125" style="29" bestFit="1" customWidth="1"/>
    <col min="5" max="5" width="9.140625" style="29"/>
    <col min="6" max="6" width="15.5703125" style="29" bestFit="1" customWidth="1"/>
    <col min="7" max="7" width="15.42578125" style="29" bestFit="1" customWidth="1"/>
    <col min="8" max="16384" width="9.140625" style="29"/>
  </cols>
  <sheetData>
    <row r="2" spans="2:7" ht="15.75" thickBot="1">
      <c r="D2" s="179" t="s">
        <v>437</v>
      </c>
    </row>
    <row r="3" spans="2:7" ht="55.5" thickTop="1" thickBot="1">
      <c r="B3" s="30" t="s">
        <v>394</v>
      </c>
      <c r="C3" s="31" t="s">
        <v>395</v>
      </c>
      <c r="D3" s="32" t="s">
        <v>396</v>
      </c>
      <c r="G3" s="29" t="s">
        <v>397</v>
      </c>
    </row>
    <row r="4" spans="2:7" ht="16.5" thickTop="1" thickBot="1">
      <c r="B4" s="33">
        <v>7</v>
      </c>
      <c r="C4" s="34" t="s">
        <v>398</v>
      </c>
      <c r="D4" s="35" t="e">
        <f>+D5+D36+D55+D52+D44</f>
        <v>#REF!</v>
      </c>
      <c r="F4" s="70" t="e">
        <f>+#REF!+#REF!+#REF!+#REF!+#REF!</f>
        <v>#REF!</v>
      </c>
      <c r="G4" s="36" t="e">
        <f>+D4-F4</f>
        <v>#REF!</v>
      </c>
    </row>
    <row r="5" spans="2:7" ht="15.75" thickTop="1">
      <c r="B5" s="37">
        <v>71</v>
      </c>
      <c r="C5" s="38" t="s">
        <v>399</v>
      </c>
      <c r="D5" s="39" t="e">
        <f>+D6+D14+D19+D24+D31</f>
        <v>#REF!</v>
      </c>
      <c r="F5" s="40"/>
    </row>
    <row r="6" spans="2:7">
      <c r="B6" s="41">
        <v>711</v>
      </c>
      <c r="C6" s="42" t="s">
        <v>2</v>
      </c>
      <c r="D6" s="43" t="e">
        <f>SUM(D7:D13)</f>
        <v>#REF!</v>
      </c>
    </row>
    <row r="7" spans="2:7">
      <c r="B7" s="44">
        <v>7111</v>
      </c>
      <c r="C7" s="45" t="s">
        <v>3</v>
      </c>
      <c r="D7" s="46" t="e">
        <f>+#REF!</f>
        <v>#REF!</v>
      </c>
      <c r="E7" s="40"/>
    </row>
    <row r="8" spans="2:7">
      <c r="B8" s="44">
        <v>7112</v>
      </c>
      <c r="C8" s="45" t="s">
        <v>5</v>
      </c>
      <c r="D8" s="46" t="e">
        <f>+#REF!</f>
        <v>#REF!</v>
      </c>
    </row>
    <row r="9" spans="2:7">
      <c r="B9" s="44">
        <v>7113</v>
      </c>
      <c r="C9" s="45" t="s">
        <v>305</v>
      </c>
      <c r="D9" s="46" t="e">
        <f>+#REF!</f>
        <v>#REF!</v>
      </c>
    </row>
    <row r="10" spans="2:7">
      <c r="B10" s="44">
        <v>7114</v>
      </c>
      <c r="C10" s="45" t="s">
        <v>9</v>
      </c>
      <c r="D10" s="46" t="e">
        <f>+#REF!</f>
        <v>#REF!</v>
      </c>
    </row>
    <row r="11" spans="2:7">
      <c r="B11" s="44">
        <v>7115</v>
      </c>
      <c r="C11" s="45" t="s">
        <v>306</v>
      </c>
      <c r="D11" s="46" t="e">
        <f>+#REF!</f>
        <v>#REF!</v>
      </c>
    </row>
    <row r="12" spans="2:7">
      <c r="B12" s="44">
        <v>7116</v>
      </c>
      <c r="C12" s="45" t="s">
        <v>14</v>
      </c>
      <c r="D12" s="46" t="e">
        <f>+#REF!</f>
        <v>#REF!</v>
      </c>
    </row>
    <row r="13" spans="2:7">
      <c r="B13" s="44">
        <v>7118</v>
      </c>
      <c r="C13" s="45" t="s">
        <v>16</v>
      </c>
      <c r="D13" s="46" t="e">
        <f>+#REF!</f>
        <v>#REF!</v>
      </c>
    </row>
    <row r="14" spans="2:7">
      <c r="B14" s="41">
        <v>712</v>
      </c>
      <c r="C14" s="42" t="s">
        <v>19</v>
      </c>
      <c r="D14" s="43" t="e">
        <f>SUM(D15:D18)</f>
        <v>#REF!</v>
      </c>
    </row>
    <row r="15" spans="2:7">
      <c r="B15" s="44">
        <v>7121</v>
      </c>
      <c r="C15" s="45" t="s">
        <v>21</v>
      </c>
      <c r="D15" s="46" t="e">
        <f>+#REF!</f>
        <v>#REF!</v>
      </c>
      <c r="F15" s="40"/>
    </row>
    <row r="16" spans="2:7">
      <c r="B16" s="44">
        <v>7122</v>
      </c>
      <c r="C16" s="45" t="s">
        <v>23</v>
      </c>
      <c r="D16" s="46" t="e">
        <f>+#REF!</f>
        <v>#REF!</v>
      </c>
    </row>
    <row r="17" spans="2:4">
      <c r="B17" s="44">
        <v>7123</v>
      </c>
      <c r="C17" s="45" t="s">
        <v>25</v>
      </c>
      <c r="D17" s="46" t="e">
        <f>+#REF!</f>
        <v>#REF!</v>
      </c>
    </row>
    <row r="18" spans="2:4">
      <c r="B18" s="44">
        <v>7124</v>
      </c>
      <c r="C18" s="45" t="s">
        <v>27</v>
      </c>
      <c r="D18" s="46" t="e">
        <f>+#REF!</f>
        <v>#REF!</v>
      </c>
    </row>
    <row r="19" spans="2:4">
      <c r="B19" s="41">
        <v>713</v>
      </c>
      <c r="C19" s="42" t="s">
        <v>29</v>
      </c>
      <c r="D19" s="43" t="e">
        <f>SUM(D20:D23)</f>
        <v>#REF!</v>
      </c>
    </row>
    <row r="20" spans="2:4">
      <c r="B20" s="44">
        <v>7131</v>
      </c>
      <c r="C20" s="47" t="s">
        <v>31</v>
      </c>
      <c r="D20" s="46" t="e">
        <f>+#REF!</f>
        <v>#REF!</v>
      </c>
    </row>
    <row r="21" spans="2:4">
      <c r="B21" s="44">
        <v>7132</v>
      </c>
      <c r="C21" s="47" t="s">
        <v>32</v>
      </c>
      <c r="D21" s="46" t="e">
        <f>+#REF!</f>
        <v>#REF!</v>
      </c>
    </row>
    <row r="22" spans="2:4">
      <c r="B22" s="44">
        <v>7133</v>
      </c>
      <c r="C22" s="47" t="s">
        <v>34</v>
      </c>
      <c r="D22" s="46" t="e">
        <f>+#REF!</f>
        <v>#REF!</v>
      </c>
    </row>
    <row r="23" spans="2:4">
      <c r="B23" s="44">
        <v>7136</v>
      </c>
      <c r="C23" s="47" t="s">
        <v>37</v>
      </c>
      <c r="D23" s="46" t="e">
        <f>+#REF!</f>
        <v>#REF!</v>
      </c>
    </row>
    <row r="24" spans="2:4">
      <c r="B24" s="41">
        <v>714</v>
      </c>
      <c r="C24" s="42" t="s">
        <v>39</v>
      </c>
      <c r="D24" s="43" t="e">
        <f>SUM(D25:D30)</f>
        <v>#REF!</v>
      </c>
    </row>
    <row r="25" spans="2:4">
      <c r="B25" s="44">
        <v>7141</v>
      </c>
      <c r="C25" s="45" t="s">
        <v>40</v>
      </c>
      <c r="D25" s="46" t="e">
        <f>+#REF!</f>
        <v>#REF!</v>
      </c>
    </row>
    <row r="26" spans="2:4">
      <c r="B26" s="44">
        <v>7142</v>
      </c>
      <c r="C26" s="45" t="s">
        <v>400</v>
      </c>
      <c r="D26" s="46" t="e">
        <f>+#REF!</f>
        <v>#REF!</v>
      </c>
    </row>
    <row r="27" spans="2:4">
      <c r="B27" s="44">
        <v>7143</v>
      </c>
      <c r="C27" s="45" t="s">
        <v>45</v>
      </c>
      <c r="D27" s="46" t="e">
        <f>+#REF!</f>
        <v>#REF!</v>
      </c>
    </row>
    <row r="28" spans="2:4">
      <c r="B28" s="44">
        <v>7144</v>
      </c>
      <c r="C28" s="45" t="s">
        <v>47</v>
      </c>
      <c r="D28" s="46" t="e">
        <f>+#REF!</f>
        <v>#REF!</v>
      </c>
    </row>
    <row r="29" spans="2:4">
      <c r="B29" s="44">
        <v>7148</v>
      </c>
      <c r="C29" s="45" t="s">
        <v>313</v>
      </c>
      <c r="D29" s="46" t="e">
        <f>+#REF!</f>
        <v>#REF!</v>
      </c>
    </row>
    <row r="30" spans="2:4">
      <c r="B30" s="44">
        <v>7149</v>
      </c>
      <c r="C30" s="45" t="s">
        <v>51</v>
      </c>
      <c r="D30" s="46" t="e">
        <f>+#REF!</f>
        <v>#REF!</v>
      </c>
    </row>
    <row r="31" spans="2:4">
      <c r="B31" s="41">
        <v>715</v>
      </c>
      <c r="C31" s="42" t="s">
        <v>53</v>
      </c>
      <c r="D31" s="43" t="e">
        <f>SUM(D32:D35)</f>
        <v>#REF!</v>
      </c>
    </row>
    <row r="32" spans="2:4">
      <c r="B32" s="44">
        <v>7151</v>
      </c>
      <c r="C32" s="48" t="s">
        <v>55</v>
      </c>
      <c r="D32" s="46" t="e">
        <f>+#REF!</f>
        <v>#REF!</v>
      </c>
    </row>
    <row r="33" spans="2:4">
      <c r="B33" s="44">
        <v>7152</v>
      </c>
      <c r="C33" s="48" t="s">
        <v>57</v>
      </c>
      <c r="D33" s="46" t="e">
        <f>+#REF!</f>
        <v>#REF!</v>
      </c>
    </row>
    <row r="34" spans="2:4" ht="16.5" customHeight="1">
      <c r="B34" s="44">
        <v>7153</v>
      </c>
      <c r="C34" s="48" t="s">
        <v>59</v>
      </c>
      <c r="D34" s="46" t="e">
        <f>+#REF!</f>
        <v>#REF!</v>
      </c>
    </row>
    <row r="35" spans="2:4">
      <c r="B35" s="44">
        <v>7155</v>
      </c>
      <c r="C35" s="48" t="s">
        <v>53</v>
      </c>
      <c r="D35" s="46" t="e">
        <f>+#REF!</f>
        <v>#REF!</v>
      </c>
    </row>
    <row r="36" spans="2:4">
      <c r="B36" s="49">
        <v>72</v>
      </c>
      <c r="C36" s="50" t="s">
        <v>401</v>
      </c>
      <c r="D36" s="43" t="e">
        <f>+D37+D38+D41</f>
        <v>#REF!</v>
      </c>
    </row>
    <row r="37" spans="2:4">
      <c r="B37" s="51">
        <v>7200</v>
      </c>
      <c r="C37" s="48" t="s">
        <v>402</v>
      </c>
      <c r="D37" s="46" t="e">
        <f>+#REF!</f>
        <v>#REF!</v>
      </c>
    </row>
    <row r="38" spans="2:4" hidden="1">
      <c r="B38" s="52">
        <v>721</v>
      </c>
      <c r="C38" s="48" t="s">
        <v>403</v>
      </c>
      <c r="D38" s="46"/>
    </row>
    <row r="39" spans="2:4" hidden="1">
      <c r="B39" s="51">
        <v>7211</v>
      </c>
      <c r="C39" s="48" t="s">
        <v>404</v>
      </c>
      <c r="D39" s="46"/>
    </row>
    <row r="40" spans="2:4" hidden="1">
      <c r="B40" s="51">
        <v>7213</v>
      </c>
      <c r="C40" s="48" t="s">
        <v>405</v>
      </c>
      <c r="D40" s="46"/>
    </row>
    <row r="41" spans="2:4" hidden="1">
      <c r="B41" s="52">
        <v>722</v>
      </c>
      <c r="C41" s="48" t="s">
        <v>406</v>
      </c>
      <c r="D41" s="46">
        <v>0</v>
      </c>
    </row>
    <row r="42" spans="2:4" hidden="1">
      <c r="B42" s="44">
        <v>7221</v>
      </c>
      <c r="C42" s="48" t="s">
        <v>407</v>
      </c>
      <c r="D42" s="46"/>
    </row>
    <row r="43" spans="2:4" hidden="1">
      <c r="B43" s="44">
        <v>7222</v>
      </c>
      <c r="C43" s="48" t="s">
        <v>408</v>
      </c>
      <c r="D43" s="46"/>
    </row>
    <row r="44" spans="2:4">
      <c r="B44" s="49">
        <v>73</v>
      </c>
      <c r="C44" s="50" t="s">
        <v>409</v>
      </c>
      <c r="D44" s="43" t="e">
        <f>+D45</f>
        <v>#REF!</v>
      </c>
    </row>
    <row r="45" spans="2:4">
      <c r="B45" s="52">
        <v>731</v>
      </c>
      <c r="C45" s="45" t="s">
        <v>409</v>
      </c>
      <c r="D45" s="46" t="e">
        <f>+#REF!</f>
        <v>#REF!</v>
      </c>
    </row>
    <row r="46" spans="2:4" ht="27" hidden="1">
      <c r="B46" s="51">
        <v>7311</v>
      </c>
      <c r="C46" s="48" t="s">
        <v>410</v>
      </c>
      <c r="D46" s="46"/>
    </row>
    <row r="47" spans="2:4" hidden="1">
      <c r="B47" s="52">
        <v>7312</v>
      </c>
      <c r="C47" s="48" t="s">
        <v>411</v>
      </c>
      <c r="D47" s="46"/>
    </row>
    <row r="48" spans="2:4" hidden="1">
      <c r="B48" s="52">
        <v>7313</v>
      </c>
      <c r="C48" s="48" t="s">
        <v>412</v>
      </c>
      <c r="D48" s="46"/>
    </row>
    <row r="49" spans="2:4" hidden="1">
      <c r="B49" s="52">
        <v>7314</v>
      </c>
      <c r="C49" s="48" t="s">
        <v>413</v>
      </c>
      <c r="D49" s="46"/>
    </row>
    <row r="50" spans="2:4" hidden="1">
      <c r="B50" s="52">
        <v>732</v>
      </c>
      <c r="C50" s="45" t="s">
        <v>414</v>
      </c>
      <c r="D50" s="46"/>
    </row>
    <row r="51" spans="2:4" hidden="1">
      <c r="B51" s="44">
        <v>7321</v>
      </c>
      <c r="C51" s="48" t="s">
        <v>415</v>
      </c>
      <c r="D51" s="46"/>
    </row>
    <row r="52" spans="2:4">
      <c r="B52" s="49">
        <v>74</v>
      </c>
      <c r="C52" s="50" t="s">
        <v>416</v>
      </c>
      <c r="D52" s="43" t="e">
        <f>+D53</f>
        <v>#REF!</v>
      </c>
    </row>
    <row r="53" spans="2:4">
      <c r="B53" s="52">
        <v>741</v>
      </c>
      <c r="C53" s="48" t="s">
        <v>416</v>
      </c>
      <c r="D53" s="46" t="e">
        <f>+#REF!</f>
        <v>#REF!</v>
      </c>
    </row>
    <row r="54" spans="2:4" hidden="1">
      <c r="B54" s="44">
        <v>7411</v>
      </c>
      <c r="C54" s="48" t="s">
        <v>417</v>
      </c>
      <c r="D54" s="46">
        <v>0</v>
      </c>
    </row>
    <row r="55" spans="2:4">
      <c r="B55" s="49">
        <v>75</v>
      </c>
      <c r="C55" s="50" t="s">
        <v>111</v>
      </c>
      <c r="D55" s="43" t="e">
        <f>+D56</f>
        <v>#REF!</v>
      </c>
    </row>
    <row r="56" spans="2:4">
      <c r="B56" s="53">
        <v>751</v>
      </c>
      <c r="C56" s="54" t="s">
        <v>111</v>
      </c>
      <c r="D56" s="55" t="e">
        <f>+D57+D58</f>
        <v>#REF!</v>
      </c>
    </row>
    <row r="57" spans="2:4">
      <c r="B57" s="51">
        <v>7511</v>
      </c>
      <c r="C57" s="48" t="s">
        <v>144</v>
      </c>
      <c r="D57" s="46" t="e">
        <f>+#REF!</f>
        <v>#REF!</v>
      </c>
    </row>
    <row r="58" spans="2:4" ht="15.75" thickBot="1">
      <c r="B58" s="56">
        <v>7512</v>
      </c>
      <c r="C58" s="57" t="s">
        <v>122</v>
      </c>
      <c r="D58" s="58" t="e">
        <f>+#REF!</f>
        <v>#REF!</v>
      </c>
    </row>
    <row r="59" spans="2:4" ht="15.75" thickTop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D2:G24"/>
  <sheetViews>
    <sheetView workbookViewId="0">
      <selection activeCell="G24" sqref="G24"/>
    </sheetView>
  </sheetViews>
  <sheetFormatPr defaultColWidth="9.140625" defaultRowHeight="15"/>
  <cols>
    <col min="1" max="3" width="9.140625" style="29"/>
    <col min="4" max="4" width="44.28515625" style="29" customWidth="1"/>
    <col min="5" max="5" width="18.28515625" style="29" customWidth="1"/>
    <col min="6" max="6" width="9.140625" style="29"/>
    <col min="7" max="7" width="14.5703125" style="29" bestFit="1" customWidth="1"/>
    <col min="8" max="16384" width="9.140625" style="29"/>
  </cols>
  <sheetData>
    <row r="2" spans="4:7" ht="15.75" thickBot="1"/>
    <row r="3" spans="4:7" ht="16.5" thickTop="1" thickBot="1">
      <c r="D3" s="59" t="s">
        <v>127</v>
      </c>
      <c r="E3" s="60" t="s">
        <v>396</v>
      </c>
    </row>
    <row r="4" spans="4:7" ht="16.5" thickTop="1" thickBot="1">
      <c r="D4" s="61" t="s">
        <v>418</v>
      </c>
      <c r="E4" s="62" t="e">
        <f>+E5+E6</f>
        <v>#REF!</v>
      </c>
      <c r="G4" s="63" t="e">
        <f>+E4-#REF!</f>
        <v>#REF!</v>
      </c>
    </row>
    <row r="5" spans="4:7" ht="16.5" thickTop="1">
      <c r="D5" s="71" t="s">
        <v>419</v>
      </c>
      <c r="E5" s="72" t="e">
        <f>+PRIMICI!D6+PRIMICI!D14</f>
        <v>#REF!</v>
      </c>
      <c r="G5" s="65"/>
    </row>
    <row r="6" spans="4:7" ht="16.5" thickBot="1">
      <c r="D6" s="73" t="s">
        <v>53</v>
      </c>
      <c r="E6" s="74" t="e">
        <f>+PRIMICI!D19+PRIMICI!D24+PRIMICI!D31+PRIMICI!D44</f>
        <v>#REF!</v>
      </c>
      <c r="G6" s="65"/>
    </row>
    <row r="7" spans="4:7" ht="16.5" thickTop="1" thickBot="1">
      <c r="D7" s="66" t="s">
        <v>420</v>
      </c>
      <c r="E7" s="62" t="e">
        <f>+E8+E9</f>
        <v>#REF!</v>
      </c>
      <c r="G7" s="63" t="e">
        <f>+E7-#REF!</f>
        <v>#REF!</v>
      </c>
    </row>
    <row r="8" spans="4:7" ht="16.5" thickTop="1">
      <c r="D8" s="75" t="s">
        <v>126</v>
      </c>
      <c r="E8" s="72" t="e">
        <f>+#REF!</f>
        <v>#REF!</v>
      </c>
      <c r="G8" s="65"/>
    </row>
    <row r="9" spans="4:7" ht="16.5" thickBot="1">
      <c r="D9" s="73" t="s">
        <v>421</v>
      </c>
      <c r="E9" s="74" t="e">
        <f>+#REF!</f>
        <v>#REF!</v>
      </c>
      <c r="G9" s="65"/>
    </row>
    <row r="10" spans="4:7" ht="16.5" thickTop="1" thickBot="1">
      <c r="D10" s="67" t="s">
        <v>422</v>
      </c>
      <c r="E10" s="62" t="e">
        <f>+E4-E7</f>
        <v>#REF!</v>
      </c>
      <c r="G10" s="63" t="e">
        <f>+E10-#REF!</f>
        <v>#REF!</v>
      </c>
    </row>
    <row r="11" spans="4:7" ht="16.5" thickTop="1" thickBot="1">
      <c r="D11" s="67" t="s">
        <v>423</v>
      </c>
      <c r="E11" s="62" t="e">
        <f>+#REF!</f>
        <v>#REF!</v>
      </c>
      <c r="G11" s="65"/>
    </row>
    <row r="12" spans="4:7" ht="16.5" thickTop="1" thickBot="1">
      <c r="D12" s="67" t="s">
        <v>424</v>
      </c>
      <c r="E12" s="62" t="e">
        <f>+E13+E14+E15</f>
        <v>#REF!</v>
      </c>
      <c r="G12" s="63" t="e">
        <f>+E12-#REF!</f>
        <v>#REF!</v>
      </c>
    </row>
    <row r="13" spans="4:7" ht="16.5" thickTop="1" thickBot="1">
      <c r="D13" s="76" t="s">
        <v>158</v>
      </c>
      <c r="E13" s="72" t="e">
        <f>+#REF!</f>
        <v>#REF!</v>
      </c>
      <c r="G13" s="65"/>
    </row>
    <row r="14" spans="4:7" ht="16.5" thickTop="1" thickBot="1">
      <c r="D14" s="77" t="s">
        <v>159</v>
      </c>
      <c r="E14" s="72" t="e">
        <f>+#REF!</f>
        <v>#REF!</v>
      </c>
      <c r="G14" s="65"/>
    </row>
    <row r="15" spans="4:7" ht="16.5" thickTop="1" thickBot="1">
      <c r="D15" s="78" t="s">
        <v>160</v>
      </c>
      <c r="E15" s="72" t="e">
        <f>+#REF!</f>
        <v>#REF!</v>
      </c>
      <c r="G15" s="65"/>
    </row>
    <row r="16" spans="4:7" ht="15.75" hidden="1" thickBot="1">
      <c r="D16" s="68" t="s">
        <v>113</v>
      </c>
      <c r="E16" s="64">
        <v>0</v>
      </c>
      <c r="G16" s="65"/>
    </row>
    <row r="17" spans="4:7" ht="16.5" thickTop="1" thickBot="1">
      <c r="D17" s="67" t="s">
        <v>425</v>
      </c>
      <c r="E17" s="62" t="e">
        <f>+E10-E12</f>
        <v>#REF!</v>
      </c>
      <c r="G17" s="63" t="e">
        <f>+E17-#REF!</f>
        <v>#REF!</v>
      </c>
    </row>
    <row r="18" spans="4:7" ht="16.5" thickTop="1" thickBot="1">
      <c r="D18" s="67" t="s">
        <v>426</v>
      </c>
      <c r="E18" s="62" t="e">
        <f>SUM(E19:E23)</f>
        <v>#REF!</v>
      </c>
      <c r="G18" s="63" t="e">
        <f>+E18-#REF!</f>
        <v>#REF!</v>
      </c>
    </row>
    <row r="19" spans="4:7" ht="16.5" thickTop="1" thickBot="1">
      <c r="D19" s="76" t="s">
        <v>144</v>
      </c>
      <c r="E19" s="72" t="e">
        <f>+#REF!</f>
        <v>#REF!</v>
      </c>
      <c r="G19" s="65"/>
    </row>
    <row r="20" spans="4:7" ht="16.5" thickTop="1" thickBot="1">
      <c r="D20" s="77" t="s">
        <v>122</v>
      </c>
      <c r="E20" s="72" t="e">
        <f>+#REF!</f>
        <v>#REF!</v>
      </c>
      <c r="G20" s="65"/>
    </row>
    <row r="21" spans="4:7" ht="16.5" thickTop="1" thickBot="1">
      <c r="D21" s="77" t="s">
        <v>123</v>
      </c>
      <c r="E21" s="72" t="e">
        <f>+#REF!</f>
        <v>#REF!</v>
      </c>
      <c r="G21" s="65"/>
    </row>
    <row r="22" spans="4:7" ht="15.75" thickTop="1">
      <c r="D22" s="77" t="s">
        <v>124</v>
      </c>
      <c r="E22" s="72" t="e">
        <f>+#REF!</f>
        <v>#REF!</v>
      </c>
      <c r="G22" s="65"/>
    </row>
    <row r="23" spans="4:7" ht="15.75" thickBot="1">
      <c r="D23" s="78" t="s">
        <v>161</v>
      </c>
      <c r="E23" s="79" t="e">
        <f>-E17-SUM(E19:E22)</f>
        <v>#REF!</v>
      </c>
      <c r="G23" s="69" t="e">
        <f>+E23-#REF!</f>
        <v>#REF!</v>
      </c>
    </row>
    <row r="24" spans="4:7" ht="15.75" thickTop="1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444"/>
  <sheetViews>
    <sheetView topLeftCell="C324" workbookViewId="0">
      <selection activeCell="G429" sqref="G429"/>
    </sheetView>
  </sheetViews>
  <sheetFormatPr defaultColWidth="9.140625" defaultRowHeight="12.75"/>
  <cols>
    <col min="1" max="1" width="2" style="11" customWidth="1"/>
    <col min="2" max="2" width="62" style="11" customWidth="1"/>
    <col min="3" max="3" width="63.140625" style="11" customWidth="1"/>
    <col min="4" max="4" width="41.7109375" style="11" customWidth="1"/>
    <col min="5" max="5" width="20" style="11" customWidth="1"/>
    <col min="6" max="6" width="8.5703125" style="11" customWidth="1"/>
    <col min="7" max="7" width="5.42578125" style="11" customWidth="1"/>
    <col min="8" max="8" width="6.42578125" style="11" customWidth="1"/>
    <col min="9" max="9" width="8" style="11" customWidth="1"/>
    <col min="10" max="10" width="6.42578125" style="11" customWidth="1"/>
    <col min="11" max="11" width="9.28515625" style="11" customWidth="1"/>
    <col min="12" max="12" width="7.42578125" style="11" customWidth="1"/>
    <col min="13" max="13" width="17" style="11" customWidth="1"/>
    <col min="14" max="14" width="8.85546875" style="11" customWidth="1"/>
    <col min="15" max="15" width="83.140625" style="11" customWidth="1"/>
    <col min="16" max="16" width="6.42578125" style="11" customWidth="1"/>
    <col min="17" max="17" width="5.42578125" style="11" customWidth="1"/>
    <col min="18" max="18" width="6.42578125" style="11" customWidth="1"/>
    <col min="19" max="19" width="2.7109375" style="11" customWidth="1"/>
    <col min="20" max="20" width="6.5703125" style="11" customWidth="1"/>
    <col min="21" max="21" width="5.7109375" style="11" customWidth="1"/>
    <col min="22" max="22" width="11.7109375" style="1" customWidth="1"/>
    <col min="23" max="16384" width="9.140625" style="1"/>
  </cols>
  <sheetData>
    <row r="1" spans="1:3">
      <c r="A1" s="10">
        <v>2</v>
      </c>
      <c r="B1" s="11" t="s">
        <v>251</v>
      </c>
    </row>
    <row r="3" spans="1:3">
      <c r="B3" s="398" t="s">
        <v>196</v>
      </c>
      <c r="C3" s="398"/>
    </row>
    <row r="5" spans="1:3" ht="15" customHeight="1">
      <c r="B5" s="11" t="s">
        <v>199</v>
      </c>
      <c r="C5" s="11" t="s">
        <v>197</v>
      </c>
    </row>
    <row r="6" spans="1:3">
      <c r="B6" s="11" t="s">
        <v>200</v>
      </c>
      <c r="C6" s="11" t="s">
        <v>198</v>
      </c>
    </row>
    <row r="8" spans="1:3">
      <c r="B8" s="11" t="s">
        <v>208</v>
      </c>
      <c r="C8" s="11" t="s">
        <v>365</v>
      </c>
    </row>
    <row r="9" spans="1:3">
      <c r="B9" s="11" t="s">
        <v>206</v>
      </c>
      <c r="C9" s="11" t="s">
        <v>207</v>
      </c>
    </row>
    <row r="10" spans="1:3">
      <c r="B10" s="11" t="s">
        <v>213</v>
      </c>
      <c r="C10" s="11" t="s">
        <v>215</v>
      </c>
    </row>
    <row r="11" spans="1:3">
      <c r="B11" s="11" t="s">
        <v>214</v>
      </c>
      <c r="C11" s="11" t="s">
        <v>212</v>
      </c>
    </row>
    <row r="12" spans="1:3">
      <c r="B12" s="11" t="s">
        <v>216</v>
      </c>
      <c r="C12" s="11" t="s">
        <v>217</v>
      </c>
    </row>
    <row r="13" spans="1:3">
      <c r="B13" s="11" t="s">
        <v>211</v>
      </c>
      <c r="C13" s="11" t="s">
        <v>366</v>
      </c>
    </row>
    <row r="14" spans="1:3">
      <c r="B14" s="11" t="s">
        <v>367</v>
      </c>
      <c r="C14" s="11" t="s">
        <v>368</v>
      </c>
    </row>
    <row r="15" spans="1:3">
      <c r="B15" s="11" t="s">
        <v>209</v>
      </c>
      <c r="C15" s="11" t="s">
        <v>210</v>
      </c>
    </row>
    <row r="16" spans="1:3">
      <c r="B16" s="11" t="s">
        <v>201</v>
      </c>
      <c r="C16" s="11" t="s">
        <v>202</v>
      </c>
    </row>
    <row r="17" spans="2:3" ht="15" customHeight="1">
      <c r="B17" s="11" t="s">
        <v>203</v>
      </c>
      <c r="C17" s="11" t="s">
        <v>290</v>
      </c>
    </row>
    <row r="18" spans="2:3">
      <c r="B18" s="11" t="s">
        <v>369</v>
      </c>
      <c r="C18" s="11" t="s">
        <v>370</v>
      </c>
    </row>
    <row r="19" spans="2:3">
      <c r="B19" s="11" t="s">
        <v>291</v>
      </c>
      <c r="C19" s="11" t="s">
        <v>292</v>
      </c>
    </row>
    <row r="21" spans="2:3">
      <c r="B21" s="11" t="s">
        <v>221</v>
      </c>
      <c r="C21" s="11" t="s">
        <v>222</v>
      </c>
    </row>
    <row r="22" spans="2:3">
      <c r="B22" s="11" t="s">
        <v>204</v>
      </c>
      <c r="C22" s="11" t="s">
        <v>205</v>
      </c>
    </row>
    <row r="24" spans="2:3">
      <c r="B24" s="11" t="s">
        <v>331</v>
      </c>
    </row>
    <row r="25" spans="2:3">
      <c r="B25" s="11" t="s">
        <v>220</v>
      </c>
    </row>
    <row r="27" spans="2:3">
      <c r="B27" s="12" t="s">
        <v>172</v>
      </c>
    </row>
    <row r="28" spans="2:3">
      <c r="B28" s="12" t="s">
        <v>171</v>
      </c>
    </row>
    <row r="30" spans="2:3">
      <c r="B30" s="11" t="s">
        <v>218</v>
      </c>
    </row>
    <row r="31" spans="2:3">
      <c r="B31" s="11" t="s">
        <v>219</v>
      </c>
    </row>
    <row r="37" spans="2:20">
      <c r="B37" s="398" t="s">
        <v>244</v>
      </c>
      <c r="C37" s="398"/>
      <c r="D37" s="398"/>
      <c r="E37" s="398"/>
      <c r="F37" s="398"/>
      <c r="G37" s="398"/>
      <c r="H37" s="398"/>
      <c r="I37" s="398"/>
      <c r="J37" s="398"/>
      <c r="K37" s="398"/>
      <c r="L37" s="398"/>
      <c r="M37" s="398"/>
      <c r="N37" s="398"/>
      <c r="O37" s="398"/>
      <c r="P37" s="398"/>
      <c r="Q37" s="398"/>
      <c r="R37" s="398"/>
      <c r="S37" s="398"/>
      <c r="T37" s="398"/>
    </row>
    <row r="40" spans="2:20" ht="12.75" customHeight="1">
      <c r="B40" s="397" t="s">
        <v>239</v>
      </c>
      <c r="C40" s="397"/>
      <c r="D40" s="402" t="s">
        <v>245</v>
      </c>
      <c r="E40" s="402"/>
      <c r="F40" s="397" t="s">
        <v>240</v>
      </c>
      <c r="G40" s="397"/>
      <c r="H40" s="397"/>
      <c r="I40" s="2" t="s">
        <v>241</v>
      </c>
      <c r="J40" s="397" t="s">
        <v>242</v>
      </c>
      <c r="K40" s="397"/>
      <c r="L40" s="397"/>
      <c r="M40" s="397" t="s">
        <v>243</v>
      </c>
      <c r="N40" s="397"/>
      <c r="O40" s="397"/>
      <c r="P40" s="397"/>
    </row>
    <row r="41" spans="2:20">
      <c r="B41" s="397"/>
      <c r="C41" s="397"/>
      <c r="D41" s="402"/>
      <c r="E41" s="402"/>
      <c r="F41" s="13">
        <v>2008</v>
      </c>
      <c r="G41" s="14">
        <v>2009</v>
      </c>
      <c r="H41" s="14">
        <v>2010</v>
      </c>
      <c r="I41" s="14">
        <v>2011</v>
      </c>
      <c r="J41" s="14">
        <v>2012</v>
      </c>
      <c r="K41" s="14">
        <v>2013</v>
      </c>
      <c r="L41" s="14">
        <v>2014</v>
      </c>
      <c r="M41" s="14">
        <v>2011</v>
      </c>
      <c r="N41" s="14">
        <v>2012</v>
      </c>
      <c r="O41" s="14">
        <v>2013</v>
      </c>
      <c r="P41" s="14">
        <v>2014</v>
      </c>
    </row>
    <row r="42" spans="2:20">
      <c r="B42" s="400" t="s">
        <v>223</v>
      </c>
      <c r="C42" s="15" t="s">
        <v>224</v>
      </c>
      <c r="D42" s="403" t="s">
        <v>181</v>
      </c>
      <c r="E42" s="16" t="s">
        <v>182</v>
      </c>
      <c r="F42" s="403" t="s">
        <v>247</v>
      </c>
      <c r="G42" s="403"/>
      <c r="H42" s="403"/>
      <c r="I42" s="17" t="s">
        <v>248</v>
      </c>
      <c r="J42" s="404" t="s">
        <v>249</v>
      </c>
      <c r="K42" s="404"/>
      <c r="L42" s="404"/>
      <c r="M42" s="403" t="s">
        <v>250</v>
      </c>
      <c r="N42" s="403"/>
      <c r="O42" s="403"/>
      <c r="P42" s="403"/>
    </row>
    <row r="43" spans="2:20">
      <c r="B43" s="400"/>
      <c r="C43" s="18" t="s">
        <v>225</v>
      </c>
      <c r="D43" s="403"/>
      <c r="E43" s="16" t="s">
        <v>183</v>
      </c>
      <c r="G43" s="16"/>
      <c r="H43" s="16"/>
      <c r="I43" s="17"/>
      <c r="J43" s="16"/>
      <c r="K43" s="17"/>
      <c r="L43" s="16"/>
      <c r="M43" s="17"/>
      <c r="N43" s="16"/>
    </row>
    <row r="44" spans="2:20">
      <c r="B44" s="400"/>
      <c r="C44" s="15" t="s">
        <v>226</v>
      </c>
      <c r="D44" s="403"/>
      <c r="E44" s="16" t="s">
        <v>184</v>
      </c>
      <c r="F44" s="16"/>
      <c r="G44" s="17"/>
      <c r="H44" s="16"/>
      <c r="I44" s="17"/>
      <c r="J44" s="17"/>
      <c r="K44" s="17"/>
      <c r="L44" s="16"/>
      <c r="M44" s="16"/>
      <c r="N44" s="16"/>
    </row>
    <row r="45" spans="2:20">
      <c r="B45" s="400"/>
      <c r="C45" s="15" t="s">
        <v>227</v>
      </c>
      <c r="D45" s="403"/>
      <c r="E45" s="17" t="s">
        <v>185</v>
      </c>
      <c r="F45" s="17"/>
      <c r="G45" s="17"/>
      <c r="H45" s="17"/>
      <c r="I45" s="17"/>
      <c r="J45" s="17"/>
      <c r="K45" s="17"/>
      <c r="L45" s="17"/>
      <c r="M45" s="17"/>
      <c r="N45" s="17"/>
    </row>
    <row r="46" spans="2:20">
      <c r="B46" s="400"/>
      <c r="C46" s="15" t="s">
        <v>228</v>
      </c>
      <c r="D46" s="403"/>
      <c r="E46" s="17" t="s">
        <v>186</v>
      </c>
      <c r="F46" s="17"/>
      <c r="G46" s="17"/>
      <c r="H46" s="17"/>
      <c r="I46" s="17"/>
      <c r="J46" s="17"/>
      <c r="K46" s="17"/>
      <c r="L46" s="17"/>
      <c r="M46" s="17"/>
      <c r="N46" s="17"/>
    </row>
    <row r="47" spans="2:20">
      <c r="B47" s="400"/>
      <c r="C47" s="15" t="s">
        <v>229</v>
      </c>
      <c r="D47" s="403"/>
      <c r="E47" s="16" t="s">
        <v>187</v>
      </c>
      <c r="F47" s="17"/>
      <c r="G47" s="17"/>
      <c r="H47" s="17"/>
      <c r="I47" s="16"/>
      <c r="J47" s="16"/>
      <c r="K47" s="16"/>
      <c r="L47" s="16"/>
      <c r="M47" s="16"/>
      <c r="N47" s="16"/>
    </row>
    <row r="48" spans="2:20">
      <c r="B48" s="400"/>
      <c r="C48" s="15" t="s">
        <v>230</v>
      </c>
      <c r="D48" s="403"/>
      <c r="E48" s="17" t="s">
        <v>188</v>
      </c>
      <c r="F48" s="17"/>
      <c r="G48" s="17"/>
      <c r="H48" s="17"/>
      <c r="I48" s="17"/>
      <c r="J48" s="17"/>
      <c r="K48" s="17"/>
      <c r="L48" s="17"/>
      <c r="M48" s="17"/>
      <c r="N48" s="17"/>
    </row>
    <row r="49" spans="2:20">
      <c r="B49" s="400"/>
      <c r="C49" s="19" t="s">
        <v>231</v>
      </c>
      <c r="D49" s="403"/>
      <c r="E49" s="16" t="s">
        <v>246</v>
      </c>
      <c r="F49" s="17"/>
      <c r="G49" s="16"/>
      <c r="H49" s="16"/>
      <c r="I49" s="16"/>
      <c r="J49" s="16"/>
      <c r="K49" s="16"/>
      <c r="L49" s="16"/>
      <c r="M49" s="16"/>
      <c r="N49" s="16"/>
    </row>
    <row r="50" spans="2:20">
      <c r="B50" s="400"/>
      <c r="C50" s="15" t="s">
        <v>232</v>
      </c>
      <c r="D50" s="403"/>
      <c r="E50" s="17" t="s">
        <v>189</v>
      </c>
      <c r="F50" s="17"/>
      <c r="G50" s="17"/>
      <c r="H50" s="17"/>
      <c r="I50" s="17"/>
      <c r="J50" s="17"/>
      <c r="K50" s="17"/>
      <c r="L50" s="17"/>
      <c r="M50" s="17"/>
      <c r="N50" s="17"/>
    </row>
    <row r="51" spans="2:20">
      <c r="B51" s="400"/>
      <c r="C51" s="15" t="s">
        <v>379</v>
      </c>
      <c r="D51" s="403"/>
      <c r="E51" s="17" t="s">
        <v>380</v>
      </c>
      <c r="F51" s="17"/>
      <c r="G51" s="17"/>
      <c r="H51" s="17"/>
      <c r="I51" s="17"/>
      <c r="J51" s="17"/>
      <c r="K51" s="17"/>
      <c r="L51" s="17"/>
      <c r="M51" s="17"/>
      <c r="N51" s="17"/>
    </row>
    <row r="52" spans="2:20">
      <c r="B52" s="401" t="s">
        <v>233</v>
      </c>
      <c r="C52" s="20" t="s">
        <v>234</v>
      </c>
      <c r="D52" s="403" t="s">
        <v>190</v>
      </c>
      <c r="E52" s="17" t="s">
        <v>191</v>
      </c>
      <c r="F52" s="17"/>
      <c r="G52" s="17"/>
      <c r="H52" s="17"/>
      <c r="I52" s="17"/>
      <c r="J52" s="17"/>
      <c r="K52" s="17"/>
      <c r="L52" s="17"/>
      <c r="M52" s="17"/>
      <c r="N52" s="17"/>
    </row>
    <row r="53" spans="2:20">
      <c r="B53" s="401"/>
      <c r="C53" s="20" t="s">
        <v>235</v>
      </c>
      <c r="D53" s="403"/>
      <c r="E53" s="17" t="s">
        <v>192</v>
      </c>
      <c r="F53" s="17"/>
      <c r="G53" s="17"/>
      <c r="H53" s="17"/>
      <c r="I53" s="17"/>
      <c r="J53" s="17"/>
      <c r="K53" s="17"/>
      <c r="L53" s="17"/>
      <c r="M53" s="17"/>
      <c r="N53" s="17"/>
    </row>
    <row r="54" spans="2:20">
      <c r="B54" s="401"/>
      <c r="C54" s="20" t="s">
        <v>236</v>
      </c>
      <c r="D54" s="403"/>
      <c r="E54" s="17" t="s">
        <v>374</v>
      </c>
      <c r="F54" s="17"/>
      <c r="G54" s="17"/>
      <c r="H54" s="17"/>
      <c r="I54" s="17"/>
      <c r="J54" s="17"/>
      <c r="K54" s="16"/>
      <c r="L54" s="17"/>
      <c r="M54" s="17"/>
      <c r="N54" s="17"/>
    </row>
    <row r="55" spans="2:20">
      <c r="B55" s="401"/>
      <c r="C55" s="20" t="s">
        <v>375</v>
      </c>
      <c r="D55" s="403"/>
      <c r="E55" s="20" t="s">
        <v>377</v>
      </c>
      <c r="F55" s="17"/>
      <c r="G55" s="17"/>
      <c r="H55" s="17"/>
      <c r="I55" s="17"/>
      <c r="J55" s="17"/>
      <c r="K55" s="16"/>
      <c r="L55" s="17"/>
      <c r="M55" s="17"/>
      <c r="N55" s="17"/>
    </row>
    <row r="56" spans="2:20">
      <c r="B56" s="401"/>
      <c r="C56" s="20" t="s">
        <v>80</v>
      </c>
      <c r="D56" s="403"/>
      <c r="E56" s="17" t="s">
        <v>193</v>
      </c>
      <c r="F56" s="17"/>
      <c r="G56" s="16"/>
      <c r="H56" s="21"/>
      <c r="I56" s="21"/>
      <c r="J56" s="21"/>
      <c r="K56" s="21"/>
      <c r="L56" s="21"/>
      <c r="M56" s="21"/>
      <c r="N56" s="16"/>
    </row>
    <row r="57" spans="2:20">
      <c r="B57" s="401"/>
      <c r="C57" s="20" t="s">
        <v>237</v>
      </c>
      <c r="D57" s="403"/>
      <c r="E57" s="17" t="s">
        <v>194</v>
      </c>
      <c r="F57" s="17"/>
      <c r="G57" s="17"/>
      <c r="H57" s="17"/>
      <c r="I57" s="17"/>
      <c r="J57" s="21"/>
      <c r="K57" s="16"/>
      <c r="L57" s="17"/>
      <c r="M57" s="17"/>
      <c r="N57" s="17"/>
    </row>
    <row r="58" spans="2:20">
      <c r="B58" s="401"/>
      <c r="C58" s="20" t="s">
        <v>376</v>
      </c>
      <c r="D58" s="403"/>
      <c r="E58" s="17" t="s">
        <v>378</v>
      </c>
      <c r="F58" s="17"/>
      <c r="G58" s="17"/>
      <c r="H58" s="17"/>
      <c r="I58" s="17"/>
      <c r="J58" s="21"/>
      <c r="K58" s="16"/>
      <c r="L58" s="17"/>
      <c r="M58" s="17"/>
      <c r="N58" s="17"/>
    </row>
    <row r="59" spans="2:20">
      <c r="B59" s="401"/>
      <c r="C59" s="20" t="s">
        <v>238</v>
      </c>
      <c r="D59" s="403"/>
      <c r="E59" s="17" t="s">
        <v>195</v>
      </c>
      <c r="F59" s="17"/>
      <c r="G59" s="17"/>
      <c r="H59" s="17"/>
      <c r="I59" s="17"/>
      <c r="J59" s="17"/>
      <c r="K59" s="17"/>
      <c r="L59" s="21"/>
      <c r="M59" s="17"/>
      <c r="N59" s="17"/>
    </row>
    <row r="60" spans="2:20">
      <c r="B60" s="11" t="s">
        <v>333</v>
      </c>
      <c r="D60" s="11" t="s">
        <v>332</v>
      </c>
    </row>
    <row r="62" spans="2:20">
      <c r="B62" s="398" t="s">
        <v>252</v>
      </c>
      <c r="C62" s="398"/>
      <c r="D62" s="398"/>
      <c r="E62" s="398"/>
      <c r="F62" s="398"/>
      <c r="G62" s="398"/>
      <c r="H62" s="398"/>
      <c r="I62" s="398"/>
      <c r="J62" s="398"/>
      <c r="K62" s="398"/>
      <c r="L62" s="398"/>
      <c r="M62" s="398"/>
      <c r="N62" s="398"/>
      <c r="O62" s="398"/>
      <c r="P62" s="398"/>
      <c r="Q62" s="398"/>
      <c r="R62" s="398"/>
      <c r="S62" s="398"/>
      <c r="T62" s="398"/>
    </row>
    <row r="66" spans="2:22">
      <c r="B66" s="11" t="s">
        <v>371</v>
      </c>
    </row>
    <row r="67" spans="2:22">
      <c r="B67" s="11" t="s">
        <v>372</v>
      </c>
      <c r="M67" s="11" t="s">
        <v>338</v>
      </c>
      <c r="O67" s="11" t="s">
        <v>381</v>
      </c>
    </row>
    <row r="68" spans="2:22">
      <c r="D68" s="22"/>
      <c r="E68" s="23"/>
      <c r="F68" s="22"/>
      <c r="G68" s="23"/>
      <c r="H68" s="22"/>
      <c r="I68" s="23"/>
      <c r="J68" s="22"/>
      <c r="K68" s="23"/>
      <c r="L68" s="22"/>
      <c r="M68" s="23" t="s">
        <v>337</v>
      </c>
      <c r="N68" s="22"/>
      <c r="O68" s="23" t="s">
        <v>382</v>
      </c>
      <c r="P68" s="22"/>
      <c r="Q68" s="23"/>
      <c r="R68" s="22"/>
      <c r="S68" s="23"/>
      <c r="T68" s="22"/>
    </row>
    <row r="69" spans="2:22">
      <c r="C69" s="4">
        <v>2006</v>
      </c>
      <c r="D69" s="4"/>
      <c r="E69" s="4">
        <v>2007</v>
      </c>
      <c r="F69" s="4"/>
      <c r="G69" s="4">
        <v>2008</v>
      </c>
      <c r="H69" s="4"/>
      <c r="I69" s="4">
        <v>2009</v>
      </c>
      <c r="J69" s="4"/>
      <c r="K69" s="4">
        <v>2010</v>
      </c>
      <c r="L69" s="4"/>
      <c r="M69" s="4">
        <v>2011</v>
      </c>
      <c r="N69" s="4"/>
      <c r="O69" s="4">
        <v>2012</v>
      </c>
      <c r="P69" s="4"/>
      <c r="Q69" s="4">
        <v>2013</v>
      </c>
      <c r="R69" s="4"/>
      <c r="S69" s="4">
        <v>2014</v>
      </c>
      <c r="T69" s="4"/>
      <c r="U69" s="11">
        <v>2015</v>
      </c>
    </row>
    <row r="70" spans="2:22">
      <c r="B70" s="5" t="s">
        <v>127</v>
      </c>
      <c r="C70" s="6" t="s">
        <v>263</v>
      </c>
      <c r="D70" s="6" t="s">
        <v>150</v>
      </c>
      <c r="E70" s="6" t="s">
        <v>263</v>
      </c>
      <c r="F70" s="6" t="s">
        <v>150</v>
      </c>
      <c r="G70" s="6" t="s">
        <v>263</v>
      </c>
      <c r="H70" s="6" t="s">
        <v>150</v>
      </c>
      <c r="I70" s="6" t="s">
        <v>263</v>
      </c>
      <c r="J70" s="6" t="s">
        <v>150</v>
      </c>
      <c r="K70" s="6" t="s">
        <v>263</v>
      </c>
      <c r="L70" s="6" t="s">
        <v>150</v>
      </c>
      <c r="M70" s="6" t="s">
        <v>263</v>
      </c>
      <c r="N70" s="6" t="s">
        <v>150</v>
      </c>
      <c r="O70" s="6" t="s">
        <v>263</v>
      </c>
      <c r="P70" s="6" t="s">
        <v>150</v>
      </c>
      <c r="Q70" s="6" t="s">
        <v>263</v>
      </c>
      <c r="R70" s="6" t="s">
        <v>150</v>
      </c>
      <c r="S70" s="6" t="s">
        <v>263</v>
      </c>
      <c r="T70" s="6" t="s">
        <v>150</v>
      </c>
      <c r="U70" s="6" t="s">
        <v>263</v>
      </c>
      <c r="V70" s="3" t="s">
        <v>150</v>
      </c>
    </row>
    <row r="71" spans="2:22">
      <c r="B71" s="5" t="s">
        <v>253</v>
      </c>
      <c r="C71" s="6" t="s">
        <v>263</v>
      </c>
      <c r="D71" s="6" t="s">
        <v>166</v>
      </c>
      <c r="E71" s="6" t="s">
        <v>263</v>
      </c>
      <c r="F71" s="6" t="s">
        <v>166</v>
      </c>
      <c r="G71" s="6" t="s">
        <v>263</v>
      </c>
      <c r="H71" s="6" t="s">
        <v>166</v>
      </c>
      <c r="I71" s="6" t="s">
        <v>263</v>
      </c>
      <c r="J71" s="6" t="s">
        <v>166</v>
      </c>
      <c r="K71" s="6" t="s">
        <v>263</v>
      </c>
      <c r="L71" s="6" t="s">
        <v>166</v>
      </c>
      <c r="M71" s="6" t="s">
        <v>263</v>
      </c>
      <c r="N71" s="6" t="s">
        <v>166</v>
      </c>
      <c r="O71" s="6" t="s">
        <v>263</v>
      </c>
      <c r="P71" s="6" t="s">
        <v>166</v>
      </c>
      <c r="Q71" s="6" t="s">
        <v>263</v>
      </c>
      <c r="R71" s="6" t="s">
        <v>166</v>
      </c>
      <c r="S71" s="6" t="s">
        <v>263</v>
      </c>
      <c r="T71" s="6" t="s">
        <v>166</v>
      </c>
      <c r="U71" s="6" t="s">
        <v>263</v>
      </c>
      <c r="V71" s="3" t="s">
        <v>166</v>
      </c>
    </row>
    <row r="72" spans="2:22">
      <c r="B72" s="7" t="s">
        <v>128</v>
      </c>
      <c r="C72" s="23" t="s">
        <v>1</v>
      </c>
      <c r="D72" s="24"/>
      <c r="E72" s="25"/>
      <c r="F72" s="24"/>
      <c r="G72" s="25"/>
      <c r="H72" s="24"/>
      <c r="I72" s="25"/>
      <c r="J72" s="24"/>
      <c r="K72" s="25"/>
      <c r="L72" s="24"/>
      <c r="M72" s="25"/>
      <c r="N72" s="24"/>
      <c r="O72" s="25"/>
      <c r="P72" s="24"/>
      <c r="Q72" s="25"/>
      <c r="R72" s="24"/>
      <c r="S72" s="25"/>
      <c r="T72" s="24"/>
    </row>
    <row r="73" spans="2:22">
      <c r="B73" s="7" t="s">
        <v>2</v>
      </c>
      <c r="C73" s="23" t="s">
        <v>167</v>
      </c>
      <c r="D73" s="22"/>
      <c r="E73" s="23"/>
      <c r="F73" s="22"/>
      <c r="G73" s="23"/>
      <c r="H73" s="22"/>
      <c r="I73" s="23"/>
      <c r="J73" s="22"/>
      <c r="K73" s="23"/>
      <c r="L73" s="22"/>
      <c r="M73" s="23"/>
      <c r="N73" s="22"/>
      <c r="O73" s="23"/>
      <c r="P73" s="22"/>
      <c r="Q73" s="23"/>
      <c r="R73" s="22"/>
      <c r="S73" s="23"/>
      <c r="T73" s="22"/>
    </row>
    <row r="74" spans="2:22">
      <c r="B74" s="8" t="s">
        <v>3</v>
      </c>
      <c r="C74" s="23" t="s">
        <v>69</v>
      </c>
      <c r="D74" s="22"/>
      <c r="E74" s="23"/>
      <c r="F74" s="22"/>
      <c r="G74" s="23"/>
      <c r="H74" s="22"/>
      <c r="I74" s="23"/>
      <c r="J74" s="22"/>
      <c r="K74" s="23"/>
      <c r="L74" s="22"/>
      <c r="M74" s="23"/>
      <c r="N74" s="22"/>
      <c r="O74" s="23"/>
      <c r="P74" s="22"/>
      <c r="Q74" s="23"/>
      <c r="R74" s="22"/>
      <c r="S74" s="23"/>
      <c r="T74" s="22"/>
    </row>
    <row r="75" spans="2:22">
      <c r="B75" s="7" t="s">
        <v>5</v>
      </c>
      <c r="C75" s="23" t="s">
        <v>254</v>
      </c>
      <c r="D75" s="22"/>
      <c r="E75" s="23"/>
      <c r="F75" s="22"/>
      <c r="G75" s="23"/>
      <c r="H75" s="22"/>
      <c r="I75" s="23"/>
      <c r="J75" s="22"/>
      <c r="K75" s="23"/>
      <c r="L75" s="22"/>
      <c r="M75" s="23"/>
      <c r="N75" s="22"/>
      <c r="O75" s="23"/>
      <c r="P75" s="22"/>
      <c r="Q75" s="23"/>
      <c r="R75" s="22"/>
      <c r="S75" s="23"/>
      <c r="T75" s="22"/>
    </row>
    <row r="76" spans="2:22">
      <c r="B76" s="7" t="s">
        <v>7</v>
      </c>
      <c r="C76" s="26" t="s">
        <v>8</v>
      </c>
      <c r="D76" s="22"/>
      <c r="E76" s="23"/>
      <c r="F76" s="22"/>
      <c r="G76" s="23"/>
      <c r="H76" s="22"/>
      <c r="I76" s="23"/>
      <c r="J76" s="22"/>
      <c r="K76" s="23"/>
      <c r="L76" s="22"/>
      <c r="M76" s="23"/>
      <c r="N76" s="22"/>
      <c r="O76" s="23"/>
      <c r="P76" s="22"/>
      <c r="Q76" s="23"/>
      <c r="R76" s="22"/>
      <c r="S76" s="23"/>
      <c r="T76" s="22"/>
    </row>
    <row r="77" spans="2:22">
      <c r="B77" s="7" t="s">
        <v>9</v>
      </c>
      <c r="C77" s="26" t="s">
        <v>10</v>
      </c>
      <c r="D77" s="24"/>
      <c r="E77" s="25"/>
      <c r="F77" s="24"/>
      <c r="G77" s="25"/>
      <c r="H77" s="24"/>
      <c r="I77" s="25"/>
      <c r="J77" s="24"/>
      <c r="K77" s="25"/>
      <c r="L77" s="24"/>
      <c r="M77" s="25"/>
      <c r="N77" s="24"/>
      <c r="O77" s="25"/>
      <c r="P77" s="24"/>
      <c r="Q77" s="25"/>
      <c r="R77" s="24"/>
      <c r="S77" s="25"/>
      <c r="T77" s="24"/>
    </row>
    <row r="78" spans="2:22">
      <c r="B78" s="7" t="s">
        <v>12</v>
      </c>
      <c r="C78" s="26" t="s">
        <v>13</v>
      </c>
      <c r="D78" s="24"/>
      <c r="E78" s="23"/>
      <c r="F78" s="24"/>
      <c r="G78" s="23"/>
      <c r="H78" s="24"/>
      <c r="I78" s="23"/>
      <c r="J78" s="24"/>
      <c r="K78" s="23"/>
      <c r="L78" s="24"/>
      <c r="M78" s="23"/>
      <c r="N78" s="24"/>
      <c r="O78" s="23"/>
      <c r="P78" s="24"/>
      <c r="Q78" s="23"/>
      <c r="R78" s="24"/>
      <c r="S78" s="23"/>
      <c r="T78" s="24"/>
    </row>
    <row r="79" spans="2:22">
      <c r="B79" s="7" t="s">
        <v>14</v>
      </c>
      <c r="C79" s="26" t="s">
        <v>15</v>
      </c>
      <c r="D79" s="24"/>
      <c r="E79" s="23"/>
      <c r="F79" s="24"/>
      <c r="G79" s="23"/>
      <c r="H79" s="24"/>
      <c r="I79" s="23"/>
      <c r="J79" s="24"/>
      <c r="K79" s="23"/>
      <c r="L79" s="24"/>
      <c r="M79" s="23"/>
      <c r="N79" s="24"/>
      <c r="O79" s="23"/>
      <c r="P79" s="24"/>
      <c r="Q79" s="23"/>
      <c r="R79" s="24"/>
      <c r="S79" s="23"/>
      <c r="T79" s="24"/>
    </row>
    <row r="80" spans="2:22">
      <c r="B80" s="7" t="s">
        <v>17</v>
      </c>
      <c r="C80" s="26" t="s">
        <v>18</v>
      </c>
      <c r="D80" s="24"/>
      <c r="E80" s="23"/>
      <c r="F80" s="24"/>
      <c r="G80" s="23"/>
      <c r="H80" s="24"/>
      <c r="I80" s="23"/>
      <c r="J80" s="24"/>
      <c r="K80" s="23"/>
      <c r="L80" s="24"/>
      <c r="M80" s="23"/>
      <c r="N80" s="24"/>
      <c r="O80" s="23"/>
      <c r="P80" s="24"/>
      <c r="Q80" s="23"/>
      <c r="R80" s="24"/>
      <c r="S80" s="23"/>
      <c r="T80" s="24"/>
    </row>
    <row r="81" spans="2:20">
      <c r="B81" s="7" t="s">
        <v>19</v>
      </c>
      <c r="C81" s="26" t="s">
        <v>20</v>
      </c>
      <c r="D81" s="24"/>
      <c r="E81" s="23"/>
      <c r="F81" s="24"/>
      <c r="G81" s="23"/>
      <c r="H81" s="24"/>
      <c r="I81" s="23"/>
      <c r="J81" s="24"/>
      <c r="K81" s="23"/>
      <c r="L81" s="24"/>
      <c r="M81" s="23"/>
      <c r="N81" s="24"/>
      <c r="O81" s="23"/>
      <c r="P81" s="24"/>
      <c r="Q81" s="23"/>
      <c r="R81" s="24"/>
      <c r="S81" s="23"/>
      <c r="T81" s="24"/>
    </row>
    <row r="82" spans="2:20">
      <c r="B82" s="7" t="s">
        <v>21</v>
      </c>
      <c r="C82" s="26" t="s">
        <v>22</v>
      </c>
      <c r="D82" s="24"/>
      <c r="E82" s="25"/>
      <c r="F82" s="24"/>
      <c r="G82" s="25"/>
      <c r="H82" s="24"/>
      <c r="I82" s="25"/>
      <c r="J82" s="24"/>
      <c r="K82" s="25"/>
      <c r="L82" s="24"/>
      <c r="M82" s="25"/>
      <c r="N82" s="24"/>
      <c r="O82" s="25"/>
      <c r="P82" s="24"/>
      <c r="Q82" s="25"/>
      <c r="R82" s="24"/>
      <c r="S82" s="25"/>
      <c r="T82" s="24"/>
    </row>
    <row r="83" spans="2:20">
      <c r="B83" s="7" t="s">
        <v>23</v>
      </c>
      <c r="C83" s="26" t="s">
        <v>24</v>
      </c>
      <c r="D83" s="24"/>
      <c r="E83" s="23"/>
      <c r="F83" s="24"/>
      <c r="G83" s="23"/>
      <c r="H83" s="24"/>
      <c r="I83" s="23"/>
      <c r="J83" s="24"/>
      <c r="K83" s="23"/>
      <c r="L83" s="24"/>
      <c r="M83" s="23"/>
      <c r="N83" s="24"/>
      <c r="O83" s="23"/>
      <c r="P83" s="24"/>
      <c r="Q83" s="23"/>
      <c r="R83" s="24"/>
      <c r="S83" s="23"/>
      <c r="T83" s="24"/>
    </row>
    <row r="84" spans="2:20">
      <c r="B84" s="7" t="s">
        <v>25</v>
      </c>
      <c r="C84" s="26" t="s">
        <v>26</v>
      </c>
      <c r="D84" s="24"/>
      <c r="E84" s="23"/>
      <c r="F84" s="24"/>
      <c r="G84" s="23"/>
      <c r="H84" s="24"/>
      <c r="I84" s="23"/>
      <c r="J84" s="24"/>
      <c r="K84" s="23"/>
      <c r="L84" s="24"/>
      <c r="M84" s="23"/>
      <c r="N84" s="24"/>
      <c r="O84" s="23"/>
      <c r="P84" s="24"/>
      <c r="Q84" s="23"/>
      <c r="R84" s="24"/>
      <c r="S84" s="23"/>
      <c r="T84" s="24"/>
    </row>
    <row r="85" spans="2:20">
      <c r="B85" s="7" t="s">
        <v>27</v>
      </c>
      <c r="C85" s="26" t="s">
        <v>28</v>
      </c>
      <c r="D85" s="24"/>
      <c r="E85" s="23"/>
      <c r="F85" s="24"/>
      <c r="G85" s="23"/>
      <c r="H85" s="24"/>
      <c r="I85" s="23"/>
      <c r="J85" s="24"/>
      <c r="K85" s="23"/>
      <c r="L85" s="24"/>
      <c r="M85" s="23"/>
      <c r="N85" s="24"/>
      <c r="O85" s="23"/>
      <c r="P85" s="24"/>
      <c r="Q85" s="23"/>
      <c r="R85" s="24"/>
      <c r="S85" s="23"/>
      <c r="T85" s="24"/>
    </row>
    <row r="86" spans="2:20">
      <c r="B86" s="7" t="s">
        <v>29</v>
      </c>
      <c r="C86" s="26" t="s">
        <v>30</v>
      </c>
      <c r="D86" s="24"/>
      <c r="E86" s="23"/>
      <c r="F86" s="24"/>
      <c r="G86" s="23"/>
      <c r="H86" s="24"/>
      <c r="I86" s="23"/>
      <c r="J86" s="24"/>
      <c r="K86" s="23"/>
      <c r="L86" s="24"/>
      <c r="M86" s="23"/>
      <c r="N86" s="24"/>
      <c r="O86" s="23"/>
      <c r="P86" s="24"/>
      <c r="Q86" s="23"/>
      <c r="R86" s="24"/>
      <c r="S86" s="23"/>
      <c r="T86" s="24"/>
    </row>
    <row r="87" spans="2:20">
      <c r="B87" s="7" t="s">
        <v>31</v>
      </c>
      <c r="C87" s="26" t="s">
        <v>175</v>
      </c>
      <c r="D87" s="24"/>
      <c r="E87" s="23"/>
      <c r="F87" s="24"/>
      <c r="G87" s="23"/>
      <c r="H87" s="24"/>
      <c r="I87" s="23"/>
      <c r="J87" s="24"/>
      <c r="K87" s="23"/>
      <c r="L87" s="24"/>
      <c r="M87" s="23"/>
      <c r="N87" s="24"/>
      <c r="O87" s="23"/>
      <c r="P87" s="24"/>
      <c r="Q87" s="23"/>
      <c r="R87" s="24"/>
      <c r="S87" s="23"/>
      <c r="T87" s="24"/>
    </row>
    <row r="88" spans="2:20">
      <c r="B88" s="7" t="s">
        <v>32</v>
      </c>
      <c r="C88" s="12" t="s">
        <v>33</v>
      </c>
      <c r="D88" s="24"/>
      <c r="E88" s="23"/>
      <c r="F88" s="24"/>
      <c r="G88" s="23"/>
      <c r="H88" s="24"/>
      <c r="I88" s="23"/>
      <c r="J88" s="24"/>
      <c r="K88" s="23"/>
      <c r="L88" s="24"/>
      <c r="M88" s="23"/>
      <c r="N88" s="24"/>
      <c r="O88" s="23"/>
      <c r="P88" s="24"/>
      <c r="Q88" s="23"/>
      <c r="R88" s="24"/>
      <c r="S88" s="23"/>
      <c r="T88" s="24"/>
    </row>
    <row r="89" spans="2:20">
      <c r="B89" s="7" t="s">
        <v>34</v>
      </c>
      <c r="C89" s="12" t="s">
        <v>35</v>
      </c>
      <c r="D89" s="24"/>
      <c r="E89" s="25"/>
      <c r="F89" s="24"/>
      <c r="G89" s="25"/>
      <c r="H89" s="24"/>
      <c r="I89" s="25"/>
      <c r="J89" s="24"/>
      <c r="K89" s="25"/>
      <c r="L89" s="24"/>
      <c r="M89" s="25"/>
      <c r="N89" s="24"/>
      <c r="O89" s="25"/>
      <c r="P89" s="24"/>
      <c r="Q89" s="25"/>
      <c r="R89" s="24"/>
      <c r="S89" s="25"/>
      <c r="T89" s="24"/>
    </row>
    <row r="90" spans="2:20">
      <c r="B90" s="7" t="s">
        <v>37</v>
      </c>
      <c r="C90" s="12" t="s">
        <v>38</v>
      </c>
      <c r="D90" s="24"/>
      <c r="E90" s="23"/>
      <c r="F90" s="24"/>
      <c r="G90" s="23"/>
      <c r="H90" s="24"/>
      <c r="I90" s="23"/>
      <c r="J90" s="24"/>
      <c r="K90" s="23"/>
      <c r="L90" s="24"/>
      <c r="M90" s="23"/>
      <c r="N90" s="24"/>
      <c r="O90" s="23"/>
      <c r="P90" s="24"/>
      <c r="Q90" s="23"/>
      <c r="R90" s="24"/>
      <c r="S90" s="23"/>
      <c r="T90" s="24"/>
    </row>
    <row r="91" spans="2:20">
      <c r="B91" s="7" t="s">
        <v>39</v>
      </c>
      <c r="C91" s="12" t="s">
        <v>168</v>
      </c>
      <c r="D91" s="24"/>
      <c r="E91" s="23"/>
      <c r="F91" s="24"/>
      <c r="G91" s="23"/>
      <c r="H91" s="24"/>
      <c r="I91" s="23"/>
      <c r="J91" s="24"/>
      <c r="K91" s="23"/>
      <c r="L91" s="24"/>
      <c r="M91" s="23"/>
      <c r="N91" s="24"/>
      <c r="O91" s="23"/>
      <c r="P91" s="24"/>
      <c r="Q91" s="23"/>
      <c r="R91" s="24"/>
      <c r="S91" s="23"/>
      <c r="T91" s="24"/>
    </row>
    <row r="92" spans="2:20">
      <c r="B92" s="7" t="s">
        <v>40</v>
      </c>
      <c r="C92" s="12" t="s">
        <v>41</v>
      </c>
      <c r="D92" s="24"/>
      <c r="E92" s="23"/>
      <c r="F92" s="24"/>
      <c r="G92" s="23"/>
      <c r="H92" s="24"/>
      <c r="I92" s="23"/>
      <c r="J92" s="24"/>
      <c r="K92" s="23"/>
      <c r="L92" s="24"/>
      <c r="M92" s="23"/>
      <c r="N92" s="24"/>
      <c r="O92" s="23"/>
      <c r="P92" s="24"/>
      <c r="Q92" s="23"/>
      <c r="R92" s="24"/>
      <c r="S92" s="23"/>
      <c r="T92" s="24"/>
    </row>
    <row r="93" spans="2:20">
      <c r="B93" s="7" t="s">
        <v>42</v>
      </c>
      <c r="C93" s="12" t="s">
        <v>43</v>
      </c>
      <c r="D93" s="24"/>
      <c r="E93" s="23"/>
      <c r="F93" s="24"/>
      <c r="G93" s="23"/>
      <c r="H93" s="24"/>
      <c r="I93" s="23"/>
      <c r="J93" s="24"/>
      <c r="K93" s="23"/>
      <c r="L93" s="24"/>
      <c r="M93" s="23"/>
      <c r="N93" s="24"/>
      <c r="O93" s="23"/>
      <c r="P93" s="24"/>
      <c r="Q93" s="23"/>
      <c r="R93" s="24"/>
      <c r="S93" s="23"/>
      <c r="T93" s="24"/>
    </row>
    <row r="94" spans="2:20">
      <c r="B94" s="7" t="s">
        <v>45</v>
      </c>
      <c r="C94" s="12" t="s">
        <v>46</v>
      </c>
      <c r="D94" s="24"/>
      <c r="E94" s="25"/>
      <c r="F94" s="24"/>
      <c r="G94" s="25"/>
      <c r="H94" s="24"/>
      <c r="I94" s="25"/>
      <c r="J94" s="24"/>
      <c r="K94" s="25"/>
      <c r="L94" s="24"/>
      <c r="M94" s="25"/>
      <c r="N94" s="24"/>
      <c r="O94" s="25"/>
      <c r="P94" s="24"/>
      <c r="Q94" s="25"/>
      <c r="R94" s="24"/>
      <c r="S94" s="25"/>
      <c r="T94" s="24"/>
    </row>
    <row r="95" spans="2:20">
      <c r="B95" s="7" t="s">
        <v>47</v>
      </c>
      <c r="C95" s="12" t="s">
        <v>48</v>
      </c>
      <c r="D95" s="24"/>
      <c r="E95" s="25"/>
      <c r="F95" s="24"/>
      <c r="G95" s="25"/>
      <c r="H95" s="24"/>
      <c r="I95" s="25"/>
      <c r="J95" s="24"/>
      <c r="K95" s="25"/>
      <c r="L95" s="24"/>
      <c r="M95" s="25"/>
      <c r="N95" s="24"/>
      <c r="O95" s="25"/>
      <c r="P95" s="24"/>
      <c r="Q95" s="25"/>
      <c r="R95" s="24"/>
      <c r="S95" s="25"/>
      <c r="T95" s="24"/>
    </row>
    <row r="96" spans="2:20">
      <c r="B96" s="7" t="s">
        <v>50</v>
      </c>
      <c r="C96" s="12" t="s">
        <v>169</v>
      </c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  <c r="P96" s="24"/>
      <c r="Q96" s="25"/>
      <c r="R96" s="24"/>
      <c r="S96" s="25"/>
      <c r="T96" s="24"/>
    </row>
    <row r="97" spans="2:20">
      <c r="B97" s="7" t="s">
        <v>51</v>
      </c>
      <c r="C97" s="12" t="s">
        <v>52</v>
      </c>
      <c r="D97" s="22"/>
      <c r="E97" s="23"/>
      <c r="F97" s="22"/>
      <c r="G97" s="23"/>
      <c r="H97" s="22"/>
      <c r="I97" s="23"/>
      <c r="J97" s="22"/>
      <c r="K97" s="23"/>
      <c r="L97" s="22"/>
      <c r="M97" s="23"/>
      <c r="N97" s="22"/>
      <c r="O97" s="23"/>
      <c r="P97" s="22"/>
      <c r="Q97" s="23"/>
      <c r="R97" s="22"/>
      <c r="S97" s="23"/>
      <c r="T97" s="22"/>
    </row>
    <row r="98" spans="2:20">
      <c r="B98" s="7" t="s">
        <v>53</v>
      </c>
      <c r="C98" s="12" t="s">
        <v>54</v>
      </c>
      <c r="D98" s="22"/>
      <c r="E98" s="23"/>
      <c r="F98" s="22"/>
      <c r="G98" s="23"/>
      <c r="H98" s="22"/>
      <c r="I98" s="23"/>
      <c r="J98" s="22"/>
      <c r="K98" s="23"/>
      <c r="L98" s="22"/>
      <c r="M98" s="23"/>
      <c r="N98" s="22"/>
      <c r="O98" s="23"/>
      <c r="P98" s="22"/>
      <c r="Q98" s="23"/>
      <c r="R98" s="22"/>
      <c r="S98" s="23"/>
      <c r="T98" s="22"/>
    </row>
    <row r="99" spans="2:20">
      <c r="B99" s="7" t="s">
        <v>55</v>
      </c>
      <c r="C99" s="12" t="s">
        <v>56</v>
      </c>
      <c r="D99" s="22"/>
      <c r="E99" s="23"/>
      <c r="F99" s="22"/>
      <c r="G99" s="23"/>
      <c r="H99" s="22"/>
      <c r="I99" s="23"/>
      <c r="J99" s="22"/>
      <c r="K99" s="23"/>
      <c r="L99" s="22"/>
      <c r="M99" s="23"/>
      <c r="N99" s="22"/>
      <c r="O99" s="23"/>
      <c r="P99" s="22"/>
      <c r="Q99" s="23"/>
      <c r="R99" s="22"/>
      <c r="S99" s="23"/>
      <c r="T99" s="22"/>
    </row>
    <row r="100" spans="2:20">
      <c r="B100" s="7" t="s">
        <v>57</v>
      </c>
      <c r="C100" s="12" t="s">
        <v>58</v>
      </c>
      <c r="D100" s="22"/>
      <c r="E100" s="23"/>
      <c r="F100" s="22"/>
      <c r="G100" s="23"/>
      <c r="H100" s="22"/>
      <c r="I100" s="23"/>
      <c r="J100" s="22"/>
      <c r="K100" s="23"/>
      <c r="L100" s="22"/>
      <c r="M100" s="23"/>
      <c r="N100" s="22"/>
      <c r="O100" s="23"/>
      <c r="P100" s="22"/>
      <c r="Q100" s="23"/>
      <c r="R100" s="22"/>
      <c r="S100" s="23"/>
      <c r="T100" s="22"/>
    </row>
    <row r="101" spans="2:20">
      <c r="B101" s="7" t="s">
        <v>59</v>
      </c>
      <c r="C101" s="12" t="s">
        <v>60</v>
      </c>
      <c r="D101" s="22"/>
      <c r="E101" s="23"/>
      <c r="F101" s="22"/>
      <c r="G101" s="23"/>
      <c r="H101" s="22"/>
      <c r="I101" s="23"/>
      <c r="J101" s="22"/>
      <c r="K101" s="23"/>
      <c r="L101" s="22"/>
      <c r="M101" s="23"/>
      <c r="N101" s="22"/>
      <c r="O101" s="23"/>
      <c r="P101" s="22"/>
      <c r="Q101" s="23"/>
      <c r="R101" s="22"/>
      <c r="S101" s="23"/>
      <c r="T101" s="22"/>
    </row>
    <row r="102" spans="2:20">
      <c r="B102" s="7" t="s">
        <v>53</v>
      </c>
      <c r="C102" s="12" t="s">
        <v>54</v>
      </c>
      <c r="D102" s="22"/>
      <c r="E102" s="23"/>
      <c r="F102" s="22"/>
      <c r="G102" s="23"/>
      <c r="H102" s="22"/>
      <c r="I102" s="23"/>
      <c r="J102" s="22"/>
      <c r="K102" s="23"/>
      <c r="L102" s="22"/>
      <c r="M102" s="23"/>
      <c r="N102" s="22"/>
      <c r="O102" s="23"/>
      <c r="P102" s="22"/>
      <c r="Q102" s="23"/>
      <c r="R102" s="22"/>
      <c r="S102" s="23"/>
      <c r="T102" s="22"/>
    </row>
    <row r="103" spans="2:20">
      <c r="B103" s="7" t="s">
        <v>255</v>
      </c>
      <c r="C103" s="12" t="s">
        <v>61</v>
      </c>
      <c r="D103" s="22"/>
      <c r="E103" s="23"/>
      <c r="F103" s="22"/>
      <c r="G103" s="23"/>
      <c r="H103" s="22"/>
      <c r="I103" s="23"/>
      <c r="J103" s="22"/>
      <c r="K103" s="23"/>
      <c r="L103" s="22"/>
      <c r="M103" s="23"/>
      <c r="N103" s="22"/>
      <c r="O103" s="23"/>
      <c r="P103" s="22"/>
      <c r="Q103" s="23"/>
      <c r="R103" s="22"/>
      <c r="S103" s="23"/>
      <c r="T103" s="22"/>
    </row>
    <row r="104" spans="2:20">
      <c r="B104" s="7" t="s">
        <v>62</v>
      </c>
      <c r="C104" s="12" t="s">
        <v>340</v>
      </c>
      <c r="D104" s="22"/>
      <c r="E104" s="23"/>
      <c r="F104" s="22"/>
      <c r="G104" s="23"/>
      <c r="H104" s="22"/>
      <c r="I104" s="23"/>
      <c r="J104" s="22"/>
      <c r="K104" s="23"/>
      <c r="L104" s="22"/>
      <c r="M104" s="23"/>
      <c r="N104" s="22"/>
      <c r="O104" s="23"/>
      <c r="P104" s="22"/>
      <c r="Q104" s="23"/>
      <c r="R104" s="22"/>
      <c r="S104" s="23"/>
      <c r="T104" s="22"/>
    </row>
    <row r="105" spans="2:20">
      <c r="B105" s="7" t="s">
        <v>126</v>
      </c>
      <c r="C105" s="12" t="s">
        <v>170</v>
      </c>
      <c r="D105" s="22"/>
      <c r="E105" s="23"/>
      <c r="F105" s="22"/>
      <c r="G105" s="23"/>
      <c r="H105" s="22"/>
      <c r="I105" s="23"/>
      <c r="J105" s="22"/>
      <c r="K105" s="23"/>
      <c r="L105" s="22"/>
      <c r="M105" s="23"/>
      <c r="N105" s="22"/>
      <c r="O105" s="23"/>
      <c r="P105" s="22"/>
      <c r="Q105" s="23"/>
      <c r="R105" s="22"/>
      <c r="S105" s="23"/>
      <c r="T105" s="22"/>
    </row>
    <row r="106" spans="2:20">
      <c r="B106" s="9" t="s">
        <v>63</v>
      </c>
      <c r="C106" s="12" t="s">
        <v>341</v>
      </c>
      <c r="D106" s="22"/>
      <c r="E106" s="23"/>
      <c r="F106" s="22"/>
      <c r="G106" s="23"/>
      <c r="H106" s="22"/>
      <c r="I106" s="23"/>
      <c r="J106" s="22"/>
      <c r="K106" s="23"/>
      <c r="L106" s="22"/>
      <c r="M106" s="23"/>
      <c r="N106" s="22"/>
      <c r="O106" s="23"/>
      <c r="P106" s="22"/>
      <c r="Q106" s="23"/>
      <c r="R106" s="22"/>
      <c r="S106" s="23"/>
      <c r="T106" s="22"/>
    </row>
    <row r="107" spans="2:20">
      <c r="B107" s="9" t="s">
        <v>64</v>
      </c>
      <c r="C107" s="12" t="s">
        <v>65</v>
      </c>
      <c r="D107" s="22"/>
      <c r="E107" s="23"/>
      <c r="F107" s="22"/>
      <c r="G107" s="23"/>
      <c r="H107" s="22"/>
      <c r="I107" s="23"/>
      <c r="J107" s="22"/>
      <c r="K107" s="23"/>
      <c r="L107" s="22"/>
      <c r="M107" s="23"/>
      <c r="N107" s="22"/>
      <c r="O107" s="23"/>
      <c r="P107" s="22"/>
      <c r="Q107" s="23"/>
      <c r="R107" s="22"/>
      <c r="S107" s="23"/>
      <c r="T107" s="22"/>
    </row>
    <row r="108" spans="2:20">
      <c r="B108" s="9" t="s">
        <v>66</v>
      </c>
      <c r="C108" s="12" t="s">
        <v>67</v>
      </c>
      <c r="D108" s="22"/>
      <c r="E108" s="23"/>
      <c r="F108" s="22"/>
      <c r="G108" s="23"/>
      <c r="H108" s="22"/>
      <c r="I108" s="23"/>
      <c r="J108" s="22"/>
      <c r="K108" s="23"/>
      <c r="L108" s="22"/>
      <c r="M108" s="23"/>
      <c r="N108" s="22"/>
      <c r="O108" s="23"/>
      <c r="P108" s="22"/>
      <c r="Q108" s="23"/>
      <c r="R108" s="22"/>
      <c r="S108" s="23"/>
      <c r="T108" s="22"/>
    </row>
    <row r="109" spans="2:20">
      <c r="B109" s="9" t="s">
        <v>68</v>
      </c>
      <c r="C109" s="12" t="s">
        <v>69</v>
      </c>
      <c r="D109" s="22"/>
      <c r="E109" s="23"/>
      <c r="F109" s="22"/>
      <c r="G109" s="23"/>
      <c r="H109" s="22"/>
      <c r="I109" s="23"/>
      <c r="J109" s="22"/>
      <c r="K109" s="23"/>
      <c r="L109" s="22"/>
      <c r="M109" s="23"/>
      <c r="N109" s="22"/>
      <c r="O109" s="23"/>
      <c r="P109" s="22"/>
      <c r="Q109" s="23"/>
      <c r="R109" s="22"/>
      <c r="S109" s="23"/>
      <c r="T109" s="22"/>
    </row>
    <row r="110" spans="2:20">
      <c r="B110" s="9" t="s">
        <v>70</v>
      </c>
      <c r="C110" s="12" t="s">
        <v>71</v>
      </c>
      <c r="D110" s="22"/>
      <c r="E110" s="23"/>
      <c r="F110" s="22"/>
      <c r="G110" s="23"/>
      <c r="H110" s="22"/>
      <c r="I110" s="23"/>
      <c r="J110" s="22"/>
      <c r="K110" s="23"/>
      <c r="L110" s="22"/>
      <c r="M110" s="23"/>
      <c r="N110" s="22"/>
      <c r="O110" s="23"/>
      <c r="P110" s="22"/>
      <c r="Q110" s="23"/>
      <c r="R110" s="22"/>
      <c r="S110" s="23"/>
      <c r="T110" s="22"/>
    </row>
    <row r="111" spans="2:20">
      <c r="B111" s="9" t="s">
        <v>72</v>
      </c>
      <c r="C111" s="12" t="s">
        <v>73</v>
      </c>
      <c r="D111" s="22"/>
      <c r="E111" s="23"/>
      <c r="F111" s="22"/>
      <c r="G111" s="23"/>
      <c r="H111" s="22"/>
      <c r="I111" s="23"/>
      <c r="J111" s="22"/>
      <c r="K111" s="23"/>
      <c r="L111" s="22"/>
      <c r="M111" s="23"/>
      <c r="N111" s="22"/>
      <c r="O111" s="23"/>
      <c r="P111" s="22"/>
      <c r="Q111" s="23"/>
      <c r="R111" s="22"/>
      <c r="S111" s="23"/>
      <c r="T111" s="22"/>
    </row>
    <row r="112" spans="2:20">
      <c r="B112" s="9" t="s">
        <v>129</v>
      </c>
      <c r="C112" s="12" t="s">
        <v>179</v>
      </c>
      <c r="D112" s="24"/>
      <c r="E112" s="25"/>
      <c r="F112" s="24"/>
      <c r="G112" s="25"/>
      <c r="H112" s="24"/>
      <c r="I112" s="25"/>
      <c r="J112" s="24"/>
      <c r="K112" s="25"/>
      <c r="L112" s="24"/>
      <c r="M112" s="25"/>
      <c r="N112" s="24"/>
      <c r="O112" s="25"/>
      <c r="P112" s="24"/>
      <c r="Q112" s="25"/>
      <c r="R112" s="24"/>
      <c r="S112" s="25"/>
      <c r="T112" s="24"/>
    </row>
    <row r="113" spans="2:20">
      <c r="B113" s="9" t="s">
        <v>75</v>
      </c>
      <c r="C113" s="12" t="s">
        <v>76</v>
      </c>
      <c r="D113" s="22"/>
      <c r="E113" s="23"/>
      <c r="F113" s="22"/>
      <c r="G113" s="23"/>
      <c r="H113" s="22"/>
      <c r="I113" s="23"/>
      <c r="J113" s="22"/>
      <c r="K113" s="23"/>
      <c r="L113" s="22"/>
      <c r="M113" s="23"/>
      <c r="N113" s="22"/>
      <c r="O113" s="23"/>
      <c r="P113" s="22"/>
      <c r="Q113" s="23"/>
      <c r="R113" s="22"/>
      <c r="S113" s="23"/>
      <c r="T113" s="22"/>
    </row>
    <row r="114" spans="2:20">
      <c r="B114" s="9" t="s">
        <v>77</v>
      </c>
      <c r="C114" s="12" t="s">
        <v>78</v>
      </c>
      <c r="D114" s="22"/>
      <c r="E114" s="23"/>
      <c r="F114" s="22"/>
      <c r="G114" s="23"/>
      <c r="H114" s="22"/>
      <c r="I114" s="23"/>
      <c r="J114" s="22"/>
      <c r="K114" s="23"/>
      <c r="L114" s="22"/>
      <c r="M114" s="23"/>
      <c r="N114" s="22"/>
      <c r="O114" s="23"/>
      <c r="P114" s="22"/>
      <c r="Q114" s="23"/>
      <c r="R114" s="22"/>
      <c r="S114" s="23"/>
      <c r="T114" s="22"/>
    </row>
    <row r="115" spans="2:20">
      <c r="B115" s="9" t="s">
        <v>79</v>
      </c>
      <c r="C115" s="12" t="s">
        <v>151</v>
      </c>
      <c r="D115" s="22"/>
      <c r="E115" s="23"/>
      <c r="F115" s="22"/>
      <c r="G115" s="23"/>
      <c r="H115" s="22"/>
      <c r="I115" s="23"/>
      <c r="J115" s="22"/>
      <c r="K115" s="23"/>
      <c r="L115" s="22"/>
      <c r="M115" s="23"/>
      <c r="N115" s="22"/>
      <c r="O115" s="23"/>
      <c r="P115" s="22"/>
      <c r="Q115" s="23"/>
      <c r="R115" s="22"/>
      <c r="S115" s="23"/>
      <c r="T115" s="22"/>
    </row>
    <row r="116" spans="2:20">
      <c r="B116" s="9" t="s">
        <v>80</v>
      </c>
      <c r="C116" s="12" t="s">
        <v>81</v>
      </c>
      <c r="D116" s="22"/>
      <c r="E116" s="23"/>
      <c r="F116" s="22"/>
      <c r="G116" s="23"/>
      <c r="H116" s="22"/>
      <c r="I116" s="23"/>
      <c r="J116" s="22"/>
      <c r="K116" s="23"/>
      <c r="L116" s="22"/>
      <c r="M116" s="23"/>
      <c r="N116" s="22"/>
      <c r="O116" s="23"/>
      <c r="P116" s="22"/>
      <c r="Q116" s="23"/>
      <c r="R116" s="22"/>
      <c r="S116" s="23"/>
      <c r="T116" s="22"/>
    </row>
    <row r="117" spans="2:20">
      <c r="B117" s="9" t="s">
        <v>82</v>
      </c>
      <c r="C117" s="12" t="s">
        <v>83</v>
      </c>
      <c r="D117" s="22"/>
      <c r="E117" s="23"/>
      <c r="F117" s="22"/>
      <c r="G117" s="23"/>
      <c r="H117" s="22"/>
      <c r="I117" s="23"/>
      <c r="J117" s="22"/>
      <c r="K117" s="23"/>
      <c r="L117" s="22"/>
      <c r="M117" s="23"/>
      <c r="N117" s="22"/>
      <c r="O117" s="23"/>
      <c r="P117" s="22"/>
      <c r="Q117" s="23"/>
      <c r="R117" s="22"/>
      <c r="S117" s="23"/>
      <c r="T117" s="22"/>
    </row>
    <row r="118" spans="2:20">
      <c r="B118" s="9" t="s">
        <v>84</v>
      </c>
      <c r="C118" s="12" t="s">
        <v>85</v>
      </c>
      <c r="D118" s="24"/>
      <c r="E118" s="25"/>
      <c r="F118" s="24"/>
      <c r="G118" s="25"/>
      <c r="H118" s="24"/>
      <c r="I118" s="25"/>
      <c r="J118" s="24"/>
      <c r="K118" s="25"/>
      <c r="L118" s="24"/>
      <c r="M118" s="25"/>
      <c r="N118" s="24"/>
      <c r="O118" s="25"/>
      <c r="P118" s="24"/>
      <c r="Q118" s="25"/>
      <c r="R118" s="24"/>
      <c r="S118" s="25"/>
      <c r="T118" s="24"/>
    </row>
    <row r="119" spans="2:20">
      <c r="B119" s="9" t="s">
        <v>86</v>
      </c>
      <c r="C119" s="12" t="s">
        <v>342</v>
      </c>
      <c r="D119" s="22"/>
      <c r="E119" s="23"/>
      <c r="F119" s="22"/>
      <c r="G119" s="23"/>
      <c r="H119" s="22"/>
      <c r="I119" s="23"/>
      <c r="J119" s="22"/>
      <c r="K119" s="23"/>
      <c r="L119" s="22"/>
      <c r="M119" s="23"/>
      <c r="N119" s="22"/>
      <c r="O119" s="23"/>
      <c r="P119" s="22"/>
      <c r="Q119" s="23"/>
      <c r="R119" s="22"/>
      <c r="S119" s="23"/>
      <c r="T119" s="22"/>
    </row>
    <row r="120" spans="2:20">
      <c r="B120" s="9" t="s">
        <v>130</v>
      </c>
      <c r="C120" s="12" t="s">
        <v>180</v>
      </c>
      <c r="D120" s="22"/>
      <c r="E120" s="23"/>
      <c r="F120" s="22"/>
      <c r="G120" s="23"/>
      <c r="H120" s="22"/>
      <c r="I120" s="23"/>
      <c r="J120" s="22"/>
      <c r="K120" s="23"/>
      <c r="L120" s="22"/>
      <c r="M120" s="23"/>
      <c r="N120" s="22"/>
      <c r="O120" s="23"/>
      <c r="P120" s="22"/>
      <c r="Q120" s="23"/>
      <c r="R120" s="22"/>
      <c r="S120" s="23"/>
      <c r="T120" s="22"/>
    </row>
    <row r="121" spans="2:20">
      <c r="B121" s="9" t="s">
        <v>87</v>
      </c>
      <c r="C121" s="12" t="s">
        <v>88</v>
      </c>
      <c r="D121" s="22"/>
      <c r="E121" s="23"/>
      <c r="F121" s="22"/>
      <c r="G121" s="23"/>
      <c r="H121" s="22"/>
      <c r="I121" s="23"/>
      <c r="J121" s="22"/>
      <c r="K121" s="23"/>
      <c r="L121" s="22"/>
      <c r="M121" s="23"/>
      <c r="N121" s="22"/>
      <c r="O121" s="23"/>
      <c r="P121" s="22"/>
      <c r="Q121" s="23"/>
      <c r="R121" s="22"/>
      <c r="S121" s="23"/>
      <c r="T121" s="22"/>
    </row>
    <row r="122" spans="2:20">
      <c r="B122" s="9" t="s">
        <v>89</v>
      </c>
      <c r="C122" s="12" t="s">
        <v>90</v>
      </c>
      <c r="D122" s="22"/>
      <c r="E122" s="23"/>
      <c r="F122" s="22"/>
      <c r="G122" s="23"/>
      <c r="H122" s="22"/>
      <c r="I122" s="23"/>
      <c r="J122" s="22"/>
      <c r="K122" s="23"/>
      <c r="L122" s="22"/>
      <c r="M122" s="23"/>
      <c r="N122" s="22"/>
      <c r="O122" s="23"/>
      <c r="P122" s="22"/>
      <c r="Q122" s="23"/>
      <c r="R122" s="22"/>
      <c r="S122" s="23"/>
      <c r="T122" s="22"/>
    </row>
    <row r="123" spans="2:20">
      <c r="B123" s="9" t="s">
        <v>91</v>
      </c>
      <c r="C123" s="12" t="s">
        <v>92</v>
      </c>
      <c r="D123" s="22"/>
      <c r="E123" s="23"/>
      <c r="F123" s="22"/>
      <c r="G123" s="23"/>
      <c r="H123" s="22"/>
      <c r="I123" s="23"/>
      <c r="J123" s="22"/>
      <c r="K123" s="23"/>
      <c r="L123" s="22"/>
      <c r="M123" s="23"/>
      <c r="N123" s="22"/>
      <c r="O123" s="23"/>
      <c r="P123" s="22"/>
      <c r="Q123" s="23"/>
      <c r="R123" s="22"/>
      <c r="S123" s="23"/>
      <c r="T123" s="22"/>
    </row>
    <row r="124" spans="2:20">
      <c r="B124" s="9" t="s">
        <v>93</v>
      </c>
      <c r="C124" s="12" t="s">
        <v>94</v>
      </c>
      <c r="D124" s="24"/>
      <c r="E124" s="25"/>
      <c r="F124" s="24"/>
      <c r="G124" s="25"/>
      <c r="H124" s="24"/>
      <c r="I124" s="25"/>
      <c r="J124" s="24"/>
      <c r="K124" s="25"/>
      <c r="L124" s="24"/>
      <c r="M124" s="25"/>
      <c r="N124" s="24"/>
      <c r="O124" s="25"/>
      <c r="P124" s="24"/>
      <c r="Q124" s="25"/>
      <c r="R124" s="24"/>
      <c r="S124" s="25"/>
      <c r="T124" s="24"/>
    </row>
    <row r="125" spans="2:20">
      <c r="B125" s="9" t="s">
        <v>95</v>
      </c>
      <c r="C125" s="12" t="s">
        <v>96</v>
      </c>
      <c r="D125" s="24"/>
      <c r="E125" s="25"/>
      <c r="F125" s="24"/>
      <c r="G125" s="25"/>
      <c r="H125" s="24"/>
      <c r="I125" s="25"/>
      <c r="J125" s="24"/>
      <c r="K125" s="25"/>
      <c r="L125" s="24"/>
      <c r="M125" s="25"/>
      <c r="N125" s="24"/>
      <c r="O125" s="25"/>
      <c r="P125" s="24"/>
      <c r="Q125" s="25"/>
      <c r="R125" s="24"/>
      <c r="S125" s="25"/>
      <c r="T125" s="24"/>
    </row>
    <row r="126" spans="2:20">
      <c r="B126" s="9" t="s">
        <v>97</v>
      </c>
      <c r="C126" s="12" t="s">
        <v>98</v>
      </c>
      <c r="D126" s="24"/>
      <c r="E126" s="25"/>
      <c r="F126" s="24"/>
      <c r="G126" s="25"/>
      <c r="H126" s="24"/>
      <c r="I126" s="25"/>
      <c r="J126" s="24"/>
      <c r="K126" s="25"/>
      <c r="L126" s="24"/>
      <c r="M126" s="25"/>
      <c r="N126" s="24"/>
      <c r="O126" s="25"/>
      <c r="P126" s="24"/>
      <c r="Q126" s="25"/>
      <c r="R126" s="24"/>
      <c r="S126" s="25"/>
      <c r="T126" s="24"/>
    </row>
    <row r="127" spans="2:20">
      <c r="B127" s="9" t="s">
        <v>100</v>
      </c>
      <c r="C127" s="12" t="s">
        <v>101</v>
      </c>
      <c r="D127" s="24"/>
      <c r="E127" s="25"/>
      <c r="F127" s="24"/>
      <c r="G127" s="25"/>
      <c r="H127" s="24"/>
      <c r="I127" s="25"/>
      <c r="J127" s="24"/>
      <c r="K127" s="25"/>
      <c r="L127" s="24"/>
      <c r="M127" s="25"/>
      <c r="N127" s="24"/>
      <c r="O127" s="25"/>
      <c r="P127" s="24"/>
      <c r="Q127" s="25"/>
      <c r="R127" s="24"/>
      <c r="S127" s="25"/>
      <c r="T127" s="24"/>
    </row>
    <row r="128" spans="2:20">
      <c r="B128" s="9" t="s">
        <v>102</v>
      </c>
      <c r="C128" s="12" t="s">
        <v>103</v>
      </c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  <c r="P128" s="24"/>
      <c r="Q128" s="25"/>
      <c r="R128" s="24"/>
      <c r="S128" s="25"/>
      <c r="T128" s="24"/>
    </row>
    <row r="129" spans="2:20">
      <c r="B129" s="9" t="s">
        <v>104</v>
      </c>
      <c r="C129" s="12" t="s">
        <v>105</v>
      </c>
      <c r="D129" s="24"/>
      <c r="E129" s="25"/>
      <c r="F129" s="24"/>
      <c r="G129" s="25"/>
      <c r="H129" s="24"/>
      <c r="I129" s="25"/>
      <c r="J129" s="24"/>
      <c r="K129" s="25"/>
      <c r="L129" s="24"/>
      <c r="M129" s="25"/>
      <c r="N129" s="24"/>
      <c r="O129" s="25"/>
      <c r="P129" s="24"/>
      <c r="Q129" s="25"/>
      <c r="R129" s="24"/>
      <c r="S129" s="25"/>
      <c r="T129" s="24"/>
    </row>
    <row r="130" spans="2:20">
      <c r="B130" s="9" t="s">
        <v>106</v>
      </c>
      <c r="C130" s="12" t="s">
        <v>107</v>
      </c>
      <c r="D130" s="24"/>
      <c r="E130" s="25"/>
      <c r="F130" s="24"/>
      <c r="G130" s="25"/>
      <c r="H130" s="24"/>
      <c r="I130" s="25"/>
      <c r="J130" s="24"/>
      <c r="K130" s="25"/>
      <c r="L130" s="24"/>
      <c r="M130" s="25"/>
      <c r="N130" s="24"/>
      <c r="O130" s="25"/>
      <c r="P130" s="24"/>
      <c r="Q130" s="25"/>
      <c r="R130" s="24"/>
      <c r="S130" s="25"/>
      <c r="T130" s="24"/>
    </row>
    <row r="131" spans="2:20">
      <c r="B131" s="9" t="s">
        <v>108</v>
      </c>
      <c r="C131" s="12" t="s">
        <v>173</v>
      </c>
      <c r="D131" s="24"/>
      <c r="E131" s="25"/>
      <c r="F131" s="24"/>
      <c r="G131" s="25"/>
      <c r="H131" s="24"/>
      <c r="I131" s="25"/>
      <c r="J131" s="24"/>
      <c r="K131" s="25"/>
      <c r="L131" s="24"/>
      <c r="M131" s="25"/>
      <c r="N131" s="24"/>
      <c r="O131" s="25"/>
      <c r="P131" s="24"/>
      <c r="Q131" s="25"/>
      <c r="R131" s="24"/>
      <c r="S131" s="25"/>
      <c r="T131" s="24"/>
    </row>
    <row r="132" spans="2:20">
      <c r="B132" s="9" t="s">
        <v>109</v>
      </c>
      <c r="C132" s="12" t="s">
        <v>174</v>
      </c>
      <c r="D132" s="22"/>
      <c r="E132" s="23"/>
      <c r="F132" s="22"/>
      <c r="G132" s="23"/>
      <c r="H132" s="22"/>
      <c r="I132" s="23"/>
      <c r="J132" s="22"/>
      <c r="K132" s="23"/>
      <c r="L132" s="22"/>
      <c r="M132" s="23"/>
      <c r="N132" s="22"/>
      <c r="O132" s="23"/>
      <c r="P132" s="22"/>
      <c r="Q132" s="23"/>
      <c r="R132" s="22"/>
      <c r="S132" s="23"/>
      <c r="T132" s="22"/>
    </row>
    <row r="133" spans="2:20">
      <c r="B133" s="9" t="s">
        <v>131</v>
      </c>
      <c r="C133" s="12" t="s">
        <v>176</v>
      </c>
      <c r="D133" s="22"/>
      <c r="E133" s="23"/>
      <c r="F133" s="22"/>
      <c r="G133" s="23"/>
      <c r="H133" s="22"/>
      <c r="I133" s="23"/>
      <c r="J133" s="22"/>
      <c r="K133" s="23"/>
      <c r="L133" s="22"/>
      <c r="M133" s="23"/>
      <c r="N133" s="22"/>
      <c r="O133" s="23"/>
      <c r="P133" s="22"/>
      <c r="Q133" s="23"/>
      <c r="R133" s="22"/>
      <c r="S133" s="23"/>
      <c r="T133" s="22"/>
    </row>
    <row r="134" spans="2:20">
      <c r="B134" s="9" t="s">
        <v>111</v>
      </c>
      <c r="C134" s="12" t="s">
        <v>112</v>
      </c>
      <c r="D134" s="22"/>
      <c r="E134" s="23"/>
      <c r="F134" s="22"/>
      <c r="G134" s="23"/>
      <c r="H134" s="22"/>
      <c r="I134" s="23"/>
      <c r="J134" s="22"/>
      <c r="K134" s="23"/>
      <c r="L134" s="22"/>
      <c r="M134" s="23"/>
      <c r="N134" s="22"/>
      <c r="O134" s="23"/>
      <c r="P134" s="22"/>
      <c r="Q134" s="23"/>
      <c r="R134" s="22"/>
      <c r="S134" s="23"/>
      <c r="T134" s="22"/>
    </row>
    <row r="135" spans="2:20">
      <c r="B135" s="9" t="s">
        <v>118</v>
      </c>
      <c r="C135" s="12" t="s">
        <v>119</v>
      </c>
      <c r="D135" s="22"/>
      <c r="E135" s="23"/>
      <c r="F135" s="22"/>
      <c r="G135" s="23"/>
      <c r="H135" s="22"/>
      <c r="I135" s="23"/>
      <c r="J135" s="22"/>
      <c r="K135" s="23"/>
      <c r="L135" s="22"/>
      <c r="M135" s="23"/>
      <c r="N135" s="22"/>
      <c r="O135" s="23"/>
      <c r="P135" s="22"/>
      <c r="Q135" s="23"/>
      <c r="R135" s="22"/>
      <c r="S135" s="23"/>
      <c r="T135" s="22"/>
    </row>
    <row r="136" spans="2:20">
      <c r="B136" s="9" t="s">
        <v>152</v>
      </c>
      <c r="C136" s="12" t="s">
        <v>177</v>
      </c>
      <c r="D136" s="24"/>
      <c r="E136" s="25"/>
      <c r="F136" s="24"/>
      <c r="G136" s="25"/>
      <c r="H136" s="24"/>
      <c r="I136" s="25"/>
      <c r="J136" s="24"/>
      <c r="K136" s="25"/>
      <c r="L136" s="24"/>
      <c r="M136" s="25"/>
      <c r="N136" s="24"/>
      <c r="O136" s="25"/>
      <c r="P136" s="24"/>
      <c r="Q136" s="25"/>
      <c r="R136" s="24"/>
      <c r="S136" s="25"/>
      <c r="T136" s="24"/>
    </row>
    <row r="137" spans="2:20">
      <c r="B137" s="9" t="s">
        <v>132</v>
      </c>
      <c r="C137" s="12" t="s">
        <v>120</v>
      </c>
      <c r="D137" s="24"/>
      <c r="E137" s="25"/>
      <c r="F137" s="24"/>
      <c r="G137" s="25"/>
      <c r="H137" s="24"/>
      <c r="I137" s="25"/>
      <c r="J137" s="24"/>
      <c r="K137" s="25"/>
      <c r="L137" s="24"/>
      <c r="M137" s="25"/>
      <c r="N137" s="24"/>
      <c r="O137" s="25"/>
      <c r="P137" s="24"/>
      <c r="Q137" s="25"/>
      <c r="R137" s="24"/>
      <c r="S137" s="25"/>
      <c r="T137" s="24"/>
    </row>
    <row r="138" spans="2:20">
      <c r="B138" s="9" t="s">
        <v>133</v>
      </c>
      <c r="C138" s="12" t="s">
        <v>178</v>
      </c>
      <c r="D138" s="22"/>
      <c r="E138" s="23"/>
      <c r="F138" s="22"/>
      <c r="G138" s="23"/>
      <c r="H138" s="22"/>
      <c r="I138" s="23"/>
      <c r="J138" s="22"/>
      <c r="K138" s="23"/>
      <c r="L138" s="22"/>
      <c r="M138" s="23"/>
      <c r="N138" s="22"/>
      <c r="O138" s="23"/>
      <c r="P138" s="22"/>
      <c r="Q138" s="23"/>
      <c r="R138" s="22"/>
      <c r="S138" s="23"/>
      <c r="T138" s="22"/>
    </row>
    <row r="139" spans="2:20">
      <c r="B139" s="9" t="s">
        <v>0</v>
      </c>
      <c r="C139" s="12" t="s">
        <v>134</v>
      </c>
      <c r="D139" s="22"/>
      <c r="E139" s="23"/>
      <c r="F139" s="22"/>
      <c r="G139" s="23"/>
      <c r="H139" s="22"/>
      <c r="I139" s="23"/>
      <c r="J139" s="22"/>
      <c r="K139" s="23"/>
      <c r="L139" s="22"/>
      <c r="M139" s="23"/>
      <c r="N139" s="22"/>
      <c r="O139" s="23"/>
      <c r="P139" s="22"/>
      <c r="Q139" s="23"/>
      <c r="R139" s="22"/>
      <c r="S139" s="23"/>
      <c r="T139" s="22"/>
    </row>
    <row r="140" spans="2:20">
      <c r="B140" s="9" t="s">
        <v>135</v>
      </c>
      <c r="C140" s="12" t="s">
        <v>136</v>
      </c>
      <c r="D140" s="22"/>
      <c r="E140" s="23"/>
      <c r="F140" s="22"/>
      <c r="G140" s="23"/>
      <c r="H140" s="22"/>
      <c r="I140" s="23"/>
      <c r="J140" s="22"/>
      <c r="K140" s="23"/>
      <c r="L140" s="22"/>
      <c r="M140" s="23"/>
      <c r="N140" s="22"/>
      <c r="O140" s="23"/>
      <c r="P140" s="22"/>
      <c r="Q140" s="23"/>
      <c r="R140" s="22"/>
      <c r="S140" s="23"/>
      <c r="T140" s="22"/>
    </row>
    <row r="141" spans="2:20">
      <c r="B141" s="9" t="s">
        <v>137</v>
      </c>
      <c r="C141" s="12" t="s">
        <v>138</v>
      </c>
      <c r="D141" s="22"/>
      <c r="E141" s="23"/>
      <c r="F141" s="22"/>
      <c r="G141" s="23"/>
      <c r="H141" s="22"/>
      <c r="I141" s="23"/>
      <c r="J141" s="22"/>
      <c r="K141" s="23"/>
      <c r="L141" s="22"/>
      <c r="M141" s="23"/>
      <c r="N141" s="22"/>
      <c r="O141" s="23"/>
      <c r="P141" s="22"/>
      <c r="Q141" s="23"/>
      <c r="R141" s="22"/>
      <c r="S141" s="23"/>
      <c r="T141" s="22"/>
    </row>
    <row r="142" spans="2:20">
      <c r="B142" s="9" t="s">
        <v>116</v>
      </c>
      <c r="C142" s="12" t="s">
        <v>139</v>
      </c>
    </row>
    <row r="143" spans="2:20">
      <c r="B143" s="9" t="s">
        <v>113</v>
      </c>
      <c r="C143" s="12" t="s">
        <v>140</v>
      </c>
    </row>
    <row r="144" spans="2:20">
      <c r="B144" s="9" t="s">
        <v>141</v>
      </c>
      <c r="C144" s="12" t="s">
        <v>142</v>
      </c>
    </row>
    <row r="145" spans="2:22">
      <c r="B145" s="9" t="s">
        <v>121</v>
      </c>
      <c r="C145" s="12" t="s">
        <v>143</v>
      </c>
    </row>
    <row r="146" spans="2:22">
      <c r="B146" s="9" t="s">
        <v>144</v>
      </c>
      <c r="C146" s="12" t="s">
        <v>145</v>
      </c>
    </row>
    <row r="147" spans="2:22">
      <c r="B147" s="9" t="s">
        <v>122</v>
      </c>
      <c r="C147" s="12" t="s">
        <v>146</v>
      </c>
    </row>
    <row r="148" spans="2:22">
      <c r="B148" s="9" t="s">
        <v>123</v>
      </c>
      <c r="C148" s="12" t="s">
        <v>147</v>
      </c>
    </row>
    <row r="149" spans="2:22">
      <c r="B149" s="9" t="s">
        <v>329</v>
      </c>
      <c r="C149" s="12" t="s">
        <v>148</v>
      </c>
    </row>
    <row r="150" spans="2:22">
      <c r="B150" s="9" t="s">
        <v>125</v>
      </c>
      <c r="C150" s="12" t="s">
        <v>149</v>
      </c>
    </row>
    <row r="151" spans="2:22">
      <c r="B151" s="11" t="s">
        <v>266</v>
      </c>
      <c r="C151" s="11" t="s">
        <v>267</v>
      </c>
    </row>
    <row r="154" spans="2:22">
      <c r="B154" s="398" t="s">
        <v>256</v>
      </c>
      <c r="C154" s="398"/>
      <c r="D154" s="398"/>
      <c r="E154" s="398"/>
      <c r="F154" s="398"/>
      <c r="G154" s="398"/>
      <c r="H154" s="398"/>
      <c r="I154" s="398"/>
      <c r="J154" s="398"/>
      <c r="K154" s="398"/>
      <c r="L154" s="398"/>
      <c r="M154" s="398"/>
      <c r="N154" s="398"/>
      <c r="O154" s="398"/>
      <c r="P154" s="398"/>
      <c r="Q154" s="398"/>
      <c r="R154" s="398"/>
      <c r="S154" s="398"/>
      <c r="T154" s="398"/>
    </row>
    <row r="158" spans="2:22">
      <c r="C158" s="11">
        <v>2006</v>
      </c>
      <c r="E158" s="11">
        <v>2007</v>
      </c>
      <c r="G158" s="11">
        <v>2008</v>
      </c>
      <c r="I158" s="11">
        <v>2009</v>
      </c>
      <c r="K158" s="11">
        <v>2010</v>
      </c>
      <c r="M158" s="11">
        <v>2011</v>
      </c>
      <c r="O158" s="11">
        <v>2012</v>
      </c>
      <c r="Q158" s="11">
        <v>2013</v>
      </c>
      <c r="S158" s="11">
        <v>2014</v>
      </c>
      <c r="U158" s="11">
        <v>2015</v>
      </c>
    </row>
    <row r="159" spans="2:22">
      <c r="B159" s="11" t="s">
        <v>259</v>
      </c>
      <c r="C159" s="11" t="s">
        <v>263</v>
      </c>
      <c r="D159" s="11" t="s">
        <v>153</v>
      </c>
      <c r="E159" s="11" t="s">
        <v>263</v>
      </c>
      <c r="F159" s="11" t="s">
        <v>153</v>
      </c>
      <c r="G159" s="11" t="s">
        <v>263</v>
      </c>
      <c r="H159" s="11" t="s">
        <v>153</v>
      </c>
      <c r="I159" s="11" t="s">
        <v>263</v>
      </c>
      <c r="J159" s="11" t="s">
        <v>153</v>
      </c>
      <c r="K159" s="11" t="s">
        <v>263</v>
      </c>
      <c r="L159" s="11" t="s">
        <v>153</v>
      </c>
      <c r="M159" s="11" t="s">
        <v>263</v>
      </c>
      <c r="N159" s="11" t="s">
        <v>153</v>
      </c>
      <c r="O159" s="11" t="s">
        <v>263</v>
      </c>
      <c r="P159" s="11" t="s">
        <v>153</v>
      </c>
      <c r="Q159" s="11" t="s">
        <v>263</v>
      </c>
      <c r="R159" s="11" t="s">
        <v>153</v>
      </c>
      <c r="S159" s="11" t="s">
        <v>263</v>
      </c>
      <c r="T159" s="11" t="s">
        <v>153</v>
      </c>
      <c r="U159" s="11" t="s">
        <v>263</v>
      </c>
      <c r="V159" s="1" t="s">
        <v>153</v>
      </c>
    </row>
    <row r="160" spans="2:22">
      <c r="B160" s="11" t="s">
        <v>258</v>
      </c>
      <c r="C160" s="11" t="s">
        <v>263</v>
      </c>
      <c r="D160" s="11" t="s">
        <v>257</v>
      </c>
      <c r="E160" s="11" t="s">
        <v>263</v>
      </c>
      <c r="F160" s="11" t="s">
        <v>257</v>
      </c>
      <c r="G160" s="11" t="s">
        <v>263</v>
      </c>
      <c r="H160" s="11" t="s">
        <v>257</v>
      </c>
      <c r="I160" s="11" t="s">
        <v>263</v>
      </c>
      <c r="J160" s="11" t="s">
        <v>257</v>
      </c>
      <c r="K160" s="11" t="s">
        <v>263</v>
      </c>
      <c r="L160" s="11" t="s">
        <v>257</v>
      </c>
      <c r="M160" s="11" t="s">
        <v>263</v>
      </c>
      <c r="N160" s="11" t="s">
        <v>257</v>
      </c>
      <c r="O160" s="11" t="s">
        <v>263</v>
      </c>
      <c r="P160" s="11" t="s">
        <v>257</v>
      </c>
      <c r="Q160" s="11" t="s">
        <v>263</v>
      </c>
      <c r="R160" s="11" t="s">
        <v>257</v>
      </c>
      <c r="S160" s="11" t="s">
        <v>263</v>
      </c>
      <c r="T160" s="11" t="s">
        <v>257</v>
      </c>
      <c r="U160" s="11" t="s">
        <v>263</v>
      </c>
      <c r="V160" s="1" t="s">
        <v>257</v>
      </c>
    </row>
    <row r="161" spans="2:3">
      <c r="B161" s="11" t="s">
        <v>261</v>
      </c>
      <c r="C161" s="11" t="s">
        <v>260</v>
      </c>
    </row>
    <row r="162" spans="2:3">
      <c r="B162" s="11" t="s">
        <v>128</v>
      </c>
      <c r="C162" s="11" t="s">
        <v>1</v>
      </c>
    </row>
    <row r="163" spans="2:3">
      <c r="B163" s="11" t="s">
        <v>2</v>
      </c>
      <c r="C163" s="11" t="s">
        <v>167</v>
      </c>
    </row>
    <row r="164" spans="2:3">
      <c r="B164" s="11" t="s">
        <v>3</v>
      </c>
      <c r="C164" s="11" t="s">
        <v>4</v>
      </c>
    </row>
    <row r="165" spans="2:3">
      <c r="B165" s="11" t="s">
        <v>5</v>
      </c>
      <c r="C165" s="11" t="s">
        <v>6</v>
      </c>
    </row>
    <row r="166" spans="2:3">
      <c r="B166" s="11" t="s">
        <v>7</v>
      </c>
      <c r="C166" s="11" t="s">
        <v>8</v>
      </c>
    </row>
    <row r="167" spans="2:3">
      <c r="B167" s="11" t="s">
        <v>9</v>
      </c>
      <c r="C167" s="11" t="s">
        <v>10</v>
      </c>
    </row>
    <row r="168" spans="2:3">
      <c r="B168" s="11" t="s">
        <v>11</v>
      </c>
      <c r="C168" s="11" t="s">
        <v>264</v>
      </c>
    </row>
    <row r="169" spans="2:3">
      <c r="B169" s="11" t="s">
        <v>12</v>
      </c>
      <c r="C169" s="11" t="s">
        <v>13</v>
      </c>
    </row>
    <row r="170" spans="2:3">
      <c r="B170" s="11" t="s">
        <v>14</v>
      </c>
      <c r="C170" s="11" t="s">
        <v>15</v>
      </c>
    </row>
    <row r="171" spans="2:3">
      <c r="B171" s="11" t="s">
        <v>16</v>
      </c>
      <c r="C171" s="11" t="s">
        <v>18</v>
      </c>
    </row>
    <row r="172" spans="2:3">
      <c r="B172" s="11" t="s">
        <v>19</v>
      </c>
      <c r="C172" s="11" t="s">
        <v>20</v>
      </c>
    </row>
    <row r="173" spans="2:3">
      <c r="B173" s="11" t="s">
        <v>21</v>
      </c>
      <c r="C173" s="11" t="s">
        <v>22</v>
      </c>
    </row>
    <row r="174" spans="2:3">
      <c r="B174" s="11" t="s">
        <v>23</v>
      </c>
      <c r="C174" s="11" t="s">
        <v>24</v>
      </c>
    </row>
    <row r="175" spans="2:3">
      <c r="B175" s="11" t="s">
        <v>25</v>
      </c>
      <c r="C175" s="11" t="s">
        <v>26</v>
      </c>
    </row>
    <row r="176" spans="2:3">
      <c r="B176" s="11" t="s">
        <v>27</v>
      </c>
      <c r="C176" s="11" t="s">
        <v>28</v>
      </c>
    </row>
    <row r="177" spans="2:3">
      <c r="B177" s="11" t="s">
        <v>29</v>
      </c>
      <c r="C177" s="11" t="s">
        <v>30</v>
      </c>
    </row>
    <row r="178" spans="2:3">
      <c r="B178" s="11" t="s">
        <v>31</v>
      </c>
      <c r="C178" s="11" t="s">
        <v>175</v>
      </c>
    </row>
    <row r="179" spans="2:3">
      <c r="B179" s="11" t="s">
        <v>32</v>
      </c>
      <c r="C179" s="11" t="s">
        <v>33</v>
      </c>
    </row>
    <row r="180" spans="2:3">
      <c r="B180" s="11" t="s">
        <v>34</v>
      </c>
      <c r="C180" s="11" t="s">
        <v>268</v>
      </c>
    </row>
    <row r="181" spans="2:3">
      <c r="B181" s="11" t="s">
        <v>36</v>
      </c>
      <c r="C181" s="11" t="s">
        <v>273</v>
      </c>
    </row>
    <row r="182" spans="2:3">
      <c r="B182" s="11" t="s">
        <v>37</v>
      </c>
      <c r="C182" s="11" t="s">
        <v>38</v>
      </c>
    </row>
    <row r="183" spans="2:3">
      <c r="B183" s="11" t="s">
        <v>39</v>
      </c>
      <c r="C183" s="11" t="s">
        <v>168</v>
      </c>
    </row>
    <row r="184" spans="2:3">
      <c r="B184" s="11" t="s">
        <v>40</v>
      </c>
      <c r="C184" s="11" t="s">
        <v>41</v>
      </c>
    </row>
    <row r="185" spans="2:3">
      <c r="B185" s="11" t="s">
        <v>42</v>
      </c>
      <c r="C185" s="11" t="s">
        <v>43</v>
      </c>
    </row>
    <row r="186" spans="2:3">
      <c r="B186" s="11" t="s">
        <v>162</v>
      </c>
      <c r="C186" s="11" t="s">
        <v>278</v>
      </c>
    </row>
    <row r="187" spans="2:3">
      <c r="B187" s="11" t="s">
        <v>44</v>
      </c>
      <c r="C187" s="11" t="s">
        <v>277</v>
      </c>
    </row>
    <row r="188" spans="2:3">
      <c r="B188" s="11" t="s">
        <v>45</v>
      </c>
      <c r="C188" s="11" t="s">
        <v>46</v>
      </c>
    </row>
    <row r="189" spans="2:3">
      <c r="B189" s="11" t="s">
        <v>47</v>
      </c>
      <c r="C189" s="11" t="s">
        <v>48</v>
      </c>
    </row>
    <row r="190" spans="2:3">
      <c r="B190" s="11" t="s">
        <v>49</v>
      </c>
      <c r="C190" s="11" t="s">
        <v>269</v>
      </c>
    </row>
    <row r="191" spans="2:3">
      <c r="B191" s="11" t="s">
        <v>50</v>
      </c>
      <c r="C191" s="11" t="s">
        <v>169</v>
      </c>
    </row>
    <row r="192" spans="2:3">
      <c r="B192" s="11" t="s">
        <v>51</v>
      </c>
      <c r="C192" s="11" t="s">
        <v>52</v>
      </c>
    </row>
    <row r="193" spans="2:3">
      <c r="B193" s="11" t="s">
        <v>53</v>
      </c>
      <c r="C193" s="11" t="s">
        <v>54</v>
      </c>
    </row>
    <row r="194" spans="2:3">
      <c r="B194" s="11" t="s">
        <v>55</v>
      </c>
      <c r="C194" s="11" t="s">
        <v>56</v>
      </c>
    </row>
    <row r="195" spans="2:3">
      <c r="B195" s="11" t="s">
        <v>57</v>
      </c>
      <c r="C195" s="11" t="s">
        <v>58</v>
      </c>
    </row>
    <row r="196" spans="2:3">
      <c r="B196" s="11" t="s">
        <v>59</v>
      </c>
      <c r="C196" s="11" t="s">
        <v>60</v>
      </c>
    </row>
    <row r="197" spans="2:3">
      <c r="B197" s="11" t="s">
        <v>53</v>
      </c>
      <c r="C197" s="11" t="s">
        <v>54</v>
      </c>
    </row>
    <row r="198" spans="2:3">
      <c r="B198" s="7" t="s">
        <v>255</v>
      </c>
      <c r="C198" s="11" t="s">
        <v>61</v>
      </c>
    </row>
    <row r="199" spans="2:3">
      <c r="B199" s="11" t="s">
        <v>123</v>
      </c>
      <c r="C199" s="11" t="s">
        <v>147</v>
      </c>
    </row>
    <row r="200" spans="2:3">
      <c r="B200" s="11" t="s">
        <v>62</v>
      </c>
      <c r="C200" s="11" t="s">
        <v>340</v>
      </c>
    </row>
    <row r="201" spans="2:3">
      <c r="B201" s="11" t="s">
        <v>262</v>
      </c>
      <c r="C201" s="11" t="s">
        <v>270</v>
      </c>
    </row>
    <row r="202" spans="2:3">
      <c r="B202" s="11" t="s">
        <v>63</v>
      </c>
      <c r="C202" s="11" t="s">
        <v>341</v>
      </c>
    </row>
    <row r="203" spans="2:3">
      <c r="B203" s="11" t="s">
        <v>64</v>
      </c>
      <c r="C203" s="11" t="s">
        <v>65</v>
      </c>
    </row>
    <row r="204" spans="2:3">
      <c r="B204" s="11" t="s">
        <v>66</v>
      </c>
      <c r="C204" s="11" t="s">
        <v>67</v>
      </c>
    </row>
    <row r="205" spans="2:3">
      <c r="B205" s="11" t="s">
        <v>68</v>
      </c>
      <c r="C205" s="11" t="s">
        <v>69</v>
      </c>
    </row>
    <row r="206" spans="2:3">
      <c r="B206" s="11" t="s">
        <v>70</v>
      </c>
      <c r="C206" s="11" t="s">
        <v>71</v>
      </c>
    </row>
    <row r="207" spans="2:3">
      <c r="B207" s="11" t="s">
        <v>72</v>
      </c>
      <c r="C207" s="11" t="s">
        <v>73</v>
      </c>
    </row>
    <row r="208" spans="2:3">
      <c r="B208" s="11" t="s">
        <v>74</v>
      </c>
      <c r="C208" s="11" t="s">
        <v>271</v>
      </c>
    </row>
    <row r="209" spans="2:3">
      <c r="B209" s="11" t="s">
        <v>75</v>
      </c>
      <c r="C209" s="11" t="s">
        <v>76</v>
      </c>
    </row>
    <row r="210" spans="2:3">
      <c r="B210" s="11" t="s">
        <v>77</v>
      </c>
      <c r="C210" s="11" t="s">
        <v>78</v>
      </c>
    </row>
    <row r="211" spans="2:3">
      <c r="B211" s="11" t="s">
        <v>79</v>
      </c>
      <c r="C211" s="11" t="s">
        <v>272</v>
      </c>
    </row>
    <row r="212" spans="2:3">
      <c r="B212" s="11" t="s">
        <v>80</v>
      </c>
      <c r="C212" s="11" t="s">
        <v>81</v>
      </c>
    </row>
    <row r="213" spans="2:3">
      <c r="B213" s="11" t="s">
        <v>82</v>
      </c>
      <c r="C213" s="11" t="s">
        <v>83</v>
      </c>
    </row>
    <row r="214" spans="2:3">
      <c r="B214" s="11" t="s">
        <v>84</v>
      </c>
      <c r="C214" s="11" t="s">
        <v>85</v>
      </c>
    </row>
    <row r="215" spans="2:3">
      <c r="B215" s="11" t="s">
        <v>86</v>
      </c>
      <c r="C215" s="11" t="s">
        <v>342</v>
      </c>
    </row>
    <row r="216" spans="2:3">
      <c r="B216" s="11" t="s">
        <v>87</v>
      </c>
      <c r="C216" s="11" t="s">
        <v>88</v>
      </c>
    </row>
    <row r="217" spans="2:3">
      <c r="B217" s="11" t="s">
        <v>89</v>
      </c>
      <c r="C217" s="11" t="s">
        <v>90</v>
      </c>
    </row>
    <row r="218" spans="2:3">
      <c r="B218" s="11" t="s">
        <v>91</v>
      </c>
      <c r="C218" s="11" t="s">
        <v>92</v>
      </c>
    </row>
    <row r="219" spans="2:3">
      <c r="B219" s="11" t="s">
        <v>93</v>
      </c>
      <c r="C219" s="11" t="s">
        <v>94</v>
      </c>
    </row>
    <row r="220" spans="2:3">
      <c r="B220" s="11" t="s">
        <v>95</v>
      </c>
      <c r="C220" s="11" t="s">
        <v>96</v>
      </c>
    </row>
    <row r="221" spans="2:3">
      <c r="B221" s="11" t="s">
        <v>97</v>
      </c>
      <c r="C221" s="11" t="s">
        <v>98</v>
      </c>
    </row>
    <row r="222" spans="2:3">
      <c r="B222" s="11" t="s">
        <v>99</v>
      </c>
      <c r="C222" s="11" t="s">
        <v>101</v>
      </c>
    </row>
    <row r="223" spans="2:3">
      <c r="B223" s="11" t="s">
        <v>102</v>
      </c>
      <c r="C223" s="11" t="s">
        <v>103</v>
      </c>
    </row>
    <row r="224" spans="2:3">
      <c r="B224" s="11" t="s">
        <v>104</v>
      </c>
      <c r="C224" s="11" t="s">
        <v>105</v>
      </c>
    </row>
    <row r="225" spans="2:3">
      <c r="B225" s="11" t="s">
        <v>106</v>
      </c>
      <c r="C225" s="11" t="s">
        <v>107</v>
      </c>
    </row>
    <row r="226" spans="2:3">
      <c r="B226" s="11" t="s">
        <v>108</v>
      </c>
      <c r="C226" s="12" t="s">
        <v>173</v>
      </c>
    </row>
    <row r="227" spans="2:3">
      <c r="B227" s="11" t="s">
        <v>109</v>
      </c>
      <c r="C227" s="12" t="s">
        <v>174</v>
      </c>
    </row>
    <row r="228" spans="2:3">
      <c r="B228" s="11" t="s">
        <v>163</v>
      </c>
      <c r="C228" s="11" t="s">
        <v>343</v>
      </c>
    </row>
    <row r="229" spans="2:3">
      <c r="B229" s="11" t="s">
        <v>110</v>
      </c>
      <c r="C229" s="12" t="s">
        <v>176</v>
      </c>
    </row>
    <row r="230" spans="2:3">
      <c r="B230" s="11" t="s">
        <v>111</v>
      </c>
      <c r="C230" s="11" t="s">
        <v>112</v>
      </c>
    </row>
    <row r="231" spans="2:3">
      <c r="B231" s="11" t="s">
        <v>113</v>
      </c>
      <c r="C231" s="11" t="s">
        <v>114</v>
      </c>
    </row>
    <row r="232" spans="2:3">
      <c r="B232" s="11" t="s">
        <v>115</v>
      </c>
      <c r="C232" s="11" t="s">
        <v>117</v>
      </c>
    </row>
    <row r="233" spans="2:3">
      <c r="B233" s="11" t="s">
        <v>118</v>
      </c>
      <c r="C233" s="11" t="s">
        <v>119</v>
      </c>
    </row>
    <row r="234" spans="2:3">
      <c r="B234" s="11" t="s">
        <v>152</v>
      </c>
      <c r="C234" s="12" t="s">
        <v>177</v>
      </c>
    </row>
    <row r="235" spans="2:3">
      <c r="B235" s="11" t="s">
        <v>265</v>
      </c>
      <c r="C235" s="11" t="s">
        <v>287</v>
      </c>
    </row>
    <row r="236" spans="2:3">
      <c r="B236" s="11" t="s">
        <v>133</v>
      </c>
      <c r="C236" s="12" t="s">
        <v>178</v>
      </c>
    </row>
    <row r="237" spans="2:3">
      <c r="B237" s="11" t="s">
        <v>0</v>
      </c>
      <c r="C237" s="12" t="s">
        <v>134</v>
      </c>
    </row>
    <row r="238" spans="2:3">
      <c r="B238" s="11" t="s">
        <v>158</v>
      </c>
      <c r="C238" s="12" t="s">
        <v>136</v>
      </c>
    </row>
    <row r="239" spans="2:3">
      <c r="B239" s="11" t="s">
        <v>159</v>
      </c>
      <c r="C239" s="12" t="s">
        <v>138</v>
      </c>
    </row>
    <row r="240" spans="2:3">
      <c r="B240" s="11" t="s">
        <v>160</v>
      </c>
      <c r="C240" s="12" t="s">
        <v>139</v>
      </c>
    </row>
    <row r="241" spans="2:21">
      <c r="B241" s="11" t="s">
        <v>113</v>
      </c>
      <c r="C241" s="12" t="s">
        <v>140</v>
      </c>
    </row>
    <row r="242" spans="2:21">
      <c r="B242" s="11" t="s">
        <v>141</v>
      </c>
      <c r="C242" s="12" t="s">
        <v>142</v>
      </c>
    </row>
    <row r="243" spans="2:21">
      <c r="B243" s="11" t="s">
        <v>121</v>
      </c>
      <c r="C243" s="12" t="s">
        <v>143</v>
      </c>
    </row>
    <row r="244" spans="2:21">
      <c r="B244" s="11" t="s">
        <v>144</v>
      </c>
      <c r="C244" s="12" t="s">
        <v>145</v>
      </c>
    </row>
    <row r="245" spans="2:21">
      <c r="B245" s="11" t="s">
        <v>122</v>
      </c>
      <c r="C245" s="12" t="s">
        <v>146</v>
      </c>
    </row>
    <row r="246" spans="2:21">
      <c r="B246" s="11" t="s">
        <v>124</v>
      </c>
      <c r="C246" s="12" t="s">
        <v>148</v>
      </c>
    </row>
    <row r="247" spans="2:21">
      <c r="B247" s="11" t="s">
        <v>123</v>
      </c>
      <c r="C247" s="5" t="s">
        <v>147</v>
      </c>
    </row>
    <row r="248" spans="2:21">
      <c r="B248" s="11" t="s">
        <v>164</v>
      </c>
      <c r="C248" s="5" t="s">
        <v>275</v>
      </c>
    </row>
    <row r="249" spans="2:21">
      <c r="B249" s="11" t="s">
        <v>165</v>
      </c>
      <c r="C249" s="5" t="s">
        <v>276</v>
      </c>
    </row>
    <row r="250" spans="2:21">
      <c r="B250" s="11" t="s">
        <v>266</v>
      </c>
      <c r="C250" s="11" t="s">
        <v>274</v>
      </c>
    </row>
    <row r="253" spans="2:21">
      <c r="B253" s="398" t="s">
        <v>279</v>
      </c>
      <c r="C253" s="398"/>
      <c r="D253" s="398"/>
      <c r="E253" s="398"/>
      <c r="F253" s="398"/>
      <c r="G253" s="398"/>
      <c r="H253" s="398"/>
      <c r="I253" s="398"/>
      <c r="J253" s="398"/>
      <c r="K253" s="398"/>
      <c r="L253" s="398"/>
      <c r="M253" s="398"/>
      <c r="N253" s="398"/>
      <c r="O253" s="398"/>
      <c r="P253" s="398"/>
      <c r="Q253" s="398"/>
      <c r="R253" s="398"/>
      <c r="S253" s="398"/>
      <c r="T253" s="398"/>
    </row>
    <row r="256" spans="2:21">
      <c r="C256" s="11">
        <v>2006</v>
      </c>
      <c r="E256" s="11">
        <v>2007</v>
      </c>
      <c r="G256" s="11">
        <v>2008</v>
      </c>
      <c r="I256" s="11">
        <v>2009</v>
      </c>
      <c r="K256" s="11">
        <v>2010</v>
      </c>
      <c r="M256" s="11">
        <v>2011</v>
      </c>
      <c r="O256" s="11">
        <v>2012</v>
      </c>
      <c r="Q256" s="11">
        <v>2013</v>
      </c>
      <c r="S256" s="11">
        <v>2014</v>
      </c>
      <c r="U256" s="11">
        <v>2015</v>
      </c>
    </row>
    <row r="257" spans="2:22">
      <c r="B257" s="11" t="s">
        <v>235</v>
      </c>
      <c r="C257" s="11" t="s">
        <v>263</v>
      </c>
      <c r="D257" s="11" t="s">
        <v>153</v>
      </c>
      <c r="E257" s="11" t="s">
        <v>263</v>
      </c>
      <c r="F257" s="11" t="s">
        <v>153</v>
      </c>
      <c r="G257" s="11" t="s">
        <v>263</v>
      </c>
      <c r="H257" s="11" t="s">
        <v>153</v>
      </c>
      <c r="I257" s="11" t="s">
        <v>263</v>
      </c>
      <c r="J257" s="11" t="s">
        <v>153</v>
      </c>
      <c r="K257" s="11" t="s">
        <v>263</v>
      </c>
      <c r="L257" s="11" t="s">
        <v>153</v>
      </c>
      <c r="M257" s="11" t="s">
        <v>263</v>
      </c>
      <c r="N257" s="11" t="s">
        <v>153</v>
      </c>
      <c r="O257" s="11" t="s">
        <v>263</v>
      </c>
      <c r="P257" s="11" t="s">
        <v>153</v>
      </c>
      <c r="Q257" s="11" t="s">
        <v>263</v>
      </c>
      <c r="R257" s="11" t="s">
        <v>153</v>
      </c>
      <c r="S257" s="11" t="s">
        <v>263</v>
      </c>
      <c r="T257" s="11" t="s">
        <v>153</v>
      </c>
      <c r="U257" s="11" t="s">
        <v>263</v>
      </c>
      <c r="V257" s="1" t="s">
        <v>153</v>
      </c>
    </row>
    <row r="258" spans="2:22">
      <c r="B258" s="11" t="s">
        <v>192</v>
      </c>
      <c r="C258" s="11" t="s">
        <v>263</v>
      </c>
      <c r="D258" s="11" t="s">
        <v>257</v>
      </c>
      <c r="E258" s="11" t="s">
        <v>263</v>
      </c>
      <c r="F258" s="11" t="s">
        <v>257</v>
      </c>
      <c r="G258" s="11" t="s">
        <v>263</v>
      </c>
      <c r="H258" s="11" t="s">
        <v>257</v>
      </c>
      <c r="I258" s="11" t="s">
        <v>263</v>
      </c>
      <c r="J258" s="11" t="s">
        <v>257</v>
      </c>
      <c r="K258" s="11" t="s">
        <v>263</v>
      </c>
      <c r="L258" s="11" t="s">
        <v>257</v>
      </c>
      <c r="M258" s="11" t="s">
        <v>263</v>
      </c>
      <c r="N258" s="11" t="s">
        <v>257</v>
      </c>
      <c r="O258" s="11" t="s">
        <v>263</v>
      </c>
      <c r="P258" s="11" t="s">
        <v>257</v>
      </c>
      <c r="Q258" s="11" t="s">
        <v>263</v>
      </c>
      <c r="R258" s="11" t="s">
        <v>257</v>
      </c>
      <c r="S258" s="11" t="s">
        <v>263</v>
      </c>
      <c r="T258" s="11" t="s">
        <v>257</v>
      </c>
      <c r="U258" s="11" t="s">
        <v>263</v>
      </c>
      <c r="V258" s="1" t="s">
        <v>257</v>
      </c>
    </row>
    <row r="259" spans="2:22">
      <c r="B259" s="11" t="s">
        <v>128</v>
      </c>
      <c r="C259" s="11" t="s">
        <v>1</v>
      </c>
    </row>
    <row r="260" spans="2:22">
      <c r="B260" s="11" t="s">
        <v>2</v>
      </c>
      <c r="C260" s="11" t="s">
        <v>167</v>
      </c>
    </row>
    <row r="261" spans="2:22">
      <c r="B261" s="11" t="s">
        <v>3</v>
      </c>
      <c r="C261" s="11" t="s">
        <v>4</v>
      </c>
    </row>
    <row r="262" spans="2:22">
      <c r="B262" s="11" t="s">
        <v>5</v>
      </c>
      <c r="C262" s="11" t="s">
        <v>6</v>
      </c>
    </row>
    <row r="263" spans="2:22">
      <c r="B263" s="11" t="s">
        <v>7</v>
      </c>
      <c r="C263" s="11" t="s">
        <v>8</v>
      </c>
    </row>
    <row r="264" spans="2:22">
      <c r="B264" s="11" t="s">
        <v>9</v>
      </c>
      <c r="C264" s="11" t="s">
        <v>10</v>
      </c>
    </row>
    <row r="265" spans="2:22">
      <c r="B265" s="11" t="s">
        <v>12</v>
      </c>
      <c r="C265" s="11" t="s">
        <v>13</v>
      </c>
    </row>
    <row r="266" spans="2:22">
      <c r="B266" s="11" t="s">
        <v>14</v>
      </c>
      <c r="C266" s="11" t="s">
        <v>15</v>
      </c>
    </row>
    <row r="267" spans="2:22">
      <c r="B267" s="11" t="s">
        <v>11</v>
      </c>
      <c r="C267" s="11" t="s">
        <v>282</v>
      </c>
    </row>
    <row r="268" spans="2:22">
      <c r="B268" s="11" t="s">
        <v>16</v>
      </c>
      <c r="C268" s="11" t="s">
        <v>18</v>
      </c>
    </row>
    <row r="269" spans="2:22">
      <c r="B269" s="11" t="s">
        <v>19</v>
      </c>
      <c r="C269" s="11" t="s">
        <v>20</v>
      </c>
    </row>
    <row r="270" spans="2:22">
      <c r="B270" s="11" t="s">
        <v>21</v>
      </c>
      <c r="C270" s="11" t="s">
        <v>22</v>
      </c>
    </row>
    <row r="271" spans="2:22">
      <c r="B271" s="11" t="s">
        <v>23</v>
      </c>
      <c r="C271" s="11" t="s">
        <v>24</v>
      </c>
    </row>
    <row r="272" spans="2:22">
      <c r="B272" s="11" t="s">
        <v>25</v>
      </c>
      <c r="C272" s="11" t="s">
        <v>26</v>
      </c>
    </row>
    <row r="273" spans="2:3">
      <c r="B273" s="11" t="s">
        <v>27</v>
      </c>
      <c r="C273" s="11" t="s">
        <v>28</v>
      </c>
    </row>
    <row r="274" spans="2:3">
      <c r="B274" s="11" t="s">
        <v>29</v>
      </c>
      <c r="C274" s="11" t="s">
        <v>30</v>
      </c>
    </row>
    <row r="275" spans="2:3">
      <c r="B275" s="11" t="s">
        <v>39</v>
      </c>
      <c r="C275" s="11" t="s">
        <v>168</v>
      </c>
    </row>
    <row r="276" spans="2:3">
      <c r="B276" s="11" t="s">
        <v>53</v>
      </c>
      <c r="C276" s="11" t="s">
        <v>54</v>
      </c>
    </row>
    <row r="277" spans="2:3">
      <c r="B277" s="7" t="s">
        <v>255</v>
      </c>
      <c r="C277" s="11" t="s">
        <v>61</v>
      </c>
    </row>
    <row r="278" spans="2:3">
      <c r="B278" s="11" t="s">
        <v>235</v>
      </c>
      <c r="C278" s="11" t="s">
        <v>283</v>
      </c>
    </row>
    <row r="279" spans="2:3">
      <c r="B279" s="11" t="s">
        <v>280</v>
      </c>
      <c r="C279" s="11" t="s">
        <v>284</v>
      </c>
    </row>
    <row r="280" spans="2:3">
      <c r="B280" s="11" t="s">
        <v>63</v>
      </c>
      <c r="C280" s="11" t="s">
        <v>341</v>
      </c>
    </row>
    <row r="281" spans="2:3">
      <c r="B281" s="11" t="s">
        <v>64</v>
      </c>
      <c r="C281" s="11" t="s">
        <v>65</v>
      </c>
    </row>
    <row r="282" spans="2:3">
      <c r="B282" s="11" t="s">
        <v>66</v>
      </c>
      <c r="C282" s="11" t="s">
        <v>67</v>
      </c>
    </row>
    <row r="283" spans="2:3">
      <c r="B283" s="11" t="s">
        <v>68</v>
      </c>
      <c r="C283" s="11" t="s">
        <v>69</v>
      </c>
    </row>
    <row r="284" spans="2:3">
      <c r="B284" s="11" t="s">
        <v>70</v>
      </c>
      <c r="C284" s="11" t="s">
        <v>71</v>
      </c>
    </row>
    <row r="285" spans="2:3">
      <c r="B285" s="11" t="s">
        <v>72</v>
      </c>
      <c r="C285" s="11" t="s">
        <v>73</v>
      </c>
    </row>
    <row r="286" spans="2:3">
      <c r="B286" s="11" t="s">
        <v>154</v>
      </c>
      <c r="C286" s="11" t="s">
        <v>271</v>
      </c>
    </row>
    <row r="287" spans="2:3">
      <c r="B287" s="11" t="s">
        <v>75</v>
      </c>
      <c r="C287" s="11" t="s">
        <v>76</v>
      </c>
    </row>
    <row r="288" spans="2:3">
      <c r="B288" s="11" t="s">
        <v>77</v>
      </c>
      <c r="C288" s="11" t="s">
        <v>78</v>
      </c>
    </row>
    <row r="289" spans="2:3">
      <c r="B289" s="11" t="s">
        <v>79</v>
      </c>
      <c r="C289" s="11" t="s">
        <v>272</v>
      </c>
    </row>
    <row r="290" spans="2:3">
      <c r="B290" s="11" t="s">
        <v>80</v>
      </c>
      <c r="C290" s="11" t="s">
        <v>81</v>
      </c>
    </row>
    <row r="291" spans="2:3">
      <c r="B291" s="11" t="s">
        <v>82</v>
      </c>
      <c r="C291" s="11" t="s">
        <v>83</v>
      </c>
    </row>
    <row r="292" spans="2:3">
      <c r="B292" s="11" t="s">
        <v>84</v>
      </c>
      <c r="C292" s="11" t="s">
        <v>85</v>
      </c>
    </row>
    <row r="293" spans="2:3">
      <c r="B293" s="11" t="s">
        <v>86</v>
      </c>
      <c r="C293" s="11" t="s">
        <v>342</v>
      </c>
    </row>
    <row r="294" spans="2:3">
      <c r="B294" s="11" t="s">
        <v>155</v>
      </c>
      <c r="C294" s="11" t="s">
        <v>344</v>
      </c>
    </row>
    <row r="295" spans="2:3">
      <c r="B295" s="11" t="s">
        <v>87</v>
      </c>
      <c r="C295" s="11" t="s">
        <v>88</v>
      </c>
    </row>
    <row r="296" spans="2:3">
      <c r="B296" s="11" t="s">
        <v>89</v>
      </c>
      <c r="C296" s="11" t="s">
        <v>90</v>
      </c>
    </row>
    <row r="297" spans="2:3">
      <c r="B297" s="11" t="s">
        <v>91</v>
      </c>
      <c r="C297" s="11" t="s">
        <v>92</v>
      </c>
    </row>
    <row r="298" spans="2:3">
      <c r="B298" s="11" t="s">
        <v>93</v>
      </c>
      <c r="C298" s="11" t="s">
        <v>94</v>
      </c>
    </row>
    <row r="299" spans="2:3">
      <c r="B299" s="11" t="s">
        <v>95</v>
      </c>
      <c r="C299" s="11" t="s">
        <v>96</v>
      </c>
    </row>
    <row r="300" spans="2:3">
      <c r="B300" s="11" t="s">
        <v>97</v>
      </c>
      <c r="C300" s="11" t="s">
        <v>98</v>
      </c>
    </row>
    <row r="301" spans="2:3">
      <c r="B301" s="11" t="s">
        <v>156</v>
      </c>
      <c r="C301" s="11" t="s">
        <v>101</v>
      </c>
    </row>
    <row r="302" spans="2:3">
      <c r="B302" s="11" t="s">
        <v>102</v>
      </c>
      <c r="C302" s="11" t="s">
        <v>103</v>
      </c>
    </row>
    <row r="303" spans="2:3">
      <c r="B303" s="11" t="s">
        <v>104</v>
      </c>
      <c r="C303" s="11" t="s">
        <v>105</v>
      </c>
    </row>
    <row r="304" spans="2:3">
      <c r="B304" s="11" t="s">
        <v>109</v>
      </c>
      <c r="C304" s="12" t="s">
        <v>174</v>
      </c>
    </row>
    <row r="305" spans="2:3">
      <c r="B305" s="11" t="s">
        <v>106</v>
      </c>
      <c r="C305" s="11" t="s">
        <v>107</v>
      </c>
    </row>
    <row r="306" spans="2:3">
      <c r="B306" s="11" t="s">
        <v>281</v>
      </c>
      <c r="C306" s="11" t="s">
        <v>343</v>
      </c>
    </row>
    <row r="307" spans="2:3">
      <c r="B307" s="11" t="s">
        <v>110</v>
      </c>
      <c r="C307" s="11" t="s">
        <v>285</v>
      </c>
    </row>
    <row r="308" spans="2:3">
      <c r="B308" s="11" t="s">
        <v>157</v>
      </c>
      <c r="C308" s="11" t="s">
        <v>286</v>
      </c>
    </row>
    <row r="309" spans="2:3">
      <c r="B309" s="11" t="s">
        <v>111</v>
      </c>
      <c r="C309" s="11" t="s">
        <v>112</v>
      </c>
    </row>
    <row r="310" spans="2:3">
      <c r="B310" s="11" t="s">
        <v>113</v>
      </c>
      <c r="C310" s="11" t="s">
        <v>114</v>
      </c>
    </row>
    <row r="311" spans="2:3">
      <c r="B311" s="11" t="s">
        <v>116</v>
      </c>
      <c r="C311" s="11" t="s">
        <v>117</v>
      </c>
    </row>
    <row r="312" spans="2:3">
      <c r="B312" s="11" t="s">
        <v>118</v>
      </c>
      <c r="C312" s="11" t="s">
        <v>119</v>
      </c>
    </row>
    <row r="313" spans="2:3">
      <c r="B313" s="11" t="s">
        <v>152</v>
      </c>
      <c r="C313" s="12" t="s">
        <v>177</v>
      </c>
    </row>
    <row r="314" spans="2:3">
      <c r="B314" s="11" t="s">
        <v>265</v>
      </c>
      <c r="C314" s="11" t="s">
        <v>287</v>
      </c>
    </row>
    <row r="315" spans="2:3">
      <c r="B315" s="11" t="s">
        <v>133</v>
      </c>
      <c r="C315" s="12" t="s">
        <v>178</v>
      </c>
    </row>
    <row r="316" spans="2:3">
      <c r="B316" s="11" t="s">
        <v>0</v>
      </c>
      <c r="C316" s="12" t="s">
        <v>134</v>
      </c>
    </row>
    <row r="317" spans="2:3">
      <c r="B317" s="11" t="s">
        <v>158</v>
      </c>
      <c r="C317" s="12" t="s">
        <v>136</v>
      </c>
    </row>
    <row r="318" spans="2:3">
      <c r="B318" s="11" t="s">
        <v>159</v>
      </c>
      <c r="C318" s="12" t="s">
        <v>138</v>
      </c>
    </row>
    <row r="319" spans="2:3">
      <c r="B319" s="11" t="s">
        <v>116</v>
      </c>
      <c r="C319" s="12" t="s">
        <v>139</v>
      </c>
    </row>
    <row r="320" spans="2:3">
      <c r="B320" s="11" t="s">
        <v>113</v>
      </c>
      <c r="C320" s="12" t="s">
        <v>140</v>
      </c>
    </row>
    <row r="321" spans="2:20">
      <c r="B321" s="11" t="s">
        <v>141</v>
      </c>
      <c r="C321" s="12" t="s">
        <v>142</v>
      </c>
    </row>
    <row r="322" spans="2:20">
      <c r="B322" s="11" t="s">
        <v>121</v>
      </c>
      <c r="C322" s="12" t="s">
        <v>288</v>
      </c>
    </row>
    <row r="323" spans="2:20">
      <c r="B323" s="11" t="s">
        <v>144</v>
      </c>
      <c r="C323" s="12" t="s">
        <v>145</v>
      </c>
    </row>
    <row r="324" spans="2:20">
      <c r="B324" s="11" t="s">
        <v>122</v>
      </c>
      <c r="C324" s="12" t="s">
        <v>146</v>
      </c>
    </row>
    <row r="325" spans="2:20">
      <c r="B325" s="11" t="s">
        <v>123</v>
      </c>
      <c r="C325" s="5" t="s">
        <v>147</v>
      </c>
    </row>
    <row r="326" spans="2:20">
      <c r="B326" s="11" t="s">
        <v>124</v>
      </c>
      <c r="C326" s="12" t="s">
        <v>289</v>
      </c>
    </row>
    <row r="327" spans="2:20">
      <c r="B327" s="11" t="s">
        <v>161</v>
      </c>
      <c r="C327" s="12" t="s">
        <v>149</v>
      </c>
    </row>
    <row r="328" spans="2:20">
      <c r="B328" s="11" t="s">
        <v>266</v>
      </c>
      <c r="C328" s="11" t="s">
        <v>274</v>
      </c>
    </row>
    <row r="331" spans="2:20">
      <c r="B331" s="398" t="s">
        <v>315</v>
      </c>
      <c r="C331" s="398"/>
      <c r="D331" s="398"/>
      <c r="E331" s="398"/>
      <c r="F331" s="398"/>
      <c r="G331" s="398"/>
      <c r="H331" s="398"/>
      <c r="I331" s="398"/>
      <c r="J331" s="398"/>
      <c r="K331" s="398"/>
      <c r="L331" s="398"/>
      <c r="M331" s="398"/>
      <c r="N331" s="398"/>
      <c r="O331" s="398"/>
      <c r="P331" s="398"/>
      <c r="Q331" s="398"/>
      <c r="R331" s="398"/>
      <c r="S331" s="398"/>
      <c r="T331" s="398"/>
    </row>
    <row r="334" spans="2:20">
      <c r="C334" s="11">
        <v>2013</v>
      </c>
    </row>
    <row r="335" spans="2:20">
      <c r="B335" s="11" t="s">
        <v>385</v>
      </c>
      <c r="C335" s="11" t="s">
        <v>293</v>
      </c>
      <c r="D335" s="11" t="s">
        <v>294</v>
      </c>
      <c r="E335" s="11" t="s">
        <v>295</v>
      </c>
      <c r="F335" s="11" t="s">
        <v>296</v>
      </c>
      <c r="G335" s="11" t="s">
        <v>297</v>
      </c>
      <c r="H335" s="11" t="s">
        <v>298</v>
      </c>
      <c r="I335" s="11" t="s">
        <v>299</v>
      </c>
      <c r="J335" s="11" t="s">
        <v>300</v>
      </c>
      <c r="K335" s="11" t="s">
        <v>301</v>
      </c>
      <c r="L335" s="11" t="s">
        <v>302</v>
      </c>
      <c r="M335" s="11" t="s">
        <v>303</v>
      </c>
      <c r="N335" s="11" t="s">
        <v>304</v>
      </c>
      <c r="O335" s="11" t="s">
        <v>384</v>
      </c>
    </row>
    <row r="336" spans="2:20">
      <c r="B336" s="11" t="s">
        <v>386</v>
      </c>
      <c r="C336" s="11" t="s">
        <v>316</v>
      </c>
      <c r="D336" s="11" t="s">
        <v>317</v>
      </c>
      <c r="E336" s="11" t="s">
        <v>318</v>
      </c>
      <c r="F336" s="11" t="s">
        <v>296</v>
      </c>
      <c r="G336" s="11" t="s">
        <v>319</v>
      </c>
      <c r="H336" s="11" t="s">
        <v>320</v>
      </c>
      <c r="I336" s="11" t="s">
        <v>321</v>
      </c>
      <c r="J336" s="11" t="s">
        <v>322</v>
      </c>
      <c r="K336" s="11" t="s">
        <v>323</v>
      </c>
      <c r="L336" s="11" t="s">
        <v>324</v>
      </c>
      <c r="M336" s="11" t="s">
        <v>325</v>
      </c>
      <c r="N336" s="11" t="s">
        <v>326</v>
      </c>
      <c r="O336" s="11" t="s">
        <v>383</v>
      </c>
    </row>
    <row r="337" spans="2:3">
      <c r="B337" s="11" t="s">
        <v>128</v>
      </c>
      <c r="C337" s="11" t="s">
        <v>1</v>
      </c>
    </row>
    <row r="338" spans="2:3">
      <c r="B338" s="11" t="s">
        <v>2</v>
      </c>
      <c r="C338" s="11" t="s">
        <v>167</v>
      </c>
    </row>
    <row r="339" spans="2:3">
      <c r="B339" s="11" t="s">
        <v>3</v>
      </c>
      <c r="C339" s="11" t="s">
        <v>4</v>
      </c>
    </row>
    <row r="340" spans="2:3">
      <c r="B340" s="11" t="s">
        <v>5</v>
      </c>
      <c r="C340" s="11" t="s">
        <v>6</v>
      </c>
    </row>
    <row r="341" spans="2:3">
      <c r="B341" s="11" t="s">
        <v>305</v>
      </c>
      <c r="C341" s="11" t="s">
        <v>8</v>
      </c>
    </row>
    <row r="342" spans="2:3">
      <c r="B342" s="11" t="s">
        <v>9</v>
      </c>
      <c r="C342" s="11" t="s">
        <v>10</v>
      </c>
    </row>
    <row r="343" spans="2:3">
      <c r="B343" s="11" t="s">
        <v>306</v>
      </c>
      <c r="C343" s="11" t="s">
        <v>13</v>
      </c>
    </row>
    <row r="344" spans="2:3">
      <c r="B344" s="11" t="s">
        <v>307</v>
      </c>
      <c r="C344" s="11" t="s">
        <v>15</v>
      </c>
    </row>
    <row r="345" spans="2:3">
      <c r="B345" s="11" t="s">
        <v>16</v>
      </c>
      <c r="C345" s="11" t="s">
        <v>18</v>
      </c>
    </row>
    <row r="346" spans="2:3">
      <c r="B346" s="11" t="s">
        <v>19</v>
      </c>
      <c r="C346" s="11" t="s">
        <v>20</v>
      </c>
    </row>
    <row r="347" spans="2:3">
      <c r="B347" s="11" t="s">
        <v>308</v>
      </c>
      <c r="C347" s="11" t="s">
        <v>22</v>
      </c>
    </row>
    <row r="348" spans="2:3">
      <c r="B348" s="11" t="s">
        <v>309</v>
      </c>
      <c r="C348" s="11" t="s">
        <v>24</v>
      </c>
    </row>
    <row r="349" spans="2:3">
      <c r="B349" s="11" t="s">
        <v>310</v>
      </c>
      <c r="C349" s="11" t="s">
        <v>26</v>
      </c>
    </row>
    <row r="350" spans="2:3">
      <c r="B350" s="11" t="s">
        <v>27</v>
      </c>
      <c r="C350" s="11" t="s">
        <v>28</v>
      </c>
    </row>
    <row r="351" spans="2:3">
      <c r="B351" s="11" t="s">
        <v>29</v>
      </c>
      <c r="C351" s="11" t="s">
        <v>30</v>
      </c>
    </row>
    <row r="352" spans="2:3">
      <c r="B352" s="11" t="s">
        <v>31</v>
      </c>
      <c r="C352" s="11" t="s">
        <v>175</v>
      </c>
    </row>
    <row r="353" spans="2:3">
      <c r="B353" s="11" t="s">
        <v>32</v>
      </c>
      <c r="C353" s="11" t="s">
        <v>33</v>
      </c>
    </row>
    <row r="354" spans="2:3">
      <c r="B354" s="11" t="s">
        <v>34</v>
      </c>
      <c r="C354" s="11" t="s">
        <v>35</v>
      </c>
    </row>
    <row r="355" spans="2:3">
      <c r="B355" s="11" t="s">
        <v>37</v>
      </c>
      <c r="C355" s="11" t="s">
        <v>38</v>
      </c>
    </row>
    <row r="356" spans="2:3">
      <c r="B356" s="11" t="s">
        <v>39</v>
      </c>
      <c r="C356" s="11" t="s">
        <v>168</v>
      </c>
    </row>
    <row r="357" spans="2:3">
      <c r="B357" s="11" t="s">
        <v>328</v>
      </c>
      <c r="C357" s="11" t="s">
        <v>41</v>
      </c>
    </row>
    <row r="358" spans="2:3">
      <c r="B358" s="11" t="s">
        <v>311</v>
      </c>
      <c r="C358" s="11" t="s">
        <v>43</v>
      </c>
    </row>
    <row r="359" spans="2:3">
      <c r="B359" s="11" t="s">
        <v>45</v>
      </c>
      <c r="C359" s="11" t="s">
        <v>46</v>
      </c>
    </row>
    <row r="360" spans="2:3">
      <c r="B360" s="11" t="s">
        <v>312</v>
      </c>
      <c r="C360" s="11" t="s">
        <v>48</v>
      </c>
    </row>
    <row r="361" spans="2:3">
      <c r="B361" s="11" t="s">
        <v>313</v>
      </c>
      <c r="C361" s="11" t="s">
        <v>169</v>
      </c>
    </row>
    <row r="362" spans="2:3">
      <c r="B362" s="11" t="s">
        <v>51</v>
      </c>
      <c r="C362" s="11" t="s">
        <v>52</v>
      </c>
    </row>
    <row r="363" spans="2:3">
      <c r="B363" s="11" t="s">
        <v>53</v>
      </c>
      <c r="C363" s="11" t="s">
        <v>54</v>
      </c>
    </row>
    <row r="364" spans="2:3">
      <c r="B364" s="11" t="s">
        <v>55</v>
      </c>
      <c r="C364" s="11" t="s">
        <v>56</v>
      </c>
    </row>
    <row r="365" spans="2:3">
      <c r="B365" s="11" t="s">
        <v>57</v>
      </c>
      <c r="C365" s="11" t="s">
        <v>58</v>
      </c>
    </row>
    <row r="366" spans="2:3">
      <c r="B366" s="11" t="s">
        <v>314</v>
      </c>
      <c r="C366" s="11" t="s">
        <v>60</v>
      </c>
    </row>
    <row r="367" spans="2:3">
      <c r="B367" s="11" t="s">
        <v>53</v>
      </c>
      <c r="C367" s="11" t="s">
        <v>54</v>
      </c>
    </row>
    <row r="368" spans="2:3">
      <c r="B368" s="7" t="s">
        <v>255</v>
      </c>
      <c r="C368" s="11" t="s">
        <v>61</v>
      </c>
    </row>
    <row r="369" spans="2:3">
      <c r="B369" s="11" t="s">
        <v>62</v>
      </c>
      <c r="C369" s="11" t="s">
        <v>340</v>
      </c>
    </row>
    <row r="370" spans="2:3">
      <c r="B370" s="11" t="s">
        <v>126</v>
      </c>
      <c r="C370" s="11" t="s">
        <v>170</v>
      </c>
    </row>
    <row r="371" spans="2:3">
      <c r="B371" s="11" t="s">
        <v>63</v>
      </c>
      <c r="C371" s="11" t="s">
        <v>341</v>
      </c>
    </row>
    <row r="372" spans="2:3">
      <c r="B372" s="11" t="s">
        <v>64</v>
      </c>
      <c r="C372" s="11" t="s">
        <v>65</v>
      </c>
    </row>
    <row r="373" spans="2:3">
      <c r="B373" s="11" t="s">
        <v>66</v>
      </c>
      <c r="C373" s="11" t="s">
        <v>67</v>
      </c>
    </row>
    <row r="374" spans="2:3">
      <c r="B374" s="11" t="s">
        <v>68</v>
      </c>
      <c r="C374" s="11" t="s">
        <v>69</v>
      </c>
    </row>
    <row r="375" spans="2:3">
      <c r="B375" s="11" t="s">
        <v>70</v>
      </c>
      <c r="C375" s="11" t="s">
        <v>71</v>
      </c>
    </row>
    <row r="376" spans="2:3">
      <c r="B376" s="11" t="s">
        <v>72</v>
      </c>
      <c r="C376" s="11" t="s">
        <v>73</v>
      </c>
    </row>
    <row r="377" spans="2:3">
      <c r="B377" s="11" t="s">
        <v>129</v>
      </c>
      <c r="C377" s="11" t="s">
        <v>179</v>
      </c>
    </row>
    <row r="378" spans="2:3">
      <c r="B378" s="11" t="s">
        <v>75</v>
      </c>
      <c r="C378" s="11" t="s">
        <v>76</v>
      </c>
    </row>
    <row r="379" spans="2:3">
      <c r="B379" s="11" t="s">
        <v>77</v>
      </c>
      <c r="C379" s="11" t="s">
        <v>78</v>
      </c>
    </row>
    <row r="380" spans="2:3">
      <c r="B380" s="11" t="s">
        <v>79</v>
      </c>
      <c r="C380" s="11" t="s">
        <v>151</v>
      </c>
    </row>
    <row r="381" spans="2:3">
      <c r="B381" s="11" t="s">
        <v>80</v>
      </c>
      <c r="C381" s="11" t="s">
        <v>81</v>
      </c>
    </row>
    <row r="382" spans="2:3">
      <c r="B382" s="11" t="s">
        <v>82</v>
      </c>
      <c r="C382" s="11" t="s">
        <v>83</v>
      </c>
    </row>
    <row r="383" spans="2:3">
      <c r="B383" s="11" t="s">
        <v>84</v>
      </c>
      <c r="C383" s="11" t="s">
        <v>85</v>
      </c>
    </row>
    <row r="384" spans="2:3">
      <c r="B384" s="11" t="s">
        <v>86</v>
      </c>
      <c r="C384" s="11" t="s">
        <v>342</v>
      </c>
    </row>
    <row r="385" spans="2:3">
      <c r="B385" s="11" t="s">
        <v>130</v>
      </c>
      <c r="C385" s="11" t="s">
        <v>180</v>
      </c>
    </row>
    <row r="386" spans="2:3">
      <c r="B386" s="11" t="s">
        <v>87</v>
      </c>
      <c r="C386" s="11" t="s">
        <v>88</v>
      </c>
    </row>
    <row r="387" spans="2:3">
      <c r="B387" s="11" t="s">
        <v>89</v>
      </c>
      <c r="C387" s="11" t="s">
        <v>90</v>
      </c>
    </row>
    <row r="388" spans="2:3">
      <c r="B388" s="11" t="s">
        <v>91</v>
      </c>
      <c r="C388" s="11" t="s">
        <v>92</v>
      </c>
    </row>
    <row r="389" spans="2:3">
      <c r="B389" s="11" t="s">
        <v>93</v>
      </c>
      <c r="C389" s="11" t="s">
        <v>94</v>
      </c>
    </row>
    <row r="390" spans="2:3">
      <c r="B390" s="11" t="s">
        <v>95</v>
      </c>
      <c r="C390" s="11" t="s">
        <v>96</v>
      </c>
    </row>
    <row r="391" spans="2:3">
      <c r="B391" s="11" t="s">
        <v>97</v>
      </c>
      <c r="C391" s="11" t="s">
        <v>98</v>
      </c>
    </row>
    <row r="392" spans="2:3">
      <c r="B392" s="11" t="s">
        <v>100</v>
      </c>
      <c r="C392" s="11" t="s">
        <v>101</v>
      </c>
    </row>
    <row r="393" spans="2:3">
      <c r="B393" s="11" t="s">
        <v>102</v>
      </c>
      <c r="C393" s="11" t="s">
        <v>103</v>
      </c>
    </row>
    <row r="394" spans="2:3">
      <c r="B394" s="11" t="s">
        <v>104</v>
      </c>
      <c r="C394" s="11" t="s">
        <v>105</v>
      </c>
    </row>
    <row r="395" spans="2:3">
      <c r="B395" s="11" t="s">
        <v>106</v>
      </c>
      <c r="C395" s="11" t="s">
        <v>107</v>
      </c>
    </row>
    <row r="396" spans="2:3">
      <c r="B396" s="11" t="s">
        <v>108</v>
      </c>
      <c r="C396" s="11" t="s">
        <v>173</v>
      </c>
    </row>
    <row r="397" spans="2:3">
      <c r="B397" s="11" t="s">
        <v>109</v>
      </c>
      <c r="C397" s="11" t="s">
        <v>174</v>
      </c>
    </row>
    <row r="398" spans="2:3">
      <c r="B398" s="11" t="s">
        <v>131</v>
      </c>
      <c r="C398" s="11" t="s">
        <v>373</v>
      </c>
    </row>
    <row r="399" spans="2:3">
      <c r="B399" s="11" t="s">
        <v>111</v>
      </c>
      <c r="C399" s="11" t="s">
        <v>112</v>
      </c>
    </row>
    <row r="400" spans="2:3">
      <c r="B400" s="11" t="s">
        <v>118</v>
      </c>
      <c r="C400" s="11" t="s">
        <v>119</v>
      </c>
    </row>
    <row r="401" spans="2:3">
      <c r="B401" s="11" t="s">
        <v>152</v>
      </c>
      <c r="C401" s="11" t="s">
        <v>177</v>
      </c>
    </row>
    <row r="402" spans="2:3">
      <c r="B402" s="11" t="s">
        <v>132</v>
      </c>
      <c r="C402" s="11" t="s">
        <v>120</v>
      </c>
    </row>
    <row r="403" spans="2:3">
      <c r="B403" s="11" t="s">
        <v>133</v>
      </c>
      <c r="C403" s="11" t="s">
        <v>178</v>
      </c>
    </row>
    <row r="404" spans="2:3">
      <c r="B404" s="11" t="s">
        <v>0</v>
      </c>
      <c r="C404" s="11" t="s">
        <v>134</v>
      </c>
    </row>
    <row r="405" spans="2:3">
      <c r="B405" s="11" t="s">
        <v>135</v>
      </c>
      <c r="C405" s="11" t="s">
        <v>136</v>
      </c>
    </row>
    <row r="406" spans="2:3">
      <c r="B406" s="11" t="s">
        <v>137</v>
      </c>
      <c r="C406" s="11" t="s">
        <v>138</v>
      </c>
    </row>
    <row r="407" spans="2:3">
      <c r="B407" s="11" t="s">
        <v>116</v>
      </c>
      <c r="C407" s="11" t="s">
        <v>139</v>
      </c>
    </row>
    <row r="408" spans="2:3">
      <c r="B408" s="11" t="s">
        <v>113</v>
      </c>
      <c r="C408" s="11" t="s">
        <v>140</v>
      </c>
    </row>
    <row r="409" spans="2:3">
      <c r="B409" s="11" t="s">
        <v>141</v>
      </c>
      <c r="C409" s="11" t="s">
        <v>142</v>
      </c>
    </row>
    <row r="410" spans="2:3">
      <c r="B410" s="11" t="s">
        <v>121</v>
      </c>
      <c r="C410" s="11" t="s">
        <v>143</v>
      </c>
    </row>
    <row r="411" spans="2:3">
      <c r="B411" s="11" t="s">
        <v>144</v>
      </c>
      <c r="C411" s="11" t="s">
        <v>145</v>
      </c>
    </row>
    <row r="412" spans="2:3">
      <c r="B412" s="11" t="s">
        <v>122</v>
      </c>
      <c r="C412" s="11" t="s">
        <v>146</v>
      </c>
    </row>
    <row r="413" spans="2:3">
      <c r="B413" s="11" t="s">
        <v>123</v>
      </c>
      <c r="C413" s="11" t="s">
        <v>147</v>
      </c>
    </row>
    <row r="414" spans="2:3">
      <c r="B414" s="11" t="s">
        <v>329</v>
      </c>
      <c r="C414" s="11" t="s">
        <v>148</v>
      </c>
    </row>
    <row r="415" spans="2:3">
      <c r="B415" s="11" t="s">
        <v>125</v>
      </c>
      <c r="C415" s="11" t="s">
        <v>149</v>
      </c>
    </row>
    <row r="416" spans="2:3">
      <c r="B416" s="11" t="s">
        <v>266</v>
      </c>
      <c r="C416" s="11" t="s">
        <v>267</v>
      </c>
    </row>
    <row r="419" spans="2:23">
      <c r="B419" s="398" t="s">
        <v>387</v>
      </c>
      <c r="C419" s="399"/>
      <c r="D419" s="399"/>
      <c r="E419" s="399"/>
      <c r="F419" s="399"/>
      <c r="G419" s="399"/>
      <c r="H419" s="399"/>
      <c r="I419" s="399"/>
      <c r="J419" s="399"/>
      <c r="K419" s="399"/>
      <c r="L419" s="399"/>
      <c r="M419" s="399"/>
      <c r="N419" s="399"/>
      <c r="O419" s="399"/>
      <c r="P419" s="399"/>
      <c r="Q419" s="399"/>
      <c r="R419" s="399"/>
      <c r="S419" s="399"/>
      <c r="T419" s="399"/>
    </row>
    <row r="421" spans="2:23">
      <c r="B421" s="11" t="s">
        <v>327</v>
      </c>
    </row>
    <row r="422" spans="2:23">
      <c r="B422" s="11" t="s">
        <v>334</v>
      </c>
      <c r="O422" s="1"/>
    </row>
    <row r="424" spans="2:23">
      <c r="B424" s="11" t="s">
        <v>389</v>
      </c>
    </row>
    <row r="425" spans="2:23">
      <c r="B425" s="11" t="s">
        <v>389</v>
      </c>
    </row>
    <row r="427" spans="2:23">
      <c r="B427" s="398" t="s">
        <v>330</v>
      </c>
      <c r="C427" s="398"/>
      <c r="D427" s="398"/>
      <c r="E427" s="398"/>
      <c r="F427" s="398"/>
      <c r="G427" s="398"/>
      <c r="H427" s="398"/>
      <c r="I427" s="398"/>
      <c r="J427" s="398"/>
      <c r="K427" s="398"/>
      <c r="L427" s="398"/>
      <c r="M427" s="398"/>
      <c r="N427" s="398"/>
      <c r="O427" s="398"/>
      <c r="P427" s="398"/>
      <c r="Q427" s="398"/>
      <c r="R427" s="398"/>
      <c r="S427" s="398"/>
      <c r="T427" s="398"/>
    </row>
    <row r="429" spans="2:23">
      <c r="B429" s="11" t="s">
        <v>335</v>
      </c>
      <c r="C429" s="11" t="s">
        <v>240</v>
      </c>
      <c r="D429" s="11" t="s">
        <v>388</v>
      </c>
      <c r="E429" s="27" t="s">
        <v>390</v>
      </c>
      <c r="F429" s="27" t="s">
        <v>391</v>
      </c>
    </row>
    <row r="430" spans="2:23">
      <c r="B430" s="11" t="s">
        <v>336</v>
      </c>
      <c r="C430" s="11" t="s">
        <v>339</v>
      </c>
      <c r="D430" s="11" t="s">
        <v>388</v>
      </c>
      <c r="E430" s="27" t="s">
        <v>390</v>
      </c>
      <c r="F430" s="27" t="s">
        <v>392</v>
      </c>
      <c r="W430" s="28"/>
    </row>
    <row r="432" spans="2:23">
      <c r="B432" s="398" t="s">
        <v>345</v>
      </c>
      <c r="C432" s="398"/>
      <c r="D432" s="398"/>
      <c r="E432" s="398"/>
      <c r="F432" s="398"/>
      <c r="G432" s="398"/>
      <c r="H432" s="398"/>
      <c r="I432" s="398"/>
      <c r="J432" s="398"/>
      <c r="K432" s="398"/>
      <c r="L432" s="398"/>
      <c r="M432" s="398"/>
      <c r="N432" s="398"/>
      <c r="O432" s="398"/>
      <c r="P432" s="398"/>
      <c r="Q432" s="398"/>
      <c r="R432" s="398"/>
      <c r="S432" s="398"/>
      <c r="T432" s="398"/>
    </row>
    <row r="435" spans="2:6">
      <c r="B435" s="11" t="s">
        <v>353</v>
      </c>
      <c r="C435" s="11" t="s">
        <v>354</v>
      </c>
    </row>
    <row r="437" spans="2:6">
      <c r="B437" s="11" t="s">
        <v>346</v>
      </c>
      <c r="C437" s="11" t="s">
        <v>345</v>
      </c>
    </row>
    <row r="438" spans="2:6">
      <c r="B438" s="11" t="s">
        <v>347</v>
      </c>
      <c r="C438" s="11" t="s">
        <v>355</v>
      </c>
    </row>
    <row r="439" spans="2:6">
      <c r="B439" s="11" t="s">
        <v>348</v>
      </c>
      <c r="C439" s="11" t="s">
        <v>356</v>
      </c>
    </row>
    <row r="441" spans="2:6">
      <c r="B441" s="11" t="s">
        <v>357</v>
      </c>
      <c r="C441" s="11" t="s">
        <v>349</v>
      </c>
      <c r="D441" s="11" t="s">
        <v>350</v>
      </c>
      <c r="E441" s="11" t="s">
        <v>351</v>
      </c>
      <c r="F441" s="11" t="s">
        <v>352</v>
      </c>
    </row>
    <row r="442" spans="2:6">
      <c r="B442" s="11" t="s">
        <v>358</v>
      </c>
      <c r="C442" s="11" t="s">
        <v>359</v>
      </c>
      <c r="D442" s="11" t="s">
        <v>360</v>
      </c>
      <c r="E442" s="11" t="s">
        <v>361</v>
      </c>
      <c r="F442" s="11" t="s">
        <v>362</v>
      </c>
    </row>
    <row r="443" spans="2:6">
      <c r="B443" s="11" t="s">
        <v>363</v>
      </c>
    </row>
    <row r="444" spans="2:6">
      <c r="B444" s="11" t="s">
        <v>364</v>
      </c>
    </row>
  </sheetData>
  <mergeCells count="21">
    <mergeCell ref="B3:C3"/>
    <mergeCell ref="B253:T253"/>
    <mergeCell ref="B154:T154"/>
    <mergeCell ref="B62:T62"/>
    <mergeCell ref="B37:T37"/>
    <mergeCell ref="B42:B51"/>
    <mergeCell ref="B52:B59"/>
    <mergeCell ref="F40:H40"/>
    <mergeCell ref="J40:L40"/>
    <mergeCell ref="M40:P40"/>
    <mergeCell ref="D40:E41"/>
    <mergeCell ref="D42:D51"/>
    <mergeCell ref="D52:D59"/>
    <mergeCell ref="F42:H42"/>
    <mergeCell ref="J42:L42"/>
    <mergeCell ref="M42:P42"/>
    <mergeCell ref="B40:C41"/>
    <mergeCell ref="B419:T419"/>
    <mergeCell ref="B432:T432"/>
    <mergeCell ref="B427:T427"/>
    <mergeCell ref="B331:T33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C4:P7"/>
  <sheetViews>
    <sheetView workbookViewId="0">
      <selection activeCell="P5" sqref="P5:P7"/>
    </sheetView>
  </sheetViews>
  <sheetFormatPr defaultRowHeight="12.75"/>
  <cols>
    <col min="3" max="3" width="28.28515625" bestFit="1" customWidth="1"/>
  </cols>
  <sheetData>
    <row r="4" spans="3:16">
      <c r="D4" s="181" t="s">
        <v>293</v>
      </c>
      <c r="E4" s="181" t="s">
        <v>294</v>
      </c>
      <c r="F4" s="181" t="s">
        <v>295</v>
      </c>
      <c r="G4" s="181" t="s">
        <v>296</v>
      </c>
      <c r="H4" s="181" t="s">
        <v>297</v>
      </c>
      <c r="I4" s="181" t="s">
        <v>298</v>
      </c>
      <c r="J4" s="181" t="s">
        <v>299</v>
      </c>
      <c r="K4" s="181" t="s">
        <v>300</v>
      </c>
      <c r="L4" s="181" t="s">
        <v>301</v>
      </c>
      <c r="M4" s="181" t="s">
        <v>302</v>
      </c>
      <c r="N4" s="181" t="s">
        <v>303</v>
      </c>
      <c r="O4" s="181" t="s">
        <v>304</v>
      </c>
    </row>
    <row r="5" spans="3:16">
      <c r="C5" s="181" t="s">
        <v>438</v>
      </c>
      <c r="D5" s="182">
        <v>62425293.156965584</v>
      </c>
      <c r="E5" s="182">
        <v>79762187.59852089</v>
      </c>
      <c r="F5" s="182">
        <v>89318688.151918903</v>
      </c>
      <c r="G5" s="182">
        <v>106294081.27535464</v>
      </c>
      <c r="H5" s="182">
        <v>97189661.825924918</v>
      </c>
      <c r="I5" s="182">
        <v>105191801.34506513</v>
      </c>
      <c r="J5" s="182">
        <v>123272889.17858437</v>
      </c>
      <c r="K5" s="182">
        <v>125579133.65326507</v>
      </c>
      <c r="L5" s="182">
        <v>121047897.33843082</v>
      </c>
      <c r="M5" s="182">
        <v>114789505.85515907</v>
      </c>
      <c r="N5" s="182">
        <v>97406301.479715049</v>
      </c>
      <c r="O5" s="182">
        <v>145778958.57826602</v>
      </c>
      <c r="P5" s="182">
        <f>+SUM(D5:O5)</f>
        <v>1268056399.4371705</v>
      </c>
    </row>
    <row r="6" spans="3:16">
      <c r="C6" s="181" t="s">
        <v>439</v>
      </c>
      <c r="D6" s="182">
        <v>70632268.589999989</v>
      </c>
      <c r="E6" s="182">
        <v>81381758.450000018</v>
      </c>
      <c r="F6" s="182">
        <v>100495765.61000001</v>
      </c>
      <c r="G6" s="182">
        <v>107356417.33534782</v>
      </c>
      <c r="H6" s="182">
        <v>98816734.644163221</v>
      </c>
      <c r="I6" s="182">
        <v>107147051.5707173</v>
      </c>
      <c r="J6" s="182">
        <v>125666748.8575906</v>
      </c>
      <c r="K6" s="182">
        <v>127890096.38694921</v>
      </c>
      <c r="L6" s="182">
        <v>123465322.33433203</v>
      </c>
      <c r="M6" s="182">
        <v>117130344.73943919</v>
      </c>
      <c r="N6" s="182">
        <v>99294843.070796907</v>
      </c>
      <c r="O6" s="182">
        <v>149056317.49743444</v>
      </c>
      <c r="P6" s="182">
        <f>+SUM(D6:O6)</f>
        <v>1308333669.0867708</v>
      </c>
    </row>
    <row r="7" spans="3:16">
      <c r="C7" s="181" t="s">
        <v>440</v>
      </c>
      <c r="D7" s="182">
        <v>54757461.979999989</v>
      </c>
      <c r="E7" s="182">
        <v>75673443.909999996</v>
      </c>
      <c r="F7" s="182">
        <v>88296245.580000013</v>
      </c>
      <c r="G7" s="182">
        <v>103948239.19999999</v>
      </c>
      <c r="H7" s="182">
        <v>93997829.679999992</v>
      </c>
      <c r="I7" s="182">
        <v>99561632.659999996</v>
      </c>
      <c r="J7" s="182">
        <v>122021331.04999998</v>
      </c>
      <c r="K7" s="182">
        <v>125053427.64999999</v>
      </c>
      <c r="L7" s="182">
        <v>116342017.78000002</v>
      </c>
      <c r="M7" s="182">
        <v>117283627.60000001</v>
      </c>
      <c r="N7" s="182">
        <v>95781753.159999996</v>
      </c>
      <c r="O7" s="182">
        <v>142429369.22999999</v>
      </c>
      <c r="P7" s="182">
        <f>+SUM(D7:O7)</f>
        <v>1235146379.48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M80"/>
  <sheetViews>
    <sheetView workbookViewId="0">
      <selection activeCell="G63" sqref="G63"/>
    </sheetView>
  </sheetViews>
  <sheetFormatPr defaultRowHeight="12.75"/>
  <cols>
    <col min="2" max="2" width="43.28515625" customWidth="1"/>
    <col min="3" max="3" width="7.42578125" bestFit="1" customWidth="1"/>
    <col min="4" max="4" width="7.85546875" bestFit="1" customWidth="1"/>
    <col min="5" max="5" width="7.7109375" style="80" customWidth="1"/>
    <col min="6" max="6" width="6" style="80" customWidth="1"/>
    <col min="7" max="7" width="7.7109375" style="80" customWidth="1"/>
    <col min="8" max="8" width="7" style="80" bestFit="1" customWidth="1"/>
    <col min="12" max="12" width="11.5703125" bestFit="1" customWidth="1"/>
  </cols>
  <sheetData>
    <row r="1" spans="2:13">
      <c r="E1" s="82"/>
      <c r="F1" s="82"/>
      <c r="G1" s="82"/>
      <c r="H1" s="82"/>
    </row>
    <row r="2" spans="2:13" ht="13.5" thickBot="1">
      <c r="E2" s="82"/>
      <c r="F2" s="82"/>
      <c r="G2" s="82"/>
      <c r="H2" s="82"/>
    </row>
    <row r="3" spans="2:13" ht="14.25" thickTop="1" thickBot="1">
      <c r="C3" s="368">
        <v>3335894492.1291356</v>
      </c>
      <c r="D3" s="368"/>
      <c r="E3" s="361">
        <v>3516156889.9792166</v>
      </c>
      <c r="F3" s="362"/>
      <c r="G3" s="362"/>
      <c r="H3" s="363"/>
    </row>
    <row r="4" spans="2:13" ht="13.5" thickTop="1">
      <c r="E4" s="83"/>
      <c r="F4" s="83"/>
      <c r="G4" s="82"/>
      <c r="H4" s="82"/>
    </row>
    <row r="5" spans="2:13" ht="13.5" thickBot="1">
      <c r="E5" s="164"/>
      <c r="F5" s="164"/>
      <c r="G5" s="164"/>
      <c r="H5" s="164"/>
    </row>
    <row r="6" spans="2:13" ht="13.5" thickTop="1">
      <c r="B6" t="s">
        <v>127</v>
      </c>
      <c r="C6" s="359">
        <v>2013</v>
      </c>
      <c r="D6" s="360"/>
      <c r="E6" s="359" t="s">
        <v>393</v>
      </c>
      <c r="F6" s="360"/>
      <c r="G6" s="359" t="s">
        <v>427</v>
      </c>
      <c r="H6" s="360"/>
      <c r="I6" s="359" t="s">
        <v>441</v>
      </c>
      <c r="J6" s="360"/>
    </row>
    <row r="7" spans="2:13" ht="13.5" thickBot="1">
      <c r="C7" s="88" t="str">
        <f>+E7</f>
        <v>mil. €</v>
      </c>
      <c r="D7" s="89" t="str">
        <f>+F7</f>
        <v>% BDP</v>
      </c>
      <c r="E7" s="88" t="s">
        <v>263</v>
      </c>
      <c r="F7" s="89" t="s">
        <v>150</v>
      </c>
      <c r="G7" s="88" t="s">
        <v>263</v>
      </c>
      <c r="H7" s="89" t="s">
        <v>150</v>
      </c>
      <c r="I7" s="184" t="s">
        <v>263</v>
      </c>
      <c r="J7" s="184" t="s">
        <v>442</v>
      </c>
    </row>
    <row r="8" spans="2:13" ht="14.25" thickTop="1" thickBot="1">
      <c r="B8" s="90" t="s">
        <v>128</v>
      </c>
      <c r="C8" s="165">
        <f>C9+C17+C22+C27+C34+C39</f>
        <v>1235146379.48</v>
      </c>
      <c r="D8" s="92">
        <f>C8/C$3*100</f>
        <v>37.025942588839719</v>
      </c>
      <c r="E8" s="165">
        <f>+E9+E17+E22+E27+E34+E39+E40</f>
        <v>1276056399.4371703</v>
      </c>
      <c r="F8" s="92">
        <f>E8/E$3*100</f>
        <v>36.291224748071834</v>
      </c>
      <c r="G8" s="162">
        <f>+G9+G17+G22+G27+G34+G39+G40</f>
        <v>1316333669.0867703</v>
      </c>
      <c r="H8" s="92">
        <f>G8/E$3*100</f>
        <v>37.436716002014087</v>
      </c>
      <c r="I8" s="162">
        <f>+G8-E8</f>
        <v>40277269.649600029</v>
      </c>
      <c r="J8" s="92">
        <f>+G8/E8*100-100</f>
        <v>3.1563863217460693</v>
      </c>
    </row>
    <row r="9" spans="2:13" ht="13.5" thickTop="1">
      <c r="B9" s="93" t="s">
        <v>2</v>
      </c>
      <c r="C9" s="154">
        <f>SUM(C10:C16)</f>
        <v>755696459.51000011</v>
      </c>
      <c r="D9" s="95">
        <f t="shared" ref="D9:D72" si="0">C9/C$3*100</f>
        <v>22.653488031261944</v>
      </c>
      <c r="E9" s="154">
        <f>+SUM(E10:E16)</f>
        <v>797828901.35953081</v>
      </c>
      <c r="F9" s="96">
        <f t="shared" ref="F9:F73" si="1">E9/E$3*100</f>
        <v>22.690366963808792</v>
      </c>
      <c r="G9" s="154">
        <f>+SUM(G10:G16)</f>
        <v>819077478.06873</v>
      </c>
      <c r="H9" s="96">
        <f t="shared" ref="H9:H72" si="2">G9/E$3*100</f>
        <v>23.294679495190881</v>
      </c>
      <c r="I9" s="154">
        <f t="shared" ref="I9:I41" si="3">+G9-E9</f>
        <v>21248576.70919919</v>
      </c>
      <c r="J9" s="96">
        <f t="shared" ref="J9:J73" si="4">+G9/E9*100-100</f>
        <v>2.6632999472682428</v>
      </c>
    </row>
    <row r="10" spans="2:13">
      <c r="B10" s="97" t="s">
        <v>3</v>
      </c>
      <c r="C10" s="155">
        <v>95618433.909999996</v>
      </c>
      <c r="D10" s="98">
        <f t="shared" si="0"/>
        <v>2.8663506635358695</v>
      </c>
      <c r="E10" s="155">
        <v>96011654.614494905</v>
      </c>
      <c r="F10" s="98">
        <f t="shared" si="1"/>
        <v>2.7305850568875618</v>
      </c>
      <c r="G10" s="156">
        <v>96781150.729929999</v>
      </c>
      <c r="H10" s="98">
        <f t="shared" si="2"/>
        <v>2.7524696354064582</v>
      </c>
      <c r="I10" s="156">
        <f t="shared" si="3"/>
        <v>769496.11543509364</v>
      </c>
      <c r="J10" s="98">
        <f t="shared" si="4"/>
        <v>0.80146115440335564</v>
      </c>
    </row>
    <row r="11" spans="2:13">
      <c r="B11" s="97" t="s">
        <v>5</v>
      </c>
      <c r="C11" s="156">
        <v>40638726.390000008</v>
      </c>
      <c r="D11" s="98">
        <f t="shared" si="0"/>
        <v>1.2182257708055488</v>
      </c>
      <c r="E11" s="156">
        <v>44395641.531501003</v>
      </c>
      <c r="F11" s="98">
        <f t="shared" si="1"/>
        <v>1.2626183336137604</v>
      </c>
      <c r="G11" s="156">
        <v>50018934.706970006</v>
      </c>
      <c r="H11" s="98">
        <f t="shared" si="2"/>
        <v>1.4225455880401758</v>
      </c>
      <c r="I11" s="156">
        <f t="shared" si="3"/>
        <v>5623293.1754690036</v>
      </c>
      <c r="J11" s="98">
        <f t="shared" si="4"/>
        <v>12.666318092236565</v>
      </c>
    </row>
    <row r="12" spans="2:13">
      <c r="B12" s="97" t="s">
        <v>7</v>
      </c>
      <c r="C12" s="156">
        <v>1440565.3199999998</v>
      </c>
      <c r="D12" s="98">
        <f t="shared" si="0"/>
        <v>4.318377944503151E-2</v>
      </c>
      <c r="E12" s="156">
        <v>1544536.6728920399</v>
      </c>
      <c r="F12" s="98">
        <f t="shared" si="1"/>
        <v>4.3926841754241781E-2</v>
      </c>
      <c r="G12" s="156">
        <v>1489198.0023599996</v>
      </c>
      <c r="H12" s="98">
        <f t="shared" si="2"/>
        <v>4.2353002125818169E-2</v>
      </c>
      <c r="I12" s="156">
        <f t="shared" si="3"/>
        <v>-55338.670532040298</v>
      </c>
      <c r="J12" s="98">
        <f t="shared" si="4"/>
        <v>-3.5828654316392772</v>
      </c>
    </row>
    <row r="13" spans="2:13">
      <c r="B13" s="97" t="s">
        <v>9</v>
      </c>
      <c r="C13" s="155">
        <v>429195069.32999998</v>
      </c>
      <c r="D13" s="98">
        <f t="shared" si="0"/>
        <v>12.865966544885122</v>
      </c>
      <c r="E13" s="155">
        <v>455945630.52919102</v>
      </c>
      <c r="F13" s="98">
        <f t="shared" si="1"/>
        <v>12.967158315051353</v>
      </c>
      <c r="G13" s="156">
        <v>473642045.78458995</v>
      </c>
      <c r="H13" s="98">
        <f t="shared" si="2"/>
        <v>13.470446871538474</v>
      </c>
      <c r="I13" s="156">
        <f t="shared" si="3"/>
        <v>17696415.255398929</v>
      </c>
      <c r="J13" s="98">
        <f t="shared" si="4"/>
        <v>3.8812555862986784</v>
      </c>
      <c r="L13" s="156">
        <f>+G13-C13</f>
        <v>44446976.454589963</v>
      </c>
      <c r="M13">
        <f>+G13/C13*100-100</f>
        <v>10.355891675077828</v>
      </c>
    </row>
    <row r="14" spans="2:13">
      <c r="B14" s="97" t="s">
        <v>12</v>
      </c>
      <c r="C14" s="156">
        <v>161445470.17000002</v>
      </c>
      <c r="D14" s="98">
        <f t="shared" si="0"/>
        <v>4.8396455748502225</v>
      </c>
      <c r="E14" s="156">
        <v>171111988.52539012</v>
      </c>
      <c r="F14" s="98">
        <f t="shared" si="1"/>
        <v>4.8664491909631922</v>
      </c>
      <c r="G14" s="156">
        <v>169158715.98390999</v>
      </c>
      <c r="H14" s="98">
        <f t="shared" si="2"/>
        <v>4.8108978432105705</v>
      </c>
      <c r="I14" s="156">
        <f t="shared" si="3"/>
        <v>-1953272.541480124</v>
      </c>
      <c r="J14" s="98">
        <f t="shared" si="4"/>
        <v>-1.1415170604427232</v>
      </c>
    </row>
    <row r="15" spans="2:13">
      <c r="B15" s="97" t="s">
        <v>14</v>
      </c>
      <c r="C15" s="156">
        <v>22269382.640000001</v>
      </c>
      <c r="D15" s="98">
        <f t="shared" si="0"/>
        <v>0.66756855447746977</v>
      </c>
      <c r="E15" s="156">
        <v>23735353.696558259</v>
      </c>
      <c r="F15" s="98">
        <f t="shared" si="1"/>
        <v>0.67503682114419394</v>
      </c>
      <c r="G15" s="156">
        <v>22781578.440719999</v>
      </c>
      <c r="H15" s="98">
        <f t="shared" si="2"/>
        <v>0.64791131776985811</v>
      </c>
      <c r="I15" s="156">
        <f t="shared" si="3"/>
        <v>-953775.25583826005</v>
      </c>
      <c r="J15" s="98">
        <f t="shared" si="4"/>
        <v>-4.0183738908283573</v>
      </c>
    </row>
    <row r="16" spans="2:13">
      <c r="B16" s="97" t="s">
        <v>17</v>
      </c>
      <c r="C16" s="156">
        <v>5088811.75</v>
      </c>
      <c r="D16" s="98">
        <f t="shared" si="0"/>
        <v>0.15254714326267749</v>
      </c>
      <c r="E16" s="156">
        <v>5084095.7895035082</v>
      </c>
      <c r="F16" s="98">
        <f t="shared" si="1"/>
        <v>0.14459240439449103</v>
      </c>
      <c r="G16" s="156">
        <v>5205854.4202499995</v>
      </c>
      <c r="H16" s="98">
        <f t="shared" si="2"/>
        <v>0.14805523709952459</v>
      </c>
      <c r="I16" s="156">
        <f t="shared" si="3"/>
        <v>121758.63074649125</v>
      </c>
      <c r="J16" s="98">
        <f t="shared" si="4"/>
        <v>2.394892539158505</v>
      </c>
      <c r="L16">
        <f>+G13/G8*100</f>
        <v>35.981913773670129</v>
      </c>
    </row>
    <row r="17" spans="2:12">
      <c r="B17" s="93" t="s">
        <v>19</v>
      </c>
      <c r="C17" s="166">
        <f>SUM(C18:C21)</f>
        <v>398494284.19</v>
      </c>
      <c r="D17" s="96">
        <f t="shared" si="0"/>
        <v>11.94565011364196</v>
      </c>
      <c r="E17" s="154">
        <f>+SUM(E18:E21)</f>
        <v>397823173.70918262</v>
      </c>
      <c r="F17" s="96">
        <f t="shared" si="1"/>
        <v>11.314147410286179</v>
      </c>
      <c r="G17" s="154">
        <f>+SUM(G18:G21)</f>
        <v>417559652.73636997</v>
      </c>
      <c r="H17" s="96">
        <f t="shared" si="2"/>
        <v>11.87545566940951</v>
      </c>
      <c r="I17" s="154">
        <f t="shared" si="3"/>
        <v>19736479.027187347</v>
      </c>
      <c r="J17" s="96">
        <f t="shared" si="4"/>
        <v>4.9611184896974265</v>
      </c>
    </row>
    <row r="18" spans="2:12">
      <c r="B18" s="97" t="s">
        <v>21</v>
      </c>
      <c r="C18" s="156">
        <v>241949355.72999999</v>
      </c>
      <c r="D18" s="98">
        <f t="shared" si="0"/>
        <v>7.2529079172277937</v>
      </c>
      <c r="E18" s="156">
        <v>234882396.70208701</v>
      </c>
      <c r="F18" s="98">
        <f t="shared" si="1"/>
        <v>6.6800886323213922</v>
      </c>
      <c r="G18" s="156">
        <v>254875867.28178996</v>
      </c>
      <c r="H18" s="98">
        <f t="shared" si="2"/>
        <v>7.2487057676000486</v>
      </c>
      <c r="I18" s="156">
        <f t="shared" si="3"/>
        <v>19993470.579702944</v>
      </c>
      <c r="J18" s="98">
        <f t="shared" si="4"/>
        <v>8.5121196225963445</v>
      </c>
      <c r="L18" s="156">
        <f>+G18-C18</f>
        <v>12926511.551789969</v>
      </c>
    </row>
    <row r="19" spans="2:12">
      <c r="B19" s="97" t="s">
        <v>23</v>
      </c>
      <c r="C19" s="156">
        <v>134703897.09</v>
      </c>
      <c r="D19" s="98">
        <f t="shared" si="0"/>
        <v>4.038014313936686</v>
      </c>
      <c r="E19" s="156">
        <v>138667298.82084399</v>
      </c>
      <c r="F19" s="98">
        <f t="shared" si="1"/>
        <v>3.9437176201106214</v>
      </c>
      <c r="G19" s="156">
        <v>139196347.37307</v>
      </c>
      <c r="H19" s="98">
        <f t="shared" si="2"/>
        <v>3.9587638358734543</v>
      </c>
      <c r="I19" s="156">
        <f t="shared" si="3"/>
        <v>529048.55222600698</v>
      </c>
      <c r="J19" s="98">
        <f t="shared" si="4"/>
        <v>0.3815236589482538</v>
      </c>
    </row>
    <row r="20" spans="2:12">
      <c r="B20" s="97" t="s">
        <v>25</v>
      </c>
      <c r="C20" s="156">
        <v>10770190.189999999</v>
      </c>
      <c r="D20" s="98">
        <f t="shared" si="0"/>
        <v>0.32285763879558199</v>
      </c>
      <c r="E20" s="156">
        <v>11617385.520490499</v>
      </c>
      <c r="F20" s="98">
        <f t="shared" si="1"/>
        <v>0.33040008975706336</v>
      </c>
      <c r="G20" s="156">
        <v>11434714.104369998</v>
      </c>
      <c r="H20" s="98">
        <f t="shared" si="2"/>
        <v>0.3252048888079504</v>
      </c>
      <c r="I20" s="156">
        <f t="shared" si="3"/>
        <v>-182671.41612050124</v>
      </c>
      <c r="J20" s="98">
        <f t="shared" si="4"/>
        <v>-1.5723969545325787</v>
      </c>
    </row>
    <row r="21" spans="2:12">
      <c r="B21" s="97" t="s">
        <v>27</v>
      </c>
      <c r="C21" s="156">
        <v>11070841.180000002</v>
      </c>
      <c r="D21" s="98">
        <f t="shared" si="0"/>
        <v>0.33187024368189877</v>
      </c>
      <c r="E21" s="155">
        <v>12656092.6657611</v>
      </c>
      <c r="F21" s="98">
        <f t="shared" si="1"/>
        <v>0.3599410680971038</v>
      </c>
      <c r="G21" s="156">
        <v>12052723.97714</v>
      </c>
      <c r="H21" s="98">
        <f t="shared" si="2"/>
        <v>0.34278117712805589</v>
      </c>
      <c r="I21" s="156">
        <f t="shared" si="3"/>
        <v>-603368.68862110004</v>
      </c>
      <c r="J21" s="98">
        <f t="shared" si="4"/>
        <v>-4.7674168051361647</v>
      </c>
    </row>
    <row r="22" spans="2:12">
      <c r="B22" s="93" t="s">
        <v>29</v>
      </c>
      <c r="C22" s="154">
        <f>SUM(C23:C26)</f>
        <v>27069458</v>
      </c>
      <c r="D22" s="96">
        <f t="shared" si="0"/>
        <v>0.81146025642804165</v>
      </c>
      <c r="E22" s="154">
        <f>+SUM(E23:E26)</f>
        <v>20923047.198280636</v>
      </c>
      <c r="F22" s="96">
        <f t="shared" si="1"/>
        <v>0.59505442598166625</v>
      </c>
      <c r="G22" s="154">
        <f>+SUM(G23:G26)</f>
        <v>19923047.198280636</v>
      </c>
      <c r="H22" s="96">
        <f t="shared" si="2"/>
        <v>0.56661428433582772</v>
      </c>
      <c r="I22" s="154">
        <f t="shared" si="3"/>
        <v>-1000000</v>
      </c>
      <c r="J22" s="96">
        <f t="shared" si="4"/>
        <v>-4.7794185546843977</v>
      </c>
    </row>
    <row r="23" spans="2:12">
      <c r="B23" s="97" t="s">
        <v>31</v>
      </c>
      <c r="C23" s="156">
        <v>7881462.9399999995</v>
      </c>
      <c r="D23" s="98">
        <f t="shared" si="0"/>
        <v>0.23626235657620134</v>
      </c>
      <c r="E23" s="156">
        <v>8144616.5029747505</v>
      </c>
      <c r="F23" s="98">
        <f t="shared" si="1"/>
        <v>0.23163404699563594</v>
      </c>
      <c r="G23" s="156">
        <v>8144616.5029747505</v>
      </c>
      <c r="H23" s="98">
        <f t="shared" si="2"/>
        <v>0.23163404699563594</v>
      </c>
      <c r="I23" s="156">
        <f t="shared" si="3"/>
        <v>0</v>
      </c>
      <c r="J23" s="98">
        <f t="shared" si="4"/>
        <v>0</v>
      </c>
    </row>
    <row r="24" spans="2:12">
      <c r="B24" s="97" t="s">
        <v>32</v>
      </c>
      <c r="C24" s="156">
        <v>4557791.26</v>
      </c>
      <c r="D24" s="98">
        <f t="shared" si="0"/>
        <v>0.13662875941531916</v>
      </c>
      <c r="E24" s="156">
        <v>3676083.5729169641</v>
      </c>
      <c r="F24" s="98">
        <f t="shared" si="1"/>
        <v>0.10454833751569864</v>
      </c>
      <c r="G24" s="156">
        <v>5176083.5729169641</v>
      </c>
      <c r="H24" s="98">
        <f t="shared" si="2"/>
        <v>0.14720854998445643</v>
      </c>
      <c r="I24" s="156">
        <f t="shared" si="3"/>
        <v>1500000</v>
      </c>
      <c r="J24" s="98">
        <f t="shared" si="4"/>
        <v>40.804295393364868</v>
      </c>
    </row>
    <row r="25" spans="2:12">
      <c r="B25" s="97" t="s">
        <v>34</v>
      </c>
      <c r="C25" s="156">
        <v>767936.98999999987</v>
      </c>
      <c r="D25" s="98">
        <f t="shared" si="0"/>
        <v>2.3020422013103413E-2</v>
      </c>
      <c r="E25" s="156">
        <v>762511.44191594806</v>
      </c>
      <c r="F25" s="98">
        <f t="shared" si="1"/>
        <v>2.1685933414662142E-2</v>
      </c>
      <c r="G25" s="156">
        <v>762511.44191594806</v>
      </c>
      <c r="H25" s="98">
        <f t="shared" si="2"/>
        <v>2.1685933414662142E-2</v>
      </c>
      <c r="I25" s="156">
        <f t="shared" si="3"/>
        <v>0</v>
      </c>
      <c r="J25" s="98">
        <f t="shared" si="4"/>
        <v>0</v>
      </c>
    </row>
    <row r="26" spans="2:12">
      <c r="B26" s="97" t="s">
        <v>37</v>
      </c>
      <c r="C26" s="155">
        <v>13862266.809999999</v>
      </c>
      <c r="D26" s="98">
        <f t="shared" si="0"/>
        <v>0.41554871842341756</v>
      </c>
      <c r="E26" s="155">
        <v>8339835.6804729737</v>
      </c>
      <c r="F26" s="98">
        <f t="shared" si="1"/>
        <v>0.23718610805566953</v>
      </c>
      <c r="G26" s="155">
        <v>5839835.6804729737</v>
      </c>
      <c r="H26" s="98">
        <f t="shared" si="2"/>
        <v>0.16608575394107319</v>
      </c>
      <c r="I26" s="155">
        <f t="shared" si="3"/>
        <v>-2500000</v>
      </c>
      <c r="J26" s="98">
        <f t="shared" si="4"/>
        <v>-29.976609801240343</v>
      </c>
    </row>
    <row r="27" spans="2:12">
      <c r="B27" s="93" t="s">
        <v>39</v>
      </c>
      <c r="C27" s="154">
        <f>SUM(C28:C33)</f>
        <v>13233490.18</v>
      </c>
      <c r="D27" s="96">
        <f t="shared" si="0"/>
        <v>0.39669990196703492</v>
      </c>
      <c r="E27" s="154">
        <f>+SUM(E28:E33)</f>
        <v>13024243.76827177</v>
      </c>
      <c r="F27" s="96">
        <f t="shared" si="1"/>
        <v>0.37041133759957889</v>
      </c>
      <c r="G27" s="154">
        <f>+SUM(G28:G33)</f>
        <v>12724243.76827177</v>
      </c>
      <c r="H27" s="96">
        <f t="shared" si="2"/>
        <v>0.36187929510582734</v>
      </c>
      <c r="I27" s="154">
        <f t="shared" si="3"/>
        <v>-300000</v>
      </c>
      <c r="J27" s="96">
        <f t="shared" si="4"/>
        <v>-2.3033966911063715</v>
      </c>
    </row>
    <row r="28" spans="2:12">
      <c r="B28" s="97" t="s">
        <v>40</v>
      </c>
      <c r="C28" s="156">
        <v>647266.8600000001</v>
      </c>
      <c r="D28" s="98">
        <f t="shared" si="0"/>
        <v>1.9403097475870164E-2</v>
      </c>
      <c r="E28" s="156">
        <v>698651.48499726248</v>
      </c>
      <c r="F28" s="98">
        <f t="shared" si="1"/>
        <v>1.9869747194397578E-2</v>
      </c>
      <c r="G28" s="156">
        <v>698651.48499726248</v>
      </c>
      <c r="H28" s="98">
        <f t="shared" si="2"/>
        <v>1.9869747194397578E-2</v>
      </c>
      <c r="I28" s="156">
        <f t="shared" si="3"/>
        <v>0</v>
      </c>
      <c r="J28" s="98">
        <f t="shared" si="4"/>
        <v>0</v>
      </c>
    </row>
    <row r="29" spans="2:12">
      <c r="B29" s="97" t="s">
        <v>42</v>
      </c>
      <c r="C29" s="156">
        <v>1995183.6300000001</v>
      </c>
      <c r="D29" s="98">
        <f t="shared" si="0"/>
        <v>5.9809554370125591E-2</v>
      </c>
      <c r="E29" s="156">
        <v>1997965.7673730874</v>
      </c>
      <c r="F29" s="98">
        <f t="shared" si="1"/>
        <v>5.6822429427627073E-2</v>
      </c>
      <c r="G29" s="156">
        <v>1997965.7673730874</v>
      </c>
      <c r="H29" s="98">
        <f t="shared" si="2"/>
        <v>5.6822429427627073E-2</v>
      </c>
      <c r="I29" s="156">
        <f t="shared" si="3"/>
        <v>0</v>
      </c>
      <c r="J29" s="98">
        <f t="shared" si="4"/>
        <v>0</v>
      </c>
    </row>
    <row r="30" spans="2:12">
      <c r="B30" s="97" t="s">
        <v>45</v>
      </c>
      <c r="C30" s="156">
        <v>309851.25</v>
      </c>
      <c r="D30" s="98">
        <f t="shared" si="0"/>
        <v>9.2884007791936302E-3</v>
      </c>
      <c r="E30" s="156">
        <v>424373.88097611902</v>
      </c>
      <c r="F30" s="98">
        <f t="shared" si="1"/>
        <v>1.2069253285755047E-2</v>
      </c>
      <c r="G30" s="156">
        <v>424373.88097611902</v>
      </c>
      <c r="H30" s="98">
        <f t="shared" si="2"/>
        <v>1.2069253285755047E-2</v>
      </c>
      <c r="I30" s="156">
        <f t="shared" si="3"/>
        <v>0</v>
      </c>
      <c r="J30" s="98">
        <f t="shared" si="4"/>
        <v>0</v>
      </c>
    </row>
    <row r="31" spans="2:12">
      <c r="B31" s="97" t="s">
        <v>47</v>
      </c>
      <c r="C31" s="156">
        <v>3324177.16</v>
      </c>
      <c r="D31" s="98">
        <f t="shared" si="0"/>
        <v>9.9648749918296836E-2</v>
      </c>
      <c r="E31" s="156">
        <v>3266343.0516235088</v>
      </c>
      <c r="F31" s="98">
        <f t="shared" si="1"/>
        <v>9.2895259052073062E-2</v>
      </c>
      <c r="G31" s="156">
        <v>3666343.0516235088</v>
      </c>
      <c r="H31" s="98">
        <f t="shared" si="2"/>
        <v>0.10427131571040847</v>
      </c>
      <c r="I31" s="156">
        <f t="shared" si="3"/>
        <v>400000</v>
      </c>
      <c r="J31" s="98">
        <f t="shared" si="4"/>
        <v>12.246111130341419</v>
      </c>
    </row>
    <row r="32" spans="2:12">
      <c r="B32" s="97" t="s">
        <v>50</v>
      </c>
      <c r="C32" s="156">
        <v>3659024.1899999995</v>
      </c>
      <c r="D32" s="98">
        <f t="shared" si="0"/>
        <v>0.10968644837638813</v>
      </c>
      <c r="E32" s="156">
        <v>3355752.0175728933</v>
      </c>
      <c r="F32" s="98">
        <f t="shared" si="1"/>
        <v>9.5438062708081514E-2</v>
      </c>
      <c r="G32" s="156">
        <v>3355752.0175728933</v>
      </c>
      <c r="H32" s="98">
        <f t="shared" si="2"/>
        <v>9.5438062708081514E-2</v>
      </c>
      <c r="I32" s="156">
        <f t="shared" si="3"/>
        <v>0</v>
      </c>
      <c r="J32" s="98">
        <f t="shared" si="4"/>
        <v>0</v>
      </c>
    </row>
    <row r="33" spans="2:10">
      <c r="B33" s="97" t="s">
        <v>51</v>
      </c>
      <c r="C33" s="156">
        <v>3297987.09</v>
      </c>
      <c r="D33" s="98">
        <f t="shared" si="0"/>
        <v>9.8863651047160633E-2</v>
      </c>
      <c r="E33" s="156">
        <v>3281157.5657288986</v>
      </c>
      <c r="F33" s="98">
        <f t="shared" si="1"/>
        <v>9.331658593164463E-2</v>
      </c>
      <c r="G33" s="156">
        <v>2581157.5657288986</v>
      </c>
      <c r="H33" s="98">
        <f t="shared" si="2"/>
        <v>7.340848677955765E-2</v>
      </c>
      <c r="I33" s="156">
        <f t="shared" si="3"/>
        <v>-700000</v>
      </c>
      <c r="J33" s="98">
        <f t="shared" si="4"/>
        <v>-21.333934319746618</v>
      </c>
    </row>
    <row r="34" spans="2:10">
      <c r="B34" s="93" t="s">
        <v>53</v>
      </c>
      <c r="C34" s="154">
        <f>SUM(C35:C38)</f>
        <v>33088194.540000003</v>
      </c>
      <c r="D34" s="96">
        <f t="shared" si="0"/>
        <v>0.99188372468223518</v>
      </c>
      <c r="E34" s="154">
        <f>+SUM(E35:E38)</f>
        <v>31410770.914738216</v>
      </c>
      <c r="F34" s="96">
        <f t="shared" si="1"/>
        <v>0.89332677402013982</v>
      </c>
      <c r="G34" s="154">
        <f>+SUM(G35:G38)</f>
        <v>31310770.914738216</v>
      </c>
      <c r="H34" s="96">
        <f t="shared" si="2"/>
        <v>0.89048275985555603</v>
      </c>
      <c r="I34" s="154">
        <f t="shared" si="3"/>
        <v>-100000</v>
      </c>
      <c r="J34" s="96">
        <f t="shared" si="4"/>
        <v>-0.318362132121635</v>
      </c>
    </row>
    <row r="35" spans="2:10">
      <c r="B35" s="97" t="s">
        <v>55</v>
      </c>
      <c r="C35" s="156">
        <v>6034873.3200000003</v>
      </c>
      <c r="D35" s="98">
        <f t="shared" si="0"/>
        <v>0.18090719998006413</v>
      </c>
      <c r="E35" s="156">
        <v>5533606.7424404304</v>
      </c>
      <c r="F35" s="98">
        <f t="shared" si="1"/>
        <v>0.15737655956737298</v>
      </c>
      <c r="G35" s="156">
        <v>6533606.7424404304</v>
      </c>
      <c r="H35" s="98">
        <f t="shared" si="2"/>
        <v>0.1858167012132115</v>
      </c>
      <c r="I35" s="156">
        <f t="shared" si="3"/>
        <v>1000000</v>
      </c>
      <c r="J35" s="98">
        <f t="shared" si="4"/>
        <v>18.071396225727824</v>
      </c>
    </row>
    <row r="36" spans="2:10">
      <c r="B36" s="97" t="s">
        <v>57</v>
      </c>
      <c r="C36" s="156">
        <v>12316700.43</v>
      </c>
      <c r="D36" s="98">
        <f t="shared" si="0"/>
        <v>0.36921732563966259</v>
      </c>
      <c r="E36" s="156">
        <v>11824073.889814863</v>
      </c>
      <c r="F36" s="98">
        <f t="shared" si="1"/>
        <v>0.33627833625719566</v>
      </c>
      <c r="G36" s="156">
        <v>12424073.889814863</v>
      </c>
      <c r="H36" s="98">
        <f t="shared" si="2"/>
        <v>0.35334242124469878</v>
      </c>
      <c r="I36" s="156">
        <f t="shared" si="3"/>
        <v>600000</v>
      </c>
      <c r="J36" s="98">
        <f t="shared" si="4"/>
        <v>5.0743931879251249</v>
      </c>
    </row>
    <row r="37" spans="2:10">
      <c r="B37" s="97" t="s">
        <v>59</v>
      </c>
      <c r="C37" s="156">
        <v>2179410.2600000002</v>
      </c>
      <c r="D37" s="98">
        <f t="shared" si="0"/>
        <v>6.5332110027526411E-2</v>
      </c>
      <c r="E37" s="156">
        <v>2220205.3434794326</v>
      </c>
      <c r="F37" s="98">
        <f t="shared" si="1"/>
        <v>6.3142954451402653E-2</v>
      </c>
      <c r="G37" s="156">
        <v>2220205.3434794326</v>
      </c>
      <c r="H37" s="98">
        <f t="shared" si="2"/>
        <v>6.3142954451402653E-2</v>
      </c>
      <c r="I37" s="156">
        <f t="shared" si="3"/>
        <v>0</v>
      </c>
      <c r="J37" s="98">
        <f t="shared" si="4"/>
        <v>0</v>
      </c>
    </row>
    <row r="38" spans="2:10">
      <c r="B38" s="97" t="s">
        <v>53</v>
      </c>
      <c r="C38" s="156">
        <v>12557210.530000001</v>
      </c>
      <c r="D38" s="98">
        <f t="shared" si="0"/>
        <v>0.37642708903498195</v>
      </c>
      <c r="E38" s="156">
        <v>11832884.939003492</v>
      </c>
      <c r="F38" s="98">
        <f t="shared" si="1"/>
        <v>0.33652892374416871</v>
      </c>
      <c r="G38" s="156">
        <v>10132884.939003492</v>
      </c>
      <c r="H38" s="98">
        <f t="shared" si="2"/>
        <v>0.28818068294624322</v>
      </c>
      <c r="I38" s="156">
        <f t="shared" si="3"/>
        <v>-1700000</v>
      </c>
      <c r="J38" s="98">
        <f t="shared" si="4"/>
        <v>-14.366741574545941</v>
      </c>
    </row>
    <row r="39" spans="2:10">
      <c r="B39" s="93" t="s">
        <v>255</v>
      </c>
      <c r="C39" s="154">
        <v>7564493.0600000005</v>
      </c>
      <c r="D39" s="96">
        <f t="shared" si="0"/>
        <v>0.22676056085850488</v>
      </c>
      <c r="E39" s="154">
        <v>7046262.4871663069</v>
      </c>
      <c r="F39" s="96">
        <f t="shared" si="1"/>
        <v>0.20039670320876826</v>
      </c>
      <c r="G39" s="154">
        <v>7738476.4003799995</v>
      </c>
      <c r="H39" s="96">
        <f t="shared" si="2"/>
        <v>0.22008336494978584</v>
      </c>
      <c r="I39" s="154">
        <f t="shared" si="3"/>
        <v>692213.91321369261</v>
      </c>
      <c r="J39" s="96">
        <f t="shared" si="4"/>
        <v>9.8238451161087852</v>
      </c>
    </row>
    <row r="40" spans="2:10" ht="13.5" thickBot="1">
      <c r="B40" s="93" t="s">
        <v>123</v>
      </c>
      <c r="C40" s="156">
        <v>6615451.54</v>
      </c>
      <c r="D40" s="98">
        <f t="shared" si="0"/>
        <v>0.19831117427750797</v>
      </c>
      <c r="E40" s="154">
        <v>8000000</v>
      </c>
      <c r="F40" s="96">
        <f t="shared" si="1"/>
        <v>0.22752113316670824</v>
      </c>
      <c r="G40" s="154">
        <v>8000000</v>
      </c>
      <c r="H40" s="96">
        <f t="shared" si="2"/>
        <v>0.22752113316670824</v>
      </c>
      <c r="I40" s="154">
        <f t="shared" si="3"/>
        <v>0</v>
      </c>
      <c r="J40" s="96">
        <f t="shared" si="4"/>
        <v>0</v>
      </c>
    </row>
    <row r="41" spans="2:10" ht="14.25" thickTop="1" thickBot="1">
      <c r="B41" s="90" t="s">
        <v>62</v>
      </c>
      <c r="C41" s="91">
        <f>+C43+C54+C60+SUM(C63:C67)</f>
        <v>1363467004.0629177</v>
      </c>
      <c r="D41" s="92">
        <f t="shared" si="0"/>
        <v>40.87260575176898</v>
      </c>
      <c r="E41" s="91">
        <f>+E43+E54+E60+SUM(E63:E67)</f>
        <v>1327102106.4899998</v>
      </c>
      <c r="F41" s="92">
        <f t="shared" si="1"/>
        <v>37.742971887066275</v>
      </c>
      <c r="G41" s="91">
        <f>+G43+G54+G60+SUM(G63:G67)</f>
        <v>1342758271.0799997</v>
      </c>
      <c r="H41" s="92">
        <f t="shared" si="2"/>
        <v>38.188235425636442</v>
      </c>
      <c r="I41" s="91">
        <f t="shared" si="3"/>
        <v>15656164.589999914</v>
      </c>
      <c r="J41" s="92">
        <f t="shared" si="4"/>
        <v>1.1797256980782294</v>
      </c>
    </row>
    <row r="42" spans="2:10" ht="14.25" thickTop="1" thickBot="1">
      <c r="B42" s="90" t="s">
        <v>126</v>
      </c>
      <c r="C42" s="91">
        <f>+C41-C63</f>
        <v>1301681501.2029178</v>
      </c>
      <c r="D42" s="92">
        <f t="shared" si="0"/>
        <v>39.020463754898891</v>
      </c>
      <c r="E42" s="91">
        <f>+E41-E63</f>
        <v>1225281606.4899998</v>
      </c>
      <c r="F42" s="92">
        <f t="shared" si="1"/>
        <v>34.84718244461618</v>
      </c>
      <c r="G42" s="91">
        <f>+G41-G63</f>
        <v>1240937771.0799997</v>
      </c>
      <c r="H42" s="92">
        <f t="shared" si="2"/>
        <v>35.29244598318634</v>
      </c>
      <c r="I42" s="91">
        <f t="shared" ref="I42:I73" si="5">+G42-E42</f>
        <v>15656164.589999914</v>
      </c>
      <c r="J42" s="92">
        <f t="shared" si="4"/>
        <v>1.2777605170169295</v>
      </c>
    </row>
    <row r="43" spans="2:10" ht="13.5" thickTop="1">
      <c r="B43" s="93" t="s">
        <v>63</v>
      </c>
      <c r="C43" s="94">
        <f>+SUM(C44:C53)</f>
        <v>600287648.01291776</v>
      </c>
      <c r="D43" s="96">
        <f t="shared" si="0"/>
        <v>17.994803175857761</v>
      </c>
      <c r="E43" s="94">
        <f>+SUM(E44:E53)</f>
        <v>615023510.13</v>
      </c>
      <c r="F43" s="96">
        <f t="shared" si="1"/>
        <v>17.491355743618005</v>
      </c>
      <c r="G43" s="94">
        <f>+SUM(G44:G53)</f>
        <v>625526473.45999992</v>
      </c>
      <c r="H43" s="96">
        <f t="shared" si="2"/>
        <v>17.790061508424255</v>
      </c>
      <c r="I43" s="94">
        <f t="shared" si="5"/>
        <v>10502963.329999924</v>
      </c>
      <c r="J43" s="96">
        <f t="shared" si="4"/>
        <v>1.7077336324557564</v>
      </c>
    </row>
    <row r="44" spans="2:10">
      <c r="B44" s="93" t="s">
        <v>64</v>
      </c>
      <c r="C44" s="154">
        <v>366128508.17291778</v>
      </c>
      <c r="D44" s="96">
        <f t="shared" si="0"/>
        <v>10.975422305375018</v>
      </c>
      <c r="E44" s="154">
        <v>386488693.71999997</v>
      </c>
      <c r="F44" s="96">
        <f t="shared" si="1"/>
        <v>10.991793193911903</v>
      </c>
      <c r="G44" s="154">
        <v>386488693.71999997</v>
      </c>
      <c r="H44" s="96">
        <f t="shared" si="2"/>
        <v>10.991793193911903</v>
      </c>
      <c r="I44" s="154">
        <f t="shared" si="5"/>
        <v>0</v>
      </c>
      <c r="J44" s="96">
        <f t="shared" si="4"/>
        <v>0</v>
      </c>
    </row>
    <row r="45" spans="2:10">
      <c r="B45" s="93" t="s">
        <v>75</v>
      </c>
      <c r="C45" s="154">
        <v>12022159.040000001</v>
      </c>
      <c r="D45" s="96">
        <f t="shared" si="0"/>
        <v>0.36038786803256645</v>
      </c>
      <c r="E45" s="154">
        <v>11478163.960000001</v>
      </c>
      <c r="F45" s="96">
        <f t="shared" si="1"/>
        <v>0.3264406088565589</v>
      </c>
      <c r="G45" s="154">
        <v>11478163.960000001</v>
      </c>
      <c r="H45" s="96">
        <f t="shared" si="2"/>
        <v>0.3264406088565589</v>
      </c>
      <c r="I45" s="154">
        <f t="shared" si="5"/>
        <v>0</v>
      </c>
      <c r="J45" s="96">
        <f t="shared" si="4"/>
        <v>0</v>
      </c>
    </row>
    <row r="46" spans="2:10">
      <c r="B46" s="93" t="s">
        <v>429</v>
      </c>
      <c r="C46" s="154">
        <v>90442340.840000004</v>
      </c>
      <c r="D46" s="96">
        <f t="shared" si="0"/>
        <v>2.7111870910004456</v>
      </c>
      <c r="E46" s="154">
        <v>89210330.25999999</v>
      </c>
      <c r="F46" s="96">
        <f t="shared" si="1"/>
        <v>2.5371544288664349</v>
      </c>
      <c r="G46" s="154">
        <v>29295302.830000002</v>
      </c>
      <c r="H46" s="96">
        <f t="shared" si="2"/>
        <v>0.83316256204293437</v>
      </c>
      <c r="I46" s="154">
        <f t="shared" si="5"/>
        <v>-59915027.429999992</v>
      </c>
      <c r="J46" s="96">
        <f t="shared" si="4"/>
        <v>-67.161535278907735</v>
      </c>
    </row>
    <row r="47" spans="2:10">
      <c r="B47" s="93" t="s">
        <v>430</v>
      </c>
      <c r="C47" s="154"/>
      <c r="D47" s="96">
        <f t="shared" si="0"/>
        <v>0</v>
      </c>
      <c r="E47" s="154"/>
      <c r="F47" s="96">
        <f t="shared" si="1"/>
        <v>0</v>
      </c>
      <c r="G47" s="154">
        <v>40692845.799999997</v>
      </c>
      <c r="H47" s="96">
        <f t="shared" si="2"/>
        <v>1.1573102985242654</v>
      </c>
      <c r="I47" s="154">
        <f t="shared" si="5"/>
        <v>40692845.799999997</v>
      </c>
      <c r="J47" s="96" t="e">
        <f t="shared" si="4"/>
        <v>#DIV/0!</v>
      </c>
    </row>
    <row r="48" spans="2:10">
      <c r="B48" s="93" t="s">
        <v>431</v>
      </c>
      <c r="C48" s="154">
        <v>20416485.639999997</v>
      </c>
      <c r="D48" s="96">
        <f t="shared" si="0"/>
        <v>0.61202432175752564</v>
      </c>
      <c r="E48" s="154">
        <v>21655403.200000003</v>
      </c>
      <c r="F48" s="96">
        <f t="shared" si="1"/>
        <v>0.61588273440574504</v>
      </c>
      <c r="G48" s="154">
        <v>21655403.200000003</v>
      </c>
      <c r="H48" s="96">
        <f t="shared" si="2"/>
        <v>0.61588273440574504</v>
      </c>
      <c r="I48" s="154">
        <f t="shared" si="5"/>
        <v>0</v>
      </c>
      <c r="J48" s="96">
        <f t="shared" si="4"/>
        <v>0</v>
      </c>
    </row>
    <row r="49" spans="2:10">
      <c r="B49" s="93" t="s">
        <v>80</v>
      </c>
      <c r="C49" s="154">
        <v>67427730.789999992</v>
      </c>
      <c r="D49" s="96">
        <f t="shared" si="0"/>
        <v>2.0212788788462022</v>
      </c>
      <c r="E49" s="154">
        <v>73316123.120000005</v>
      </c>
      <c r="F49" s="96">
        <f t="shared" si="1"/>
        <v>2.0851209264565371</v>
      </c>
      <c r="G49" s="154">
        <v>73316123.120000005</v>
      </c>
      <c r="H49" s="96">
        <f t="shared" si="2"/>
        <v>2.0851209264565371</v>
      </c>
      <c r="I49" s="154">
        <f t="shared" si="5"/>
        <v>0</v>
      </c>
      <c r="J49" s="96">
        <f t="shared" si="4"/>
        <v>0</v>
      </c>
    </row>
    <row r="50" spans="2:10">
      <c r="B50" s="93" t="s">
        <v>82</v>
      </c>
      <c r="C50" s="154">
        <v>7928041.8100000005</v>
      </c>
      <c r="D50" s="96">
        <f t="shared" si="0"/>
        <v>0.23765864983757101</v>
      </c>
      <c r="E50" s="154">
        <v>8172802.1399999997</v>
      </c>
      <c r="F50" s="96">
        <f t="shared" si="1"/>
        <v>0.23243565050501225</v>
      </c>
      <c r="G50" s="154">
        <v>8172802.1399999997</v>
      </c>
      <c r="H50" s="96">
        <f t="shared" si="2"/>
        <v>0.23243565050501225</v>
      </c>
      <c r="I50" s="154">
        <f t="shared" si="5"/>
        <v>0</v>
      </c>
      <c r="J50" s="96">
        <f t="shared" si="4"/>
        <v>0</v>
      </c>
    </row>
    <row r="51" spans="2:10">
      <c r="B51" s="93" t="s">
        <v>84</v>
      </c>
      <c r="C51" s="154">
        <v>17426749.959999997</v>
      </c>
      <c r="D51" s="96">
        <f t="shared" si="0"/>
        <v>0.52240111313824467</v>
      </c>
      <c r="E51" s="154">
        <v>18874600</v>
      </c>
      <c r="F51" s="96">
        <f t="shared" si="1"/>
        <v>0.53679629750854385</v>
      </c>
      <c r="G51" s="154">
        <v>18874600</v>
      </c>
      <c r="H51" s="96">
        <f t="shared" si="2"/>
        <v>0.53679629750854385</v>
      </c>
      <c r="I51" s="154">
        <f t="shared" si="5"/>
        <v>0</v>
      </c>
      <c r="J51" s="96">
        <f t="shared" si="4"/>
        <v>0</v>
      </c>
    </row>
    <row r="52" spans="2:10">
      <c r="B52" s="93" t="s">
        <v>86</v>
      </c>
      <c r="C52" s="154">
        <v>6279093.0100000007</v>
      </c>
      <c r="D52" s="96">
        <f t="shared" si="0"/>
        <v>0.18822816563339112</v>
      </c>
      <c r="E52" s="154">
        <v>5827393.7300000023</v>
      </c>
      <c r="F52" s="96">
        <f t="shared" si="1"/>
        <v>0.16573190310727137</v>
      </c>
      <c r="G52" s="154">
        <v>25049575.370000001</v>
      </c>
      <c r="H52" s="96">
        <f t="shared" si="2"/>
        <v>0.71241347169090818</v>
      </c>
      <c r="I52" s="154">
        <f t="shared" si="5"/>
        <v>19222181.640000001</v>
      </c>
      <c r="J52" s="96">
        <f>+G52/E52*100-100</f>
        <v>329.85898208734892</v>
      </c>
    </row>
    <row r="53" spans="2:10">
      <c r="B53" s="93" t="s">
        <v>130</v>
      </c>
      <c r="C53" s="154">
        <v>12216538.75</v>
      </c>
      <c r="D53" s="160">
        <f t="shared" si="0"/>
        <v>0.36621478223679643</v>
      </c>
      <c r="E53" s="154"/>
      <c r="F53" s="160">
        <f t="shared" si="1"/>
        <v>0</v>
      </c>
      <c r="G53" s="154">
        <v>10502963.32</v>
      </c>
      <c r="H53" s="160">
        <f t="shared" si="2"/>
        <v>0.2987057645218465</v>
      </c>
      <c r="I53" s="154">
        <f t="shared" si="5"/>
        <v>10502963.32</v>
      </c>
      <c r="J53" s="160" t="e">
        <f t="shared" si="4"/>
        <v>#DIV/0!</v>
      </c>
    </row>
    <row r="54" spans="2:10">
      <c r="B54" s="93" t="s">
        <v>87</v>
      </c>
      <c r="C54" s="94">
        <f>+SUM(C55:C59)</f>
        <v>482967769.27999985</v>
      </c>
      <c r="D54" s="96">
        <f t="shared" si="0"/>
        <v>14.47790901119734</v>
      </c>
      <c r="E54" s="94">
        <f>+SUM(E55:E59)</f>
        <v>498223398.96999997</v>
      </c>
      <c r="F54" s="96">
        <f t="shared" si="1"/>
        <v>14.169544037977921</v>
      </c>
      <c r="G54" s="94">
        <f>+SUM(G55:G59)</f>
        <v>498223398.96999997</v>
      </c>
      <c r="H54" s="96">
        <f t="shared" si="2"/>
        <v>14.169544037977921</v>
      </c>
      <c r="I54" s="94">
        <f t="shared" si="5"/>
        <v>0</v>
      </c>
      <c r="J54" s="96">
        <f t="shared" si="4"/>
        <v>0</v>
      </c>
    </row>
    <row r="55" spans="2:10">
      <c r="B55" s="97" t="s">
        <v>89</v>
      </c>
      <c r="C55" s="156">
        <v>64036543.990000002</v>
      </c>
      <c r="D55" s="98">
        <f t="shared" si="0"/>
        <v>1.919621383142986</v>
      </c>
      <c r="E55" s="156">
        <v>58645000</v>
      </c>
      <c r="F55" s="98">
        <f t="shared" si="1"/>
        <v>1.6678721068202007</v>
      </c>
      <c r="G55" s="156">
        <v>58645000</v>
      </c>
      <c r="H55" s="98">
        <f t="shared" si="2"/>
        <v>1.6678721068202007</v>
      </c>
      <c r="I55" s="156">
        <f t="shared" si="5"/>
        <v>0</v>
      </c>
      <c r="J55" s="98">
        <f t="shared" si="4"/>
        <v>0</v>
      </c>
    </row>
    <row r="56" spans="2:10">
      <c r="B56" s="97" t="s">
        <v>91</v>
      </c>
      <c r="C56" s="156">
        <v>13086355.520000001</v>
      </c>
      <c r="D56" s="98">
        <f t="shared" si="0"/>
        <v>0.39228925108022916</v>
      </c>
      <c r="E56" s="156">
        <v>20758124</v>
      </c>
      <c r="F56" s="98">
        <f t="shared" si="1"/>
        <v>0.59036398686188019</v>
      </c>
      <c r="G56" s="156">
        <v>20758124</v>
      </c>
      <c r="H56" s="98">
        <f t="shared" si="2"/>
        <v>0.59036398686188019</v>
      </c>
      <c r="I56" s="156">
        <f t="shared" si="5"/>
        <v>0</v>
      </c>
      <c r="J56" s="98">
        <f t="shared" si="4"/>
        <v>0</v>
      </c>
    </row>
    <row r="57" spans="2:10">
      <c r="B57" s="97" t="s">
        <v>93</v>
      </c>
      <c r="C57" s="156">
        <v>383190248.31999987</v>
      </c>
      <c r="D57" s="98">
        <f t="shared" si="0"/>
        <v>11.486881531298929</v>
      </c>
      <c r="E57" s="156">
        <v>397320274.96999997</v>
      </c>
      <c r="F57" s="98">
        <f t="shared" si="1"/>
        <v>11.299844898910312</v>
      </c>
      <c r="G57" s="156">
        <v>397320274.96999997</v>
      </c>
      <c r="H57" s="98">
        <f t="shared" si="2"/>
        <v>11.299844898910312</v>
      </c>
      <c r="I57" s="156">
        <f t="shared" si="5"/>
        <v>0</v>
      </c>
      <c r="J57" s="98">
        <f t="shared" si="4"/>
        <v>0</v>
      </c>
    </row>
    <row r="58" spans="2:10">
      <c r="B58" s="97" t="s">
        <v>95</v>
      </c>
      <c r="C58" s="156">
        <v>14792096.089999998</v>
      </c>
      <c r="D58" s="98">
        <f t="shared" si="0"/>
        <v>0.44342218031478986</v>
      </c>
      <c r="E58" s="156">
        <v>14500000</v>
      </c>
      <c r="F58" s="98">
        <f t="shared" si="1"/>
        <v>0.4123820538646587</v>
      </c>
      <c r="G58" s="156">
        <v>14500000</v>
      </c>
      <c r="H58" s="98">
        <f t="shared" si="2"/>
        <v>0.4123820538646587</v>
      </c>
      <c r="I58" s="156">
        <f t="shared" si="5"/>
        <v>0</v>
      </c>
      <c r="J58" s="98">
        <f t="shared" si="4"/>
        <v>0</v>
      </c>
    </row>
    <row r="59" spans="2:10">
      <c r="B59" s="97" t="s">
        <v>432</v>
      </c>
      <c r="C59" s="156">
        <v>7862525.3600000013</v>
      </c>
      <c r="D59" s="98">
        <f t="shared" si="0"/>
        <v>0.23569466536040659</v>
      </c>
      <c r="E59" s="156">
        <v>7000000</v>
      </c>
      <c r="F59" s="98">
        <f t="shared" si="1"/>
        <v>0.19908099152086972</v>
      </c>
      <c r="G59" s="156">
        <v>7000000</v>
      </c>
      <c r="H59" s="98">
        <f t="shared" si="2"/>
        <v>0.19908099152086972</v>
      </c>
      <c r="I59" s="156">
        <f t="shared" si="5"/>
        <v>0</v>
      </c>
      <c r="J59" s="98">
        <f t="shared" si="4"/>
        <v>0</v>
      </c>
    </row>
    <row r="60" spans="2:10">
      <c r="B60" s="93" t="s">
        <v>433</v>
      </c>
      <c r="C60" s="94">
        <f>+SUM(C61:C62)</f>
        <v>94307106.209999993</v>
      </c>
      <c r="D60" s="96">
        <f t="shared" si="0"/>
        <v>2.8270410359953697</v>
      </c>
      <c r="E60" s="94">
        <f>+SUM(E61:E62)</f>
        <v>101040047.61999999</v>
      </c>
      <c r="F60" s="96">
        <f t="shared" si="1"/>
        <v>2.8735932662150696</v>
      </c>
      <c r="G60" s="94">
        <f>+SUM(G61:G62)</f>
        <v>101040047.61999999</v>
      </c>
      <c r="H60" s="96">
        <f t="shared" si="2"/>
        <v>2.8735932662150696</v>
      </c>
      <c r="I60" s="94">
        <f t="shared" si="5"/>
        <v>0</v>
      </c>
      <c r="J60" s="96">
        <f t="shared" si="4"/>
        <v>0</v>
      </c>
    </row>
    <row r="61" spans="2:10">
      <c r="B61" s="97" t="s">
        <v>433</v>
      </c>
      <c r="C61" s="156">
        <v>94307106.209999993</v>
      </c>
      <c r="D61" s="98">
        <f t="shared" si="0"/>
        <v>2.8270410359953697</v>
      </c>
      <c r="E61" s="156">
        <v>101040047.61999999</v>
      </c>
      <c r="F61" s="98">
        <f t="shared" si="1"/>
        <v>2.8735932662150696</v>
      </c>
      <c r="G61" s="156">
        <v>101040047.61999999</v>
      </c>
      <c r="H61" s="98">
        <f t="shared" si="2"/>
        <v>2.8735932662150696</v>
      </c>
      <c r="I61" s="156">
        <f t="shared" si="5"/>
        <v>0</v>
      </c>
      <c r="J61" s="98">
        <f t="shared" si="4"/>
        <v>0</v>
      </c>
    </row>
    <row r="62" spans="2:10" ht="13.5" thickBot="1">
      <c r="B62" s="97" t="s">
        <v>434</v>
      </c>
      <c r="C62" s="156"/>
      <c r="D62" s="98">
        <f t="shared" si="0"/>
        <v>0</v>
      </c>
      <c r="E62" s="156"/>
      <c r="F62" s="98">
        <f t="shared" si="1"/>
        <v>0</v>
      </c>
      <c r="G62" s="156"/>
      <c r="H62" s="98">
        <f t="shared" si="2"/>
        <v>0</v>
      </c>
      <c r="I62" s="156">
        <f t="shared" si="5"/>
        <v>0</v>
      </c>
      <c r="J62" s="98" t="e">
        <f t="shared" si="4"/>
        <v>#DIV/0!</v>
      </c>
    </row>
    <row r="63" spans="2:10" ht="14.25" thickTop="1" thickBot="1">
      <c r="B63" s="90" t="s">
        <v>131</v>
      </c>
      <c r="C63" s="162">
        <v>61785502.860000007</v>
      </c>
      <c r="D63" s="92">
        <f t="shared" si="0"/>
        <v>1.8521419968700925</v>
      </c>
      <c r="E63" s="162">
        <v>101820500</v>
      </c>
      <c r="F63" s="92">
        <f t="shared" si="1"/>
        <v>2.8957894424501021</v>
      </c>
      <c r="G63" s="162">
        <v>101820500</v>
      </c>
      <c r="H63" s="92">
        <f t="shared" si="2"/>
        <v>2.8957894424501021</v>
      </c>
      <c r="I63" s="162">
        <f t="shared" si="5"/>
        <v>0</v>
      </c>
      <c r="J63" s="92">
        <f t="shared" si="4"/>
        <v>0</v>
      </c>
    </row>
    <row r="64" spans="2:10" ht="13.5" thickTop="1">
      <c r="B64" s="93" t="s">
        <v>111</v>
      </c>
      <c r="C64" s="154">
        <v>2752781.9799999995</v>
      </c>
      <c r="D64" s="96">
        <f t="shared" si="0"/>
        <v>8.2520055310353516E-2</v>
      </c>
      <c r="E64" s="154">
        <v>2140000</v>
      </c>
      <c r="F64" s="96">
        <f t="shared" si="1"/>
        <v>6.0861903122094448E-2</v>
      </c>
      <c r="G64" s="154">
        <v>2140000</v>
      </c>
      <c r="H64" s="96">
        <f t="shared" si="2"/>
        <v>6.0861903122094448E-2</v>
      </c>
      <c r="I64" s="154">
        <f t="shared" si="5"/>
        <v>0</v>
      </c>
      <c r="J64" s="96">
        <f t="shared" si="4"/>
        <v>0</v>
      </c>
    </row>
    <row r="65" spans="2:10" ht="13.5" thickBot="1">
      <c r="B65" s="93" t="s">
        <v>118</v>
      </c>
      <c r="C65" s="154">
        <v>14126844.789999999</v>
      </c>
      <c r="D65" s="96">
        <f t="shared" si="0"/>
        <v>0.42347996386970665</v>
      </c>
      <c r="E65" s="154">
        <v>8854649.7699999996</v>
      </c>
      <c r="F65" s="96">
        <f t="shared" si="1"/>
        <v>0.25182749368309154</v>
      </c>
      <c r="G65" s="154">
        <v>8854649.7699999996</v>
      </c>
      <c r="H65" s="96">
        <f t="shared" si="2"/>
        <v>0.25182749368309154</v>
      </c>
      <c r="I65" s="154">
        <f t="shared" si="5"/>
        <v>0</v>
      </c>
      <c r="J65" s="96">
        <f t="shared" si="4"/>
        <v>0</v>
      </c>
    </row>
    <row r="66" spans="2:10" ht="14.25" thickTop="1" thickBot="1">
      <c r="B66" s="148" t="s">
        <v>113</v>
      </c>
      <c r="C66" s="163">
        <v>107239350.92999999</v>
      </c>
      <c r="D66" s="150">
        <f t="shared" si="0"/>
        <v>3.2147105126683559</v>
      </c>
      <c r="E66" s="163">
        <v>0</v>
      </c>
      <c r="F66" s="150">
        <f t="shared" si="1"/>
        <v>0</v>
      </c>
      <c r="G66" s="163">
        <v>5153201.26</v>
      </c>
      <c r="H66" s="150">
        <f t="shared" si="2"/>
        <v>0.14655777376391357</v>
      </c>
      <c r="I66" s="163">
        <f t="shared" si="5"/>
        <v>5153201.26</v>
      </c>
      <c r="J66" s="150" t="e">
        <f t="shared" si="4"/>
        <v>#DIV/0!</v>
      </c>
    </row>
    <row r="67" spans="2:10" ht="14.25" thickTop="1" thickBot="1">
      <c r="B67" s="183" t="s">
        <v>152</v>
      </c>
      <c r="C67" s="154">
        <v>0</v>
      </c>
      <c r="D67" s="96">
        <f t="shared" si="0"/>
        <v>0</v>
      </c>
      <c r="E67" s="154">
        <v>0</v>
      </c>
      <c r="F67" s="96">
        <f t="shared" si="1"/>
        <v>0</v>
      </c>
      <c r="G67" s="154">
        <v>0</v>
      </c>
      <c r="H67" s="96">
        <f t="shared" si="2"/>
        <v>0</v>
      </c>
      <c r="I67" s="154">
        <f t="shared" si="5"/>
        <v>0</v>
      </c>
      <c r="J67" s="96" t="e">
        <f t="shared" si="4"/>
        <v>#DIV/0!</v>
      </c>
    </row>
    <row r="68" spans="2:10" ht="14.25" thickTop="1" thickBot="1">
      <c r="B68" s="90" t="s">
        <v>132</v>
      </c>
      <c r="C68" s="91">
        <f>+C8-C41</f>
        <v>-128320624.58291769</v>
      </c>
      <c r="D68" s="92">
        <f t="shared" si="0"/>
        <v>-3.8466631629292634</v>
      </c>
      <c r="E68" s="91">
        <f>+E8-E41</f>
        <v>-51045707.052829504</v>
      </c>
      <c r="F68" s="92">
        <f t="shared" si="1"/>
        <v>-1.4517471389944498</v>
      </c>
      <c r="G68" s="91">
        <f>+G8-G41</f>
        <v>-26424601.993229389</v>
      </c>
      <c r="H68" s="92">
        <f t="shared" si="2"/>
        <v>-0.75151942362235102</v>
      </c>
      <c r="I68" s="91">
        <f t="shared" si="5"/>
        <v>24621105.059600115</v>
      </c>
      <c r="J68" s="92">
        <f t="shared" si="4"/>
        <v>-48.23344896392291</v>
      </c>
    </row>
    <row r="69" spans="2:10" ht="14.25" thickTop="1" thickBot="1">
      <c r="B69" s="90" t="s">
        <v>133</v>
      </c>
      <c r="C69" s="91">
        <f>+C68+C49</f>
        <v>-60892893.792917699</v>
      </c>
      <c r="D69" s="92">
        <f t="shared" si="0"/>
        <v>-1.8253842840830612</v>
      </c>
      <c r="E69" s="91">
        <f>+E68+E49</f>
        <v>22270416.067170501</v>
      </c>
      <c r="F69" s="92">
        <f t="shared" si="1"/>
        <v>0.63337378746208728</v>
      </c>
      <c r="G69" s="91">
        <f>+G68+G49</f>
        <v>46891521.126770616</v>
      </c>
      <c r="H69" s="92">
        <f t="shared" si="2"/>
        <v>1.3336015028341861</v>
      </c>
      <c r="I69" s="91">
        <f t="shared" si="5"/>
        <v>24621105.059600115</v>
      </c>
      <c r="J69" s="92">
        <f t="shared" si="4"/>
        <v>110.55520914086037</v>
      </c>
    </row>
    <row r="70" spans="2:10" ht="14.25" thickTop="1" thickBot="1">
      <c r="B70" s="90" t="s">
        <v>0</v>
      </c>
      <c r="C70" s="91">
        <f>+SUM(C71:C73)</f>
        <v>241777428.00999996</v>
      </c>
      <c r="D70" s="92">
        <f t="shared" si="0"/>
        <v>7.2477540455928944</v>
      </c>
      <c r="E70" s="91">
        <f>+SUM(E71:E73)</f>
        <v>171426905.49000001</v>
      </c>
      <c r="F70" s="92">
        <f t="shared" si="1"/>
        <v>4.875405474043375</v>
      </c>
      <c r="G70" s="91">
        <f>+SUM(G71:G73)</f>
        <v>171426905.49000001</v>
      </c>
      <c r="H70" s="92">
        <f t="shared" si="2"/>
        <v>4.875405474043375</v>
      </c>
      <c r="I70" s="91">
        <f t="shared" si="5"/>
        <v>0</v>
      </c>
      <c r="J70" s="92">
        <f t="shared" si="4"/>
        <v>0</v>
      </c>
    </row>
    <row r="71" spans="2:10" ht="13.5" thickTop="1">
      <c r="B71" s="97" t="s">
        <v>135</v>
      </c>
      <c r="C71" s="156">
        <v>112695950.91</v>
      </c>
      <c r="D71" s="98">
        <f t="shared" si="0"/>
        <v>3.3782828316632929</v>
      </c>
      <c r="E71" s="156">
        <v>30008345.27</v>
      </c>
      <c r="F71" s="98">
        <f t="shared" si="1"/>
        <v>0.8534415900360286</v>
      </c>
      <c r="G71" s="156">
        <v>30008345.27</v>
      </c>
      <c r="H71" s="98">
        <f t="shared" si="2"/>
        <v>0.8534415900360286</v>
      </c>
      <c r="I71" s="156">
        <f t="shared" si="5"/>
        <v>0</v>
      </c>
      <c r="J71" s="98">
        <f t="shared" si="4"/>
        <v>0</v>
      </c>
    </row>
    <row r="72" spans="2:10">
      <c r="B72" s="97" t="s">
        <v>137</v>
      </c>
      <c r="C72" s="156">
        <v>68802905.489999995</v>
      </c>
      <c r="D72" s="98">
        <f t="shared" si="0"/>
        <v>2.0625024458158605</v>
      </c>
      <c r="E72" s="156">
        <v>108080400.25</v>
      </c>
      <c r="F72" s="98">
        <f t="shared" si="1"/>
        <v>3.073821892248922</v>
      </c>
      <c r="G72" s="156">
        <v>108080400.25</v>
      </c>
      <c r="H72" s="98">
        <f t="shared" si="2"/>
        <v>3.073821892248922</v>
      </c>
      <c r="I72" s="156">
        <f t="shared" si="5"/>
        <v>0</v>
      </c>
      <c r="J72" s="98">
        <f t="shared" si="4"/>
        <v>0</v>
      </c>
    </row>
    <row r="73" spans="2:10" ht="13.5" thickBot="1">
      <c r="B73" s="97" t="s">
        <v>116</v>
      </c>
      <c r="C73" s="156">
        <v>60278571.609999992</v>
      </c>
      <c r="D73" s="98">
        <f t="shared" ref="D73:D79" si="6">C73/C$3*100</f>
        <v>1.8069687681137414</v>
      </c>
      <c r="E73" s="156">
        <v>33338159.969999999</v>
      </c>
      <c r="F73" s="98">
        <f t="shared" si="1"/>
        <v>0.94814199175842395</v>
      </c>
      <c r="G73" s="156">
        <v>33338159.969999999</v>
      </c>
      <c r="H73" s="98">
        <f t="shared" ref="H73:H79" si="7">G73/E$3*100</f>
        <v>0.94814199175842395</v>
      </c>
      <c r="I73" s="156">
        <f t="shared" si="5"/>
        <v>0</v>
      </c>
      <c r="J73" s="98">
        <f t="shared" si="4"/>
        <v>0</v>
      </c>
    </row>
    <row r="74" spans="2:10" ht="14.25" thickTop="1" thickBot="1">
      <c r="B74" s="90" t="s">
        <v>141</v>
      </c>
      <c r="C74" s="91">
        <f>+C68-C70</f>
        <v>-370098052.59291768</v>
      </c>
      <c r="D74" s="92">
        <f t="shared" si="6"/>
        <v>-11.09441720852216</v>
      </c>
      <c r="E74" s="91">
        <f>+E68-E70</f>
        <v>-222472612.54282951</v>
      </c>
      <c r="F74" s="92">
        <f t="shared" ref="F74:F79" si="8">E74/E$3*100</f>
        <v>-6.3271526130378248</v>
      </c>
      <c r="G74" s="91">
        <v>-205851507.4832294</v>
      </c>
      <c r="H74" s="92">
        <f t="shared" si="7"/>
        <v>-5.8544460308324338</v>
      </c>
      <c r="I74" s="91">
        <f t="shared" ref="I74:I79" si="9">+G74-E74</f>
        <v>16621105.059600115</v>
      </c>
      <c r="J74" s="92">
        <f t="shared" ref="J74:J79" si="10">+G74/E74*100-100</f>
        <v>-7.4710791902083145</v>
      </c>
    </row>
    <row r="75" spans="2:10" ht="14.25" thickTop="1" thickBot="1">
      <c r="B75" s="90" t="s">
        <v>121</v>
      </c>
      <c r="C75" s="91">
        <f>+SUM(C76:C80)</f>
        <v>370098052.59291768</v>
      </c>
      <c r="D75" s="92">
        <f t="shared" si="6"/>
        <v>11.09441720852216</v>
      </c>
      <c r="E75" s="91">
        <f>+SUM(E76:E79)</f>
        <v>222472612.54282951</v>
      </c>
      <c r="F75" s="92">
        <f t="shared" si="8"/>
        <v>6.3271526130378248</v>
      </c>
      <c r="G75" s="91">
        <f>+SUM(G76:G79)</f>
        <v>205851507.4832294</v>
      </c>
      <c r="H75" s="92">
        <f t="shared" si="7"/>
        <v>5.8544460308324338</v>
      </c>
      <c r="I75" s="91">
        <f t="shared" si="9"/>
        <v>-16621105.059600115</v>
      </c>
      <c r="J75" s="92">
        <f t="shared" si="10"/>
        <v>-7.4710791902083145</v>
      </c>
    </row>
    <row r="76" spans="2:10" ht="13.5" thickTop="1">
      <c r="B76" s="97" t="s">
        <v>144</v>
      </c>
      <c r="C76" s="156">
        <v>102834751.84999999</v>
      </c>
      <c r="D76" s="98">
        <f t="shared" si="6"/>
        <v>3.0826739902186082</v>
      </c>
      <c r="E76" s="156">
        <v>0</v>
      </c>
      <c r="F76" s="98">
        <f t="shared" si="8"/>
        <v>0</v>
      </c>
      <c r="G76" s="185">
        <v>0</v>
      </c>
      <c r="H76" s="186">
        <f t="shared" si="7"/>
        <v>0</v>
      </c>
      <c r="I76" s="156">
        <f t="shared" si="9"/>
        <v>0</v>
      </c>
      <c r="J76" s="98" t="e">
        <f t="shared" si="10"/>
        <v>#DIV/0!</v>
      </c>
    </row>
    <row r="77" spans="2:10">
      <c r="B77" s="97" t="s">
        <v>122</v>
      </c>
      <c r="C77" s="156">
        <v>230537476.81999999</v>
      </c>
      <c r="D77" s="98">
        <f t="shared" si="6"/>
        <v>6.910814396676539</v>
      </c>
      <c r="E77" s="156">
        <v>227975575.86282945</v>
      </c>
      <c r="F77" s="98">
        <f t="shared" si="8"/>
        <v>6.4836576693304764</v>
      </c>
      <c r="G77" s="185">
        <v>227975575.86282945</v>
      </c>
      <c r="H77" s="186">
        <f t="shared" si="7"/>
        <v>6.4836576693304764</v>
      </c>
      <c r="I77" s="156">
        <f t="shared" si="9"/>
        <v>0</v>
      </c>
      <c r="J77" s="98">
        <f t="shared" si="10"/>
        <v>0</v>
      </c>
    </row>
    <row r="78" spans="2:10" ht="13.5" thickBot="1">
      <c r="B78" s="103" t="s">
        <v>329</v>
      </c>
      <c r="C78" s="156">
        <v>11948846.35</v>
      </c>
      <c r="D78" s="104">
        <f t="shared" si="6"/>
        <v>0.35819017592410862</v>
      </c>
      <c r="E78" s="156">
        <v>5000000</v>
      </c>
      <c r="F78" s="104">
        <f t="shared" si="8"/>
        <v>0.14220070822919265</v>
      </c>
      <c r="G78" s="185">
        <v>5000000</v>
      </c>
      <c r="H78" s="186">
        <f t="shared" si="7"/>
        <v>0.14220070822919265</v>
      </c>
      <c r="I78" s="156">
        <f t="shared" si="9"/>
        <v>0</v>
      </c>
      <c r="J78" s="104">
        <f t="shared" si="10"/>
        <v>0</v>
      </c>
    </row>
    <row r="79" spans="2:10" ht="14.25" thickTop="1" thickBot="1">
      <c r="B79" s="148" t="s">
        <v>125</v>
      </c>
      <c r="C79" s="149">
        <f>-C74-SUM(C76:C78)</f>
        <v>24776977.5729177</v>
      </c>
      <c r="D79" s="150">
        <f t="shared" si="6"/>
        <v>0.74273864570290371</v>
      </c>
      <c r="E79" s="149">
        <f>-E74-SUM(E76:E78)</f>
        <v>-10502963.319999933</v>
      </c>
      <c r="F79" s="150">
        <f t="shared" si="8"/>
        <v>-0.29870576452184461</v>
      </c>
      <c r="G79" s="187">
        <f>-G74-SUM(G76:G78)</f>
        <v>-27124068.379600048</v>
      </c>
      <c r="H79" s="188">
        <f t="shared" si="7"/>
        <v>-0.77141234672723535</v>
      </c>
      <c r="I79" s="149">
        <f t="shared" si="9"/>
        <v>-16621105.059600115</v>
      </c>
      <c r="J79" s="150">
        <f t="shared" si="10"/>
        <v>158.25157675215246</v>
      </c>
    </row>
    <row r="80" spans="2:10" ht="13.5" thickTop="1"/>
  </sheetData>
  <mergeCells count="6">
    <mergeCell ref="I6:J6"/>
    <mergeCell ref="E3:H3"/>
    <mergeCell ref="C6:D6"/>
    <mergeCell ref="C3:D3"/>
    <mergeCell ref="E6:F6"/>
    <mergeCell ref="G6:H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C4:G6"/>
  <sheetViews>
    <sheetView workbookViewId="0">
      <selection activeCell="N16" sqref="N16"/>
    </sheetView>
  </sheetViews>
  <sheetFormatPr defaultRowHeight="12.75"/>
  <cols>
    <col min="3" max="3" width="27.85546875" bestFit="1" customWidth="1"/>
    <col min="4" max="4" width="15.140625" bestFit="1" customWidth="1"/>
    <col min="5" max="7" width="16.140625" bestFit="1" customWidth="1"/>
  </cols>
  <sheetData>
    <row r="4" spans="3:7">
      <c r="D4" t="s">
        <v>445</v>
      </c>
      <c r="E4">
        <v>2015</v>
      </c>
      <c r="F4">
        <v>2016</v>
      </c>
      <c r="G4">
        <v>2017</v>
      </c>
    </row>
    <row r="5" spans="3:7">
      <c r="C5" t="s">
        <v>443</v>
      </c>
      <c r="D5" s="182">
        <v>-26424601.993229389</v>
      </c>
      <c r="E5" s="182">
        <v>-24569497.372829676</v>
      </c>
      <c r="F5" s="182">
        <v>33498994.005818129</v>
      </c>
      <c r="G5" s="182">
        <v>103834080.12588143</v>
      </c>
    </row>
    <row r="6" spans="3:7">
      <c r="C6" t="s">
        <v>444</v>
      </c>
      <c r="D6" s="182">
        <v>-51424601.993229389</v>
      </c>
      <c r="E6" s="182">
        <v>-149569497.37282968</v>
      </c>
      <c r="F6" s="182">
        <v>-191501005.99418187</v>
      </c>
      <c r="G6" s="182">
        <v>-221165919.87411857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Cental Budget</vt:lpstr>
      <vt:lpstr>Local Government</vt:lpstr>
      <vt:lpstr>Public Expenditure</vt:lpstr>
      <vt:lpstr>PRIMICI</vt:lpstr>
      <vt:lpstr>DEFICIT Tabela</vt:lpstr>
      <vt:lpstr>MasterSheet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Tatjana Minic</cp:lastModifiedBy>
  <cp:lastPrinted>2015-11-23T09:05:08Z</cp:lastPrinted>
  <dcterms:created xsi:type="dcterms:W3CDTF">2008-03-17T08:49:23Z</dcterms:created>
  <dcterms:modified xsi:type="dcterms:W3CDTF">2015-12-07T11:30:46Z</dcterms:modified>
</cp:coreProperties>
</file>