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ena.milovic\Desktop\GDDS februar\"/>
    </mc:Choice>
  </mc:AlternateContent>
  <xr:revisionPtr revIDLastSave="0" documentId="13_ncr:1_{2615C50B-1852-4F75-A4CB-42A15AEFD5D1}" xr6:coauthVersionLast="36" xr6:coauthVersionMax="36" xr10:uidLastSave="{00000000-0000-0000-0000-000000000000}"/>
  <workbookProtection workbookAlgorithmName="SHA-512" workbookHashValue="K1xK+gZ5MBhJuQHdhB+aoIkAGXZAAo+Epsszg4Jl+civjZW0BOkM6WIKBAVJcgi/LXDx/JoZXfAR6MD6bqY6Kg==" workbookSaltValue="Av2sZ+dMloXkf2oPbt33zA==" workbookSpinCount="100000" lockStructure="1"/>
  <bookViews>
    <workbookView xWindow="0" yWindow="0" windowWidth="9585" windowHeight="5955" tabRatio="587" firstSheet="1" activeTab="1" xr2:uid="{00000000-000D-0000-FFFF-FFFF00000000}"/>
  </bookViews>
  <sheets>
    <sheet name="Analitika - 2014" sheetId="3" state="hidden" r:id="rId1"/>
    <sheet name="Pregled" sheetId="1" r:id="rId2"/>
    <sheet name="Analitika 2023" sheetId="11" r:id="rId3"/>
    <sheet name="2023" sheetId="26" r:id="rId4"/>
    <sheet name="2022" sheetId="25" state="hidden" r:id="rId5"/>
    <sheet name="2021" sheetId="22" state="hidden" r:id="rId6"/>
    <sheet name="2020" sheetId="19" state="hidden" r:id="rId7"/>
    <sheet name="2019" sheetId="20" state="hidden" r:id="rId8"/>
    <sheet name="2018" sheetId="21" state="hidden" r:id="rId9"/>
    <sheet name="DataEx" sheetId="6" state="hidden" r:id="rId10"/>
    <sheet name="Master" sheetId="2" state="hidden" r:id="rId11"/>
  </sheets>
  <definedNames>
    <definedName name="_2015plan" localSheetId="8">'2018'!$A$103:$A$162</definedName>
    <definedName name="_2015plan" localSheetId="7">'2019'!$A$100:$A$159</definedName>
    <definedName name="_2015plan" localSheetId="6">'2020'!$A$100:$A$157</definedName>
    <definedName name="_2015plan" localSheetId="5">'2021'!$A$81:$A$138</definedName>
    <definedName name="_2015plan" localSheetId="4">'2022'!$A$81:$A$138</definedName>
    <definedName name="_2015plan" localSheetId="3">'2023'!$A$81:$A$138</definedName>
  </definedNames>
  <calcPr calcId="191029"/>
</workbook>
</file>

<file path=xl/calcChain.xml><?xml version="1.0" encoding="utf-8"?>
<calcChain xmlns="http://schemas.openxmlformats.org/spreadsheetml/2006/main">
  <c r="G20" i="1" l="1"/>
  <c r="H20" i="1" s="1"/>
  <c r="H16" i="1"/>
  <c r="H12" i="1"/>
  <c r="D12" i="1" l="1"/>
  <c r="E12" i="1" s="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5" i="11"/>
  <c r="G56" i="11"/>
  <c r="G57" i="11"/>
  <c r="G58" i="11"/>
  <c r="G61" i="11"/>
  <c r="G62" i="11"/>
  <c r="G63" i="11"/>
  <c r="G19" i="1"/>
  <c r="G15" i="1"/>
  <c r="G11" i="1"/>
  <c r="G12" i="1"/>
  <c r="D11" i="1"/>
  <c r="E13" i="1"/>
  <c r="E17" i="1" s="1"/>
  <c r="E21" i="1" s="1"/>
  <c r="D15" i="1"/>
  <c r="D17" i="1"/>
  <c r="D21" i="1" s="1"/>
  <c r="D19" i="1"/>
  <c r="H47" i="26" l="1"/>
  <c r="R40" i="25" l="1"/>
  <c r="O12" i="11" l="1"/>
  <c r="O13" i="11"/>
  <c r="O14" i="11"/>
  <c r="O15" i="11"/>
  <c r="O16" i="11"/>
  <c r="O17" i="11"/>
  <c r="O18" i="11"/>
  <c r="O20" i="11"/>
  <c r="O21" i="11"/>
  <c r="O22" i="11"/>
  <c r="O23" i="11"/>
  <c r="O24" i="11"/>
  <c r="O25" i="11"/>
  <c r="O26" i="11"/>
  <c r="O27" i="11"/>
  <c r="O28" i="11"/>
  <c r="O31" i="11"/>
  <c r="O32" i="11"/>
  <c r="O33" i="11"/>
  <c r="O34" i="11"/>
  <c r="O35" i="11"/>
  <c r="O36" i="11"/>
  <c r="O37" i="11"/>
  <c r="O38" i="11"/>
  <c r="O39" i="11"/>
  <c r="O41" i="11"/>
  <c r="O42" i="11"/>
  <c r="O43" i="11"/>
  <c r="O44" i="11"/>
  <c r="O45" i="11"/>
  <c r="O46" i="11"/>
  <c r="O48" i="11"/>
  <c r="O49" i="11"/>
  <c r="O50" i="11"/>
  <c r="O51" i="11"/>
  <c r="O52" i="11"/>
  <c r="O56" i="11"/>
  <c r="O57" i="11"/>
  <c r="O58" i="11"/>
  <c r="O61" i="11"/>
  <c r="O62" i="11"/>
  <c r="O63" i="11"/>
  <c r="R12" i="11"/>
  <c r="R13" i="11"/>
  <c r="R14" i="11"/>
  <c r="R15" i="11"/>
  <c r="R16" i="11"/>
  <c r="R17" i="11"/>
  <c r="R18" i="11"/>
  <c r="R20" i="11"/>
  <c r="R21" i="11"/>
  <c r="R22" i="11"/>
  <c r="R23" i="11"/>
  <c r="R24" i="11"/>
  <c r="R25" i="11"/>
  <c r="R26" i="11"/>
  <c r="R27" i="11"/>
  <c r="R28" i="11"/>
  <c r="R31" i="11"/>
  <c r="R32" i="11"/>
  <c r="R33" i="11"/>
  <c r="R34" i="11"/>
  <c r="R35" i="11"/>
  <c r="R36" i="11"/>
  <c r="R37" i="11"/>
  <c r="R38" i="11"/>
  <c r="R39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6" i="11"/>
  <c r="R57" i="11"/>
  <c r="R58" i="11"/>
  <c r="R61" i="11"/>
  <c r="R62" i="11"/>
  <c r="R63" i="11"/>
  <c r="N12" i="1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61" i="11"/>
  <c r="N62" i="11"/>
  <c r="N63" i="11"/>
  <c r="K12" i="11"/>
  <c r="K13" i="11"/>
  <c r="K14" i="11"/>
  <c r="K15" i="11"/>
  <c r="K16" i="11"/>
  <c r="K17" i="11"/>
  <c r="K18" i="11"/>
  <c r="K20" i="11"/>
  <c r="K21" i="11"/>
  <c r="K22" i="11"/>
  <c r="K23" i="11"/>
  <c r="K24" i="11"/>
  <c r="K25" i="11"/>
  <c r="K26" i="11"/>
  <c r="K27" i="11"/>
  <c r="K28" i="11"/>
  <c r="K31" i="11"/>
  <c r="K32" i="11"/>
  <c r="K33" i="11"/>
  <c r="K34" i="11"/>
  <c r="K35" i="11"/>
  <c r="K36" i="11"/>
  <c r="K37" i="11"/>
  <c r="K38" i="11"/>
  <c r="K39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6" i="11"/>
  <c r="K57" i="11"/>
  <c r="K58" i="11"/>
  <c r="K61" i="11"/>
  <c r="K62" i="11"/>
  <c r="K63" i="11"/>
  <c r="H33" i="11"/>
  <c r="H34" i="11"/>
  <c r="H35" i="11"/>
  <c r="H36" i="11"/>
  <c r="H37" i="11"/>
  <c r="H38" i="11"/>
  <c r="H39" i="11"/>
  <c r="H41" i="11"/>
  <c r="H42" i="11"/>
  <c r="H43" i="11"/>
  <c r="H44" i="11"/>
  <c r="H45" i="11"/>
  <c r="H46" i="11"/>
  <c r="H48" i="11"/>
  <c r="H49" i="11"/>
  <c r="H50" i="11"/>
  <c r="H51" i="11"/>
  <c r="H52" i="11"/>
  <c r="H56" i="11"/>
  <c r="H57" i="11"/>
  <c r="H58" i="11"/>
  <c r="H61" i="11"/>
  <c r="H62" i="11"/>
  <c r="H63" i="11"/>
  <c r="H12" i="11"/>
  <c r="H13" i="11"/>
  <c r="H14" i="11"/>
  <c r="H15" i="11"/>
  <c r="H16" i="11"/>
  <c r="H17" i="11"/>
  <c r="H18" i="11"/>
  <c r="H20" i="11"/>
  <c r="H21" i="11"/>
  <c r="H22" i="11"/>
  <c r="H23" i="11"/>
  <c r="H24" i="11"/>
  <c r="H25" i="11"/>
  <c r="H26" i="11"/>
  <c r="H27" i="11"/>
  <c r="H28" i="11"/>
  <c r="H31" i="11"/>
  <c r="H32" i="11"/>
  <c r="G245" i="2" l="1"/>
  <c r="R121" i="26" l="1"/>
  <c r="Q121" i="26"/>
  <c r="P121" i="26"/>
  <c r="O121" i="26"/>
  <c r="N121" i="26"/>
  <c r="M121" i="26"/>
  <c r="L121" i="26"/>
  <c r="K121" i="26"/>
  <c r="J121" i="26"/>
  <c r="I121" i="26"/>
  <c r="H121" i="26"/>
  <c r="O47" i="11" s="1"/>
  <c r="G121" i="26"/>
  <c r="H47" i="11" s="1"/>
  <c r="R123" i="26"/>
  <c r="R120" i="26"/>
  <c r="R111" i="26"/>
  <c r="R113" i="26"/>
  <c r="R108" i="26"/>
  <c r="R107" i="26"/>
  <c r="R105" i="26"/>
  <c r="R40" i="26" l="1"/>
  <c r="A138" i="26"/>
  <c r="S137" i="26"/>
  <c r="T137" i="26" s="1"/>
  <c r="A137" i="26"/>
  <c r="S136" i="26"/>
  <c r="T136" i="26" s="1"/>
  <c r="A136" i="26"/>
  <c r="S135" i="26"/>
  <c r="T135" i="26" s="1"/>
  <c r="A135" i="26"/>
  <c r="A134" i="26"/>
  <c r="A133" i="26"/>
  <c r="S132" i="26"/>
  <c r="T132" i="26" s="1"/>
  <c r="A132" i="26"/>
  <c r="S131" i="26"/>
  <c r="T131" i="26" s="1"/>
  <c r="A131" i="26"/>
  <c r="S130" i="26"/>
  <c r="T130" i="26" s="1"/>
  <c r="A130" i="26"/>
  <c r="R129" i="26"/>
  <c r="Q129" i="26"/>
  <c r="P129" i="26"/>
  <c r="O129" i="26"/>
  <c r="N129" i="26"/>
  <c r="M129" i="26"/>
  <c r="L129" i="26"/>
  <c r="K129" i="26"/>
  <c r="J129" i="26"/>
  <c r="I129" i="26"/>
  <c r="H129" i="26"/>
  <c r="O55" i="11" s="1"/>
  <c r="G129" i="26"/>
  <c r="H55" i="11" s="1"/>
  <c r="A129" i="26"/>
  <c r="A128" i="26"/>
  <c r="A127" i="26"/>
  <c r="S126" i="26"/>
  <c r="T126" i="26" s="1"/>
  <c r="A126" i="26"/>
  <c r="S125" i="26"/>
  <c r="T125" i="26" s="1"/>
  <c r="A125" i="26"/>
  <c r="S124" i="26"/>
  <c r="T124" i="26" s="1"/>
  <c r="A124" i="26"/>
  <c r="S123" i="26"/>
  <c r="A123" i="26"/>
  <c r="S122" i="26"/>
  <c r="T122" i="26" s="1"/>
  <c r="A122" i="26"/>
  <c r="S121" i="26"/>
  <c r="A121" i="26"/>
  <c r="S120" i="26"/>
  <c r="A120" i="26"/>
  <c r="S119" i="26"/>
  <c r="T119" i="26" s="1"/>
  <c r="A119" i="26"/>
  <c r="S118" i="26"/>
  <c r="T118" i="26" s="1"/>
  <c r="A118" i="26"/>
  <c r="S117" i="26"/>
  <c r="T117" i="26" s="1"/>
  <c r="A117" i="26"/>
  <c r="S116" i="26"/>
  <c r="T116" i="26" s="1"/>
  <c r="A116" i="26"/>
  <c r="S115" i="26"/>
  <c r="T115" i="26" s="1"/>
  <c r="A115" i="26"/>
  <c r="R114" i="26"/>
  <c r="Q114" i="26"/>
  <c r="P114" i="26"/>
  <c r="O114" i="26"/>
  <c r="N114" i="26"/>
  <c r="N103" i="26" s="1"/>
  <c r="M114" i="26"/>
  <c r="L114" i="26"/>
  <c r="K114" i="26"/>
  <c r="J114" i="26"/>
  <c r="I114" i="26"/>
  <c r="H114" i="26"/>
  <c r="O40" i="11" s="1"/>
  <c r="G114" i="26"/>
  <c r="H40" i="11" s="1"/>
  <c r="A114" i="26"/>
  <c r="S113" i="26"/>
  <c r="A113" i="26"/>
  <c r="S112" i="26"/>
  <c r="T112" i="26" s="1"/>
  <c r="A112" i="26"/>
  <c r="S111" i="26"/>
  <c r="A111" i="26"/>
  <c r="S110" i="26"/>
  <c r="T110" i="26" s="1"/>
  <c r="A110" i="26"/>
  <c r="S109" i="26"/>
  <c r="T109" i="26" s="1"/>
  <c r="A109" i="26"/>
  <c r="S108" i="26"/>
  <c r="A108" i="26"/>
  <c r="S107" i="26"/>
  <c r="A107" i="26"/>
  <c r="S106" i="26"/>
  <c r="T106" i="26" s="1"/>
  <c r="A106" i="26"/>
  <c r="S105" i="26"/>
  <c r="A105" i="26"/>
  <c r="R104" i="26"/>
  <c r="Q104" i="26"/>
  <c r="P104" i="26"/>
  <c r="O104" i="26"/>
  <c r="N104" i="26"/>
  <c r="M104" i="26"/>
  <c r="L104" i="26"/>
  <c r="K104" i="26"/>
  <c r="J104" i="26"/>
  <c r="I104" i="26"/>
  <c r="H104" i="26"/>
  <c r="O30" i="11" s="1"/>
  <c r="G104" i="26"/>
  <c r="H30" i="11" s="1"/>
  <c r="A104" i="26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S95" i="26"/>
  <c r="T95" i="26" s="1"/>
  <c r="A95" i="26"/>
  <c r="S94" i="26"/>
  <c r="T94" i="26" s="1"/>
  <c r="A94" i="26"/>
  <c r="R93" i="26"/>
  <c r="Q93" i="26"/>
  <c r="P93" i="26"/>
  <c r="O93" i="26"/>
  <c r="N93" i="26"/>
  <c r="M93" i="26"/>
  <c r="L93" i="26"/>
  <c r="K93" i="26"/>
  <c r="J93" i="26"/>
  <c r="I93" i="26"/>
  <c r="H93" i="26"/>
  <c r="O19" i="11" s="1"/>
  <c r="G93" i="26"/>
  <c r="H19" i="11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S87" i="26"/>
  <c r="T87" i="26" s="1"/>
  <c r="A87" i="26"/>
  <c r="S86" i="26"/>
  <c r="T86" i="26" s="1"/>
  <c r="A86" i="26"/>
  <c r="R85" i="26"/>
  <c r="Q85" i="26"/>
  <c r="P85" i="26"/>
  <c r="O85" i="26"/>
  <c r="N85" i="26"/>
  <c r="M85" i="26"/>
  <c r="L85" i="26"/>
  <c r="K85" i="26"/>
  <c r="J85" i="26"/>
  <c r="I85" i="26"/>
  <c r="H85" i="26"/>
  <c r="O11" i="11" s="1"/>
  <c r="G85" i="26"/>
  <c r="A85" i="26"/>
  <c r="A84" i="26"/>
  <c r="T82" i="26"/>
  <c r="R80" i="26"/>
  <c r="Q80" i="26"/>
  <c r="P80" i="26"/>
  <c r="O80" i="26"/>
  <c r="N80" i="26"/>
  <c r="M80" i="26"/>
  <c r="L80" i="26"/>
  <c r="K80" i="26"/>
  <c r="J80" i="26"/>
  <c r="I80" i="26"/>
  <c r="H80" i="26"/>
  <c r="G80" i="26"/>
  <c r="S63" i="26"/>
  <c r="T63" i="26" s="1"/>
  <c r="S62" i="26"/>
  <c r="T62" i="26" s="1"/>
  <c r="S61" i="26"/>
  <c r="T61" i="26" s="1"/>
  <c r="S58" i="26"/>
  <c r="T58" i="26" s="1"/>
  <c r="S57" i="26"/>
  <c r="T57" i="26" s="1"/>
  <c r="S56" i="26"/>
  <c r="T56" i="26" s="1"/>
  <c r="R55" i="26"/>
  <c r="Q55" i="26"/>
  <c r="P55" i="26"/>
  <c r="O55" i="26"/>
  <c r="N55" i="26"/>
  <c r="M55" i="26"/>
  <c r="L55" i="26"/>
  <c r="K55" i="26"/>
  <c r="J55" i="26"/>
  <c r="I55" i="26"/>
  <c r="H55" i="26"/>
  <c r="N55" i="11" s="1"/>
  <c r="G55" i="26"/>
  <c r="S52" i="26"/>
  <c r="T52" i="26" s="1"/>
  <c r="S51" i="26"/>
  <c r="T51" i="26" s="1"/>
  <c r="S50" i="26"/>
  <c r="T50" i="26" s="1"/>
  <c r="S49" i="26"/>
  <c r="T49" i="26" s="1"/>
  <c r="S48" i="26"/>
  <c r="T48" i="26" s="1"/>
  <c r="S47" i="26"/>
  <c r="T47" i="26" s="1"/>
  <c r="S46" i="26"/>
  <c r="T46" i="26" s="1"/>
  <c r="S45" i="26"/>
  <c r="T45" i="26" s="1"/>
  <c r="S44" i="26"/>
  <c r="T44" i="26" s="1"/>
  <c r="S43" i="26"/>
  <c r="T43" i="26" s="1"/>
  <c r="S42" i="26"/>
  <c r="T42" i="26" s="1"/>
  <c r="S41" i="26"/>
  <c r="T41" i="26" s="1"/>
  <c r="Q40" i="26"/>
  <c r="P40" i="26"/>
  <c r="O40" i="26"/>
  <c r="N40" i="26"/>
  <c r="M40" i="26"/>
  <c r="L40" i="26"/>
  <c r="L29" i="26" s="1"/>
  <c r="K40" i="26"/>
  <c r="J40" i="26"/>
  <c r="I40" i="26"/>
  <c r="H40" i="26"/>
  <c r="N40" i="11" s="1"/>
  <c r="G40" i="26"/>
  <c r="S39" i="26"/>
  <c r="T39" i="26" s="1"/>
  <c r="S38" i="26"/>
  <c r="T38" i="26" s="1"/>
  <c r="S37" i="26"/>
  <c r="T37" i="26" s="1"/>
  <c r="S36" i="26"/>
  <c r="T36" i="26" s="1"/>
  <c r="S35" i="26"/>
  <c r="T35" i="26" s="1"/>
  <c r="S34" i="26"/>
  <c r="T34" i="26" s="1"/>
  <c r="S33" i="26"/>
  <c r="T33" i="26" s="1"/>
  <c r="S32" i="26"/>
  <c r="T32" i="26" s="1"/>
  <c r="S31" i="26"/>
  <c r="R30" i="26"/>
  <c r="Q30" i="26"/>
  <c r="Q29" i="26" s="1"/>
  <c r="P30" i="26"/>
  <c r="O30" i="26"/>
  <c r="N30" i="26"/>
  <c r="N29" i="26" s="1"/>
  <c r="M30" i="26"/>
  <c r="M29" i="26" s="1"/>
  <c r="L30" i="26"/>
  <c r="K30" i="26"/>
  <c r="J30" i="26"/>
  <c r="J29" i="26" s="1"/>
  <c r="I30" i="26"/>
  <c r="I29" i="26" s="1"/>
  <c r="H30" i="26"/>
  <c r="N30" i="11" s="1"/>
  <c r="G30" i="26"/>
  <c r="S28" i="26"/>
  <c r="T28" i="26" s="1"/>
  <c r="S27" i="26"/>
  <c r="T27" i="26" s="1"/>
  <c r="S26" i="26"/>
  <c r="T26" i="26" s="1"/>
  <c r="S25" i="26"/>
  <c r="T25" i="26" s="1"/>
  <c r="S24" i="26"/>
  <c r="T24" i="26" s="1"/>
  <c r="S23" i="26"/>
  <c r="T23" i="26" s="1"/>
  <c r="S22" i="26"/>
  <c r="T22" i="26" s="1"/>
  <c r="S21" i="26"/>
  <c r="T21" i="26" s="1"/>
  <c r="S20" i="26"/>
  <c r="T20" i="26" s="1"/>
  <c r="R19" i="26"/>
  <c r="Q19" i="26"/>
  <c r="Q10" i="26" s="1"/>
  <c r="P19" i="26"/>
  <c r="O19" i="26"/>
  <c r="N19" i="26"/>
  <c r="M19" i="26"/>
  <c r="L19" i="26"/>
  <c r="K19" i="26"/>
  <c r="J19" i="26"/>
  <c r="I19" i="26"/>
  <c r="H19" i="26"/>
  <c r="N19" i="11" s="1"/>
  <c r="G19" i="26"/>
  <c r="S18" i="26"/>
  <c r="T18" i="26" s="1"/>
  <c r="S17" i="26"/>
  <c r="T17" i="26" s="1"/>
  <c r="S16" i="26"/>
  <c r="T16" i="26" s="1"/>
  <c r="S15" i="26"/>
  <c r="T15" i="26" s="1"/>
  <c r="S14" i="26"/>
  <c r="T14" i="26" s="1"/>
  <c r="S13" i="26"/>
  <c r="T13" i="26" s="1"/>
  <c r="S12" i="26"/>
  <c r="T12" i="26" s="1"/>
  <c r="R11" i="26"/>
  <c r="Q11" i="26"/>
  <c r="P11" i="26"/>
  <c r="O11" i="26"/>
  <c r="N11" i="26"/>
  <c r="M11" i="26"/>
  <c r="L11" i="26"/>
  <c r="K11" i="26"/>
  <c r="J11" i="26"/>
  <c r="I11" i="26"/>
  <c r="H11" i="26"/>
  <c r="N11" i="11" s="1"/>
  <c r="G11" i="26"/>
  <c r="R5" i="26"/>
  <c r="Q5" i="26"/>
  <c r="P5" i="26"/>
  <c r="O5" i="26"/>
  <c r="N5" i="26"/>
  <c r="M5" i="26"/>
  <c r="L5" i="26"/>
  <c r="K5" i="26"/>
  <c r="J5" i="26"/>
  <c r="I5" i="26"/>
  <c r="H5" i="26"/>
  <c r="G5" i="26"/>
  <c r="T31" i="26" l="1"/>
  <c r="G31" i="11"/>
  <c r="H11" i="11"/>
  <c r="H29" i="26"/>
  <c r="N29" i="11" s="1"/>
  <c r="D16" i="1" s="1"/>
  <c r="E16" i="1" s="1"/>
  <c r="K29" i="26"/>
  <c r="O29" i="26"/>
  <c r="R103" i="26"/>
  <c r="J10" i="26"/>
  <c r="N10" i="26"/>
  <c r="N53" i="26" s="1"/>
  <c r="R10" i="26"/>
  <c r="P29" i="26"/>
  <c r="H84" i="26"/>
  <c r="O10" i="11" s="1"/>
  <c r="P84" i="26"/>
  <c r="S19" i="26"/>
  <c r="T19" i="26" s="1"/>
  <c r="T123" i="26"/>
  <c r="T121" i="26"/>
  <c r="T120" i="26"/>
  <c r="T113" i="26"/>
  <c r="T111" i="26"/>
  <c r="T108" i="26"/>
  <c r="T107" i="26"/>
  <c r="T105" i="26"/>
  <c r="G29" i="26"/>
  <c r="J84" i="26"/>
  <c r="N84" i="26"/>
  <c r="N127" i="26" s="1"/>
  <c r="N128" i="26" s="1"/>
  <c r="R84" i="26"/>
  <c r="R127" i="26" s="1"/>
  <c r="R128" i="26" s="1"/>
  <c r="S93" i="26"/>
  <c r="T93" i="26" s="1"/>
  <c r="O84" i="26"/>
  <c r="G103" i="26"/>
  <c r="H29" i="11" s="1"/>
  <c r="K103" i="26"/>
  <c r="O103" i="26"/>
  <c r="Q103" i="26"/>
  <c r="J103" i="26"/>
  <c r="I103" i="26"/>
  <c r="M103" i="26"/>
  <c r="S129" i="26"/>
  <c r="T129" i="26" s="1"/>
  <c r="H103" i="26"/>
  <c r="O29" i="11" s="1"/>
  <c r="L103" i="26"/>
  <c r="P103" i="26"/>
  <c r="O127" i="26"/>
  <c r="O128" i="26" s="1"/>
  <c r="S114" i="26"/>
  <c r="T114" i="26" s="1"/>
  <c r="S104" i="26"/>
  <c r="G84" i="26"/>
  <c r="H10" i="11" s="1"/>
  <c r="K84" i="26"/>
  <c r="K127" i="26" s="1"/>
  <c r="K128" i="26" s="1"/>
  <c r="L84" i="26"/>
  <c r="I84" i="26"/>
  <c r="M84" i="26"/>
  <c r="Q84" i="26"/>
  <c r="R29" i="26"/>
  <c r="S55" i="26"/>
  <c r="T55" i="26" s="1"/>
  <c r="S40" i="26"/>
  <c r="T40" i="26" s="1"/>
  <c r="K10" i="26"/>
  <c r="K53" i="26" s="1"/>
  <c r="K54" i="26" s="1"/>
  <c r="O10" i="26"/>
  <c r="H10" i="26"/>
  <c r="L10" i="26"/>
  <c r="L53" i="26" s="1"/>
  <c r="L54" i="26" s="1"/>
  <c r="P10" i="26"/>
  <c r="P53" i="26" s="1"/>
  <c r="P59" i="26" s="1"/>
  <c r="P64" i="26" s="1"/>
  <c r="P60" i="26" s="1"/>
  <c r="I10" i="26"/>
  <c r="I53" i="26" s="1"/>
  <c r="I59" i="26" s="1"/>
  <c r="I64" i="26" s="1"/>
  <c r="I60" i="26" s="1"/>
  <c r="M10" i="26"/>
  <c r="M53" i="26" s="1"/>
  <c r="S11" i="26"/>
  <c r="T11" i="26" s="1"/>
  <c r="K59" i="26"/>
  <c r="K64" i="26" s="1"/>
  <c r="K60" i="26" s="1"/>
  <c r="Q53" i="26"/>
  <c r="J53" i="26"/>
  <c r="R53" i="26"/>
  <c r="S30" i="26"/>
  <c r="S85" i="26"/>
  <c r="T85" i="26" s="1"/>
  <c r="G10" i="26"/>
  <c r="T30" i="26" l="1"/>
  <c r="G30" i="11"/>
  <c r="O53" i="26"/>
  <c r="O59" i="26" s="1"/>
  <c r="O64" i="26" s="1"/>
  <c r="O60" i="26" s="1"/>
  <c r="H53" i="26"/>
  <c r="N10" i="11"/>
  <c r="P127" i="26"/>
  <c r="P128" i="26" s="1"/>
  <c r="J127" i="26"/>
  <c r="J133" i="26" s="1"/>
  <c r="J138" i="26" s="1"/>
  <c r="J134" i="26" s="1"/>
  <c r="S29" i="26"/>
  <c r="T104" i="26"/>
  <c r="I127" i="26"/>
  <c r="I128" i="26" s="1"/>
  <c r="Q127" i="26"/>
  <c r="Q133" i="26" s="1"/>
  <c r="Q138" i="26" s="1"/>
  <c r="Q134" i="26" s="1"/>
  <c r="M127" i="26"/>
  <c r="M133" i="26" s="1"/>
  <c r="M138" i="26" s="1"/>
  <c r="M134" i="26" s="1"/>
  <c r="G127" i="26"/>
  <c r="H53" i="11" s="1"/>
  <c r="R133" i="26"/>
  <c r="R138" i="26" s="1"/>
  <c r="R134" i="26" s="1"/>
  <c r="I54" i="26"/>
  <c r="S103" i="26"/>
  <c r="N133" i="26"/>
  <c r="N138" i="26" s="1"/>
  <c r="N134" i="26" s="1"/>
  <c r="O133" i="26"/>
  <c r="O138" i="26" s="1"/>
  <c r="O134" i="26" s="1"/>
  <c r="H127" i="26"/>
  <c r="J128" i="26"/>
  <c r="L127" i="26"/>
  <c r="K133" i="26"/>
  <c r="K138" i="26" s="1"/>
  <c r="K134" i="26" s="1"/>
  <c r="S84" i="26"/>
  <c r="T84" i="26" s="1"/>
  <c r="P54" i="26"/>
  <c r="L59" i="26"/>
  <c r="L64" i="26" s="1"/>
  <c r="L60" i="26" s="1"/>
  <c r="O54" i="26"/>
  <c r="J59" i="26"/>
  <c r="J64" i="26" s="1"/>
  <c r="J60" i="26" s="1"/>
  <c r="J54" i="26"/>
  <c r="M54" i="26"/>
  <c r="M59" i="26"/>
  <c r="M64" i="26" s="1"/>
  <c r="M60" i="26" s="1"/>
  <c r="Q59" i="26"/>
  <c r="Q64" i="26" s="1"/>
  <c r="Q60" i="26" s="1"/>
  <c r="Q54" i="26"/>
  <c r="G53" i="26"/>
  <c r="S10" i="26"/>
  <c r="R59" i="26"/>
  <c r="R64" i="26" s="1"/>
  <c r="R60" i="26" s="1"/>
  <c r="R54" i="26"/>
  <c r="N59" i="26"/>
  <c r="N64" i="26" s="1"/>
  <c r="N60" i="26" s="1"/>
  <c r="N54" i="26"/>
  <c r="T29" i="26" l="1"/>
  <c r="G29" i="11"/>
  <c r="G16" i="1" s="1"/>
  <c r="P133" i="26"/>
  <c r="P138" i="26" s="1"/>
  <c r="P134" i="26" s="1"/>
  <c r="H133" i="26"/>
  <c r="O53" i="11"/>
  <c r="H59" i="26"/>
  <c r="N53" i="11"/>
  <c r="D20" i="1" s="1"/>
  <c r="E20" i="1" s="1"/>
  <c r="H54" i="26"/>
  <c r="N54" i="11" s="1"/>
  <c r="T10" i="26"/>
  <c r="G10" i="11"/>
  <c r="G133" i="26"/>
  <c r="H59" i="11" s="1"/>
  <c r="T103" i="26"/>
  <c r="I133" i="26"/>
  <c r="I138" i="26" s="1"/>
  <c r="I134" i="26" s="1"/>
  <c r="Q128" i="26"/>
  <c r="M128" i="26"/>
  <c r="G128" i="26"/>
  <c r="S127" i="26"/>
  <c r="T127" i="26" s="1"/>
  <c r="H128" i="26"/>
  <c r="O54" i="11" s="1"/>
  <c r="L128" i="26"/>
  <c r="L133" i="26"/>
  <c r="G59" i="26"/>
  <c r="S53" i="26"/>
  <c r="G54" i="26"/>
  <c r="G11" i="2"/>
  <c r="T53" i="26" l="1"/>
  <c r="G53" i="11"/>
  <c r="H54" i="11"/>
  <c r="H138" i="26"/>
  <c r="O59" i="11"/>
  <c r="H64" i="26"/>
  <c r="N59" i="11"/>
  <c r="G138" i="26"/>
  <c r="H64" i="11" s="1"/>
  <c r="S54" i="26"/>
  <c r="S128" i="26"/>
  <c r="T128" i="26" s="1"/>
  <c r="L138" i="26"/>
  <c r="S133" i="26"/>
  <c r="T133" i="26" s="1"/>
  <c r="G64" i="26"/>
  <c r="S59" i="26"/>
  <c r="T54" i="26" l="1"/>
  <c r="G54" i="11"/>
  <c r="T59" i="26"/>
  <c r="G59" i="11"/>
  <c r="H134" i="26"/>
  <c r="O60" i="11" s="1"/>
  <c r="O64" i="11"/>
  <c r="H60" i="26"/>
  <c r="N60" i="11" s="1"/>
  <c r="N64" i="11"/>
  <c r="G134" i="26"/>
  <c r="H60" i="11" s="1"/>
  <c r="L134" i="26"/>
  <c r="S134" i="26" s="1"/>
  <c r="T134" i="26" s="1"/>
  <c r="S138" i="26"/>
  <c r="T138" i="26" s="1"/>
  <c r="S64" i="26"/>
  <c r="G60" i="26"/>
  <c r="J19" i="25"/>
  <c r="J11" i="25"/>
  <c r="J10" i="25" s="1"/>
  <c r="T64" i="26" l="1"/>
  <c r="G64" i="11"/>
  <c r="S60" i="26"/>
  <c r="T60" i="26" l="1"/>
  <c r="G60" i="11"/>
  <c r="S86" i="22"/>
  <c r="Q17" i="11" l="1"/>
  <c r="S19" i="20" l="1"/>
  <c r="L19" i="25" l="1"/>
  <c r="L11" i="25"/>
  <c r="S121" i="25" l="1"/>
  <c r="A138" i="25" l="1"/>
  <c r="S137" i="25"/>
  <c r="A137" i="25"/>
  <c r="S136" i="25"/>
  <c r="A136" i="25"/>
  <c r="S135" i="25"/>
  <c r="A135" i="25"/>
  <c r="A134" i="25"/>
  <c r="A133" i="25"/>
  <c r="S132" i="25"/>
  <c r="T132" i="25" s="1"/>
  <c r="A132" i="25"/>
  <c r="S131" i="25"/>
  <c r="T131" i="25" s="1"/>
  <c r="A131" i="25"/>
  <c r="S130" i="25"/>
  <c r="T130" i="25" s="1"/>
  <c r="A130" i="25"/>
  <c r="R129" i="25"/>
  <c r="Q129" i="25"/>
  <c r="P129" i="25"/>
  <c r="O129" i="25"/>
  <c r="N129" i="25"/>
  <c r="M129" i="25"/>
  <c r="L129" i="25"/>
  <c r="K129" i="25"/>
  <c r="J129" i="25"/>
  <c r="I129" i="25"/>
  <c r="H129" i="25"/>
  <c r="G129" i="25"/>
  <c r="A129" i="25"/>
  <c r="A128" i="25"/>
  <c r="A127" i="25"/>
  <c r="S126" i="25"/>
  <c r="T126" i="25" s="1"/>
  <c r="A126" i="25"/>
  <c r="S125" i="25"/>
  <c r="T125" i="25" s="1"/>
  <c r="A125" i="25"/>
  <c r="S124" i="25"/>
  <c r="A124" i="25"/>
  <c r="S123" i="25"/>
  <c r="T123" i="25" s="1"/>
  <c r="A123" i="25"/>
  <c r="S122" i="25"/>
  <c r="T122" i="25" s="1"/>
  <c r="A122" i="25"/>
  <c r="T121" i="25"/>
  <c r="A121" i="25"/>
  <c r="A120" i="25"/>
  <c r="S119" i="25"/>
  <c r="T119" i="25" s="1"/>
  <c r="A119" i="25"/>
  <c r="S118" i="25"/>
  <c r="A118" i="25"/>
  <c r="S117" i="25"/>
  <c r="A117" i="25"/>
  <c r="S116" i="25"/>
  <c r="T116" i="25" s="1"/>
  <c r="A116" i="25"/>
  <c r="S115" i="25"/>
  <c r="T115" i="25" s="1"/>
  <c r="A115" i="25"/>
  <c r="R114" i="25"/>
  <c r="Q114" i="25"/>
  <c r="P114" i="25"/>
  <c r="O114" i="25"/>
  <c r="N114" i="25"/>
  <c r="M114" i="25"/>
  <c r="L114" i="25"/>
  <c r="K114" i="25"/>
  <c r="J114" i="25"/>
  <c r="I114" i="25"/>
  <c r="H114" i="25"/>
  <c r="G114" i="25"/>
  <c r="A114" i="25"/>
  <c r="S113" i="25"/>
  <c r="A113" i="25"/>
  <c r="S112" i="25"/>
  <c r="T112" i="25" s="1"/>
  <c r="A112" i="25"/>
  <c r="S111" i="25"/>
  <c r="A111" i="25"/>
  <c r="S110" i="25"/>
  <c r="T110" i="25" s="1"/>
  <c r="A110" i="25"/>
  <c r="S109" i="25"/>
  <c r="T109" i="25" s="1"/>
  <c r="A109" i="25"/>
  <c r="S108" i="25"/>
  <c r="A108" i="25"/>
  <c r="S107" i="25"/>
  <c r="A107" i="25"/>
  <c r="S106" i="25"/>
  <c r="A106" i="25"/>
  <c r="S105" i="25"/>
  <c r="T105" i="25" s="1"/>
  <c r="A105" i="25"/>
  <c r="R104" i="25"/>
  <c r="Q104" i="25"/>
  <c r="P104" i="25"/>
  <c r="O104" i="25"/>
  <c r="N104" i="25"/>
  <c r="M104" i="25"/>
  <c r="L104" i="25"/>
  <c r="K104" i="25"/>
  <c r="J104" i="25"/>
  <c r="I104" i="25"/>
  <c r="H104" i="25"/>
  <c r="G104" i="25"/>
  <c r="A104" i="25"/>
  <c r="A103" i="25"/>
  <c r="S102" i="25"/>
  <c r="T102" i="25" s="1"/>
  <c r="A102" i="25"/>
  <c r="S101" i="25"/>
  <c r="A101" i="25"/>
  <c r="S100" i="25"/>
  <c r="A100" i="25"/>
  <c r="S99" i="25"/>
  <c r="T99" i="25" s="1"/>
  <c r="A99" i="25"/>
  <c r="S98" i="25"/>
  <c r="T98" i="25" s="1"/>
  <c r="A98" i="25"/>
  <c r="S97" i="25"/>
  <c r="T97" i="25" s="1"/>
  <c r="A97" i="25"/>
  <c r="S96" i="25"/>
  <c r="A96" i="25"/>
  <c r="S95" i="25"/>
  <c r="T95" i="25" s="1"/>
  <c r="A95" i="25"/>
  <c r="S94" i="25"/>
  <c r="A94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A93" i="25"/>
  <c r="S92" i="25"/>
  <c r="T92" i="25" s="1"/>
  <c r="A92" i="25"/>
  <c r="S91" i="25"/>
  <c r="T91" i="25" s="1"/>
  <c r="A91" i="25"/>
  <c r="S90" i="25"/>
  <c r="A90" i="25"/>
  <c r="S89" i="25"/>
  <c r="T89" i="25" s="1"/>
  <c r="A89" i="25"/>
  <c r="S88" i="25"/>
  <c r="A88" i="25"/>
  <c r="S87" i="25"/>
  <c r="T87" i="25" s="1"/>
  <c r="A87" i="25"/>
  <c r="S86" i="25"/>
  <c r="T86" i="25" s="1"/>
  <c r="A86" i="25"/>
  <c r="R85" i="25"/>
  <c r="Q85" i="25"/>
  <c r="P85" i="25"/>
  <c r="O85" i="25"/>
  <c r="N85" i="25"/>
  <c r="M85" i="25"/>
  <c r="L85" i="25"/>
  <c r="K85" i="25"/>
  <c r="J85" i="25"/>
  <c r="I85" i="25"/>
  <c r="H85" i="25"/>
  <c r="G85" i="25"/>
  <c r="A85" i="25"/>
  <c r="A84" i="25"/>
  <c r="T82" i="25"/>
  <c r="R80" i="25"/>
  <c r="Q80" i="25"/>
  <c r="P80" i="25"/>
  <c r="O80" i="25"/>
  <c r="N80" i="25"/>
  <c r="M80" i="25"/>
  <c r="L80" i="25"/>
  <c r="K80" i="25"/>
  <c r="J80" i="25"/>
  <c r="I80" i="25"/>
  <c r="H80" i="25"/>
  <c r="G80" i="25"/>
  <c r="S63" i="25"/>
  <c r="S62" i="25"/>
  <c r="S61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R55" i="11" s="1"/>
  <c r="G55" i="25"/>
  <c r="K55" i="11" s="1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R19" i="11" s="1"/>
  <c r="G19" i="25"/>
  <c r="K19" i="11" s="1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R11" i="11" s="1"/>
  <c r="G11" i="25"/>
  <c r="K11" i="11" s="1"/>
  <c r="R5" i="25"/>
  <c r="Q5" i="25"/>
  <c r="P5" i="25"/>
  <c r="O5" i="25"/>
  <c r="N5" i="25"/>
  <c r="M5" i="25"/>
  <c r="L5" i="25"/>
  <c r="K5" i="25"/>
  <c r="J5" i="25"/>
  <c r="I5" i="25"/>
  <c r="H5" i="25"/>
  <c r="G5" i="25"/>
  <c r="R30" i="11" l="1"/>
  <c r="K30" i="11"/>
  <c r="R40" i="11"/>
  <c r="K40" i="11"/>
  <c r="L84" i="25"/>
  <c r="R84" i="25"/>
  <c r="R10" i="25"/>
  <c r="G10" i="25"/>
  <c r="K10" i="11" s="1"/>
  <c r="N10" i="25"/>
  <c r="T58" i="25"/>
  <c r="Q29" i="25"/>
  <c r="T101" i="25"/>
  <c r="T94" i="25"/>
  <c r="T88" i="25"/>
  <c r="T90" i="25"/>
  <c r="T96" i="25"/>
  <c r="T100" i="25"/>
  <c r="T137" i="25"/>
  <c r="T136" i="25"/>
  <c r="T135" i="25"/>
  <c r="T124" i="25"/>
  <c r="T118" i="25"/>
  <c r="T117" i="25"/>
  <c r="T113" i="25"/>
  <c r="T111" i="25"/>
  <c r="T108" i="25"/>
  <c r="T107" i="25"/>
  <c r="T106" i="25"/>
  <c r="H84" i="25"/>
  <c r="P84" i="25"/>
  <c r="N84" i="25"/>
  <c r="J84" i="25"/>
  <c r="O29" i="25"/>
  <c r="M29" i="25"/>
  <c r="K29" i="25"/>
  <c r="T61" i="25"/>
  <c r="T52" i="25"/>
  <c r="T50" i="25"/>
  <c r="I29" i="25"/>
  <c r="T62" i="25"/>
  <c r="T63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3" i="25"/>
  <c r="M103" i="25"/>
  <c r="H103" i="25"/>
  <c r="J103" i="25"/>
  <c r="L103" i="25"/>
  <c r="N103" i="25"/>
  <c r="S85" i="25"/>
  <c r="S114" i="25"/>
  <c r="T114" i="25" s="1"/>
  <c r="K103" i="25"/>
  <c r="O103" i="25"/>
  <c r="S30" i="25"/>
  <c r="I10" i="25"/>
  <c r="K10" i="25"/>
  <c r="M10" i="25"/>
  <c r="O10" i="25"/>
  <c r="Q10" i="25"/>
  <c r="L10" i="25"/>
  <c r="P10" i="25"/>
  <c r="H10" i="25"/>
  <c r="R10" i="11" s="1"/>
  <c r="G84" i="25"/>
  <c r="I84" i="25"/>
  <c r="K84" i="25"/>
  <c r="M84" i="25"/>
  <c r="O84" i="25"/>
  <c r="Q84" i="25"/>
  <c r="G103" i="25"/>
  <c r="H29" i="25"/>
  <c r="J29" i="25"/>
  <c r="J53" i="25" s="1"/>
  <c r="L29" i="25"/>
  <c r="N29" i="25"/>
  <c r="P29" i="25"/>
  <c r="R29" i="25"/>
  <c r="S40" i="25"/>
  <c r="G29" i="25"/>
  <c r="S19" i="25"/>
  <c r="S11" i="25"/>
  <c r="S55" i="25"/>
  <c r="S93" i="25"/>
  <c r="S104" i="25"/>
  <c r="T104" i="25" s="1"/>
  <c r="S129" i="25"/>
  <c r="T129" i="25" s="1"/>
  <c r="R29" i="11" l="1"/>
  <c r="K29" i="11"/>
  <c r="N53" i="25"/>
  <c r="N54" i="25" s="1"/>
  <c r="I53" i="25"/>
  <c r="I54" i="25" s="1"/>
  <c r="R53" i="25"/>
  <c r="O53" i="25"/>
  <c r="O59" i="25" s="1"/>
  <c r="O64" i="25" s="1"/>
  <c r="O60" i="25" s="1"/>
  <c r="Q53" i="25"/>
  <c r="T85" i="25"/>
  <c r="T93" i="25"/>
  <c r="I127" i="25"/>
  <c r="I133" i="25" s="1"/>
  <c r="I138" i="25" s="1"/>
  <c r="P53" i="25"/>
  <c r="M53" i="25"/>
  <c r="M54" i="25" s="1"/>
  <c r="K53" i="25"/>
  <c r="K59" i="25" s="1"/>
  <c r="K64" i="25" s="1"/>
  <c r="K60" i="25" s="1"/>
  <c r="T55" i="25"/>
  <c r="T40" i="25"/>
  <c r="T30" i="25"/>
  <c r="T19" i="25"/>
  <c r="T11" i="25"/>
  <c r="M127" i="25"/>
  <c r="M128" i="25" s="1"/>
  <c r="O127" i="25"/>
  <c r="O128" i="25" s="1"/>
  <c r="N127" i="25"/>
  <c r="N128" i="25" s="1"/>
  <c r="K127" i="25"/>
  <c r="K133" i="25" s="1"/>
  <c r="L127" i="25"/>
  <c r="L133" i="25" s="1"/>
  <c r="J127" i="25"/>
  <c r="J128" i="25" s="1"/>
  <c r="H127" i="25"/>
  <c r="H133" i="25" s="1"/>
  <c r="G53" i="25"/>
  <c r="G127" i="25"/>
  <c r="L53" i="25"/>
  <c r="L54" i="25" s="1"/>
  <c r="S10" i="25"/>
  <c r="H53" i="25"/>
  <c r="S84" i="25"/>
  <c r="T84" i="25" s="1"/>
  <c r="S29" i="25"/>
  <c r="J54" i="25"/>
  <c r="J59" i="25"/>
  <c r="J64" i="25" s="1"/>
  <c r="J60" i="25" s="1"/>
  <c r="N59" i="25" l="1"/>
  <c r="N64" i="25" s="1"/>
  <c r="N60" i="25" s="1"/>
  <c r="R53" i="11"/>
  <c r="K53" i="11"/>
  <c r="H138" i="25"/>
  <c r="H134" i="25" s="1"/>
  <c r="L138" i="25"/>
  <c r="L134" i="25" s="1"/>
  <c r="K138" i="25"/>
  <c r="K134" i="25" s="1"/>
  <c r="I59" i="25"/>
  <c r="I64" i="25" s="1"/>
  <c r="R59" i="25"/>
  <c r="O54" i="25"/>
  <c r="G59" i="25"/>
  <c r="S53" i="25"/>
  <c r="R54" i="25"/>
  <c r="Q54" i="25"/>
  <c r="Q59" i="25"/>
  <c r="P54" i="25"/>
  <c r="P59" i="25"/>
  <c r="P64" i="25" s="1"/>
  <c r="I128" i="25"/>
  <c r="M133" i="25"/>
  <c r="M59" i="25"/>
  <c r="K54" i="25"/>
  <c r="T29" i="25"/>
  <c r="H54" i="25"/>
  <c r="T10" i="25"/>
  <c r="O133" i="25"/>
  <c r="G54" i="25"/>
  <c r="G128" i="25"/>
  <c r="L128" i="25"/>
  <c r="K128" i="25"/>
  <c r="N133" i="25"/>
  <c r="J133" i="25"/>
  <c r="H128" i="25"/>
  <c r="G133" i="25"/>
  <c r="G138" i="25" s="1"/>
  <c r="L59" i="25"/>
  <c r="L64" i="25" s="1"/>
  <c r="L60" i="25" s="1"/>
  <c r="H59" i="25"/>
  <c r="G5" i="22"/>
  <c r="H5" i="22"/>
  <c r="I5" i="22"/>
  <c r="J5" i="22"/>
  <c r="K5" i="22"/>
  <c r="L5" i="22"/>
  <c r="M5" i="22"/>
  <c r="N5" i="22"/>
  <c r="O5" i="22"/>
  <c r="R54" i="11" l="1"/>
  <c r="K54" i="11"/>
  <c r="R59" i="11"/>
  <c r="K59" i="11"/>
  <c r="J138" i="25"/>
  <c r="J134" i="25" s="1"/>
  <c r="M138" i="25"/>
  <c r="M134" i="25" s="1"/>
  <c r="N138" i="25"/>
  <c r="N134" i="25" s="1"/>
  <c r="O138" i="25"/>
  <c r="O134" i="25" s="1"/>
  <c r="G64" i="25"/>
  <c r="R64" i="25"/>
  <c r="Q64" i="25"/>
  <c r="M64" i="25"/>
  <c r="M60" i="25" s="1"/>
  <c r="P60" i="25"/>
  <c r="I134" i="25"/>
  <c r="I60" i="25"/>
  <c r="H64" i="25"/>
  <c r="T53" i="25"/>
  <c r="S54" i="25"/>
  <c r="S59" i="25"/>
  <c r="G60" i="25"/>
  <c r="P19" i="22"/>
  <c r="R64" i="11" l="1"/>
  <c r="K64" i="11"/>
  <c r="R60" i="25"/>
  <c r="S64" i="25"/>
  <c r="Q60" i="25"/>
  <c r="T54" i="25"/>
  <c r="T59" i="25"/>
  <c r="H60" i="25"/>
  <c r="G134" i="25"/>
  <c r="S121" i="22"/>
  <c r="K60" i="11" l="1"/>
  <c r="R60" i="11"/>
  <c r="T64" i="25"/>
  <c r="S60" i="25"/>
  <c r="T60" i="25" s="1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Q31" i="11"/>
  <c r="P31" i="11"/>
  <c r="G12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5" i="11"/>
  <c r="Q13" i="11"/>
  <c r="Q62" i="11"/>
  <c r="Q58" i="11"/>
  <c r="Q56" i="11"/>
  <c r="Q52" i="11"/>
  <c r="Q50" i="11"/>
  <c r="Q48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I47" i="11"/>
  <c r="Q40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43" i="11"/>
  <c r="I43" i="11"/>
  <c r="J31" i="11"/>
  <c r="I31" i="11"/>
  <c r="J58" i="11"/>
  <c r="I58" i="11"/>
  <c r="J57" i="11"/>
  <c r="I57" i="11"/>
  <c r="J56" i="11"/>
  <c r="I56" i="11"/>
  <c r="Q55" i="11"/>
  <c r="J52" i="11"/>
  <c r="I52" i="11"/>
  <c r="J51" i="11"/>
  <c r="I51" i="11"/>
  <c r="J50" i="11"/>
  <c r="I50" i="11"/>
  <c r="J49" i="11"/>
  <c r="I49" i="11"/>
  <c r="J48" i="11"/>
  <c r="I48" i="11"/>
  <c r="J47" i="11"/>
  <c r="J45" i="11"/>
  <c r="I45" i="11"/>
  <c r="J44" i="11"/>
  <c r="I44" i="11"/>
  <c r="J42" i="11"/>
  <c r="I42" i="11"/>
  <c r="J41" i="11"/>
  <c r="I41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S29" i="22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J40" i="11"/>
  <c r="I40" i="11"/>
  <c r="J30" i="11"/>
  <c r="I30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I10" i="11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L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S23" i="20" s="1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S14" i="20" s="1"/>
  <c r="G15" i="20"/>
  <c r="G16" i="20"/>
  <c r="G17" i="20"/>
  <c r="G18" i="20"/>
  <c r="S18" i="20" s="1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S17" i="20" l="1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H29" i="20"/>
  <c r="G30" i="20"/>
  <c r="K30" i="20"/>
  <c r="P29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Q48" i="19"/>
  <c r="R48" i="19"/>
  <c r="H48" i="19"/>
  <c r="G48" i="19"/>
  <c r="T48" i="11" l="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150" i="21" l="1"/>
  <c r="S10" i="20"/>
  <c r="E5" i="20"/>
  <c r="N55" i="2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S62" i="19" l="1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40" i="11" l="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T59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T64" i="11" l="1"/>
  <c r="M54" i="11"/>
  <c r="L54" i="11"/>
  <c r="M59" i="11"/>
  <c r="L59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T60" i="11" l="1"/>
  <c r="L64" i="11"/>
  <c r="M64" i="11"/>
  <c r="S153" i="19"/>
  <c r="T153" i="19" s="1"/>
  <c r="S60" i="19"/>
  <c r="T60" i="19" s="1"/>
  <c r="G14" i="2"/>
  <c r="M60" i="11" l="1"/>
  <c r="L60" i="11"/>
  <c r="G15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G252" i="2"/>
  <c r="B7" i="26" s="1"/>
  <c r="G249" i="2"/>
  <c r="G243" i="2"/>
  <c r="R8" i="26" s="1"/>
  <c r="R82" i="26" s="1"/>
  <c r="G242" i="2"/>
  <c r="Q8" i="26" s="1"/>
  <c r="Q82" i="26" s="1"/>
  <c r="G241" i="2"/>
  <c r="G240" i="2"/>
  <c r="O8" i="26" s="1"/>
  <c r="O82" i="26" s="1"/>
  <c r="G239" i="2"/>
  <c r="N8" i="26" s="1"/>
  <c r="N82" i="26" s="1"/>
  <c r="G238" i="2"/>
  <c r="M8" i="26" s="1"/>
  <c r="M82" i="26" s="1"/>
  <c r="G237" i="2"/>
  <c r="G236" i="2"/>
  <c r="K8" i="26" s="1"/>
  <c r="K82" i="26" s="1"/>
  <c r="G235" i="2"/>
  <c r="J8" i="26" s="1"/>
  <c r="J82" i="26" s="1"/>
  <c r="G234" i="2"/>
  <c r="I8" i="26" s="1"/>
  <c r="I82" i="26" s="1"/>
  <c r="G233" i="2"/>
  <c r="H8" i="26" s="1"/>
  <c r="H82" i="26" s="1"/>
  <c r="G232" i="2"/>
  <c r="G8" i="26" s="1"/>
  <c r="G82" i="26" s="1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E4" i="26" s="1"/>
  <c r="G7" i="2"/>
  <c r="E3" i="26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S385" i="6" s="1"/>
  <c r="DR386" i="6"/>
  <c r="DQ386" i="6"/>
  <c r="DP386" i="6"/>
  <c r="DO386" i="6"/>
  <c r="DO385" i="6" s="1"/>
  <c r="DN386" i="6"/>
  <c r="DM386" i="6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CV320" i="6"/>
  <c r="DE350" i="6"/>
  <c r="CZ385" i="6"/>
  <c r="DP385" i="6"/>
  <c r="CS350" i="6"/>
  <c r="DA350" i="6"/>
  <c r="DD320" i="6" l="1"/>
  <c r="CT350" i="6"/>
  <c r="DR350" i="6"/>
  <c r="B15" i="26"/>
  <c r="B89" i="26"/>
  <c r="B62" i="26"/>
  <c r="B136" i="26"/>
  <c r="B50" i="26"/>
  <c r="B124" i="26"/>
  <c r="B60" i="26"/>
  <c r="B134" i="26"/>
  <c r="B81" i="25"/>
  <c r="B81" i="26"/>
  <c r="CL320" i="6"/>
  <c r="B12" i="26"/>
  <c r="B86" i="26"/>
  <c r="B16" i="26"/>
  <c r="B90" i="26"/>
  <c r="B20" i="26"/>
  <c r="B94" i="26"/>
  <c r="B24" i="26"/>
  <c r="B98" i="26"/>
  <c r="B29" i="26"/>
  <c r="B103" i="26"/>
  <c r="B34" i="26"/>
  <c r="B108" i="26"/>
  <c r="B41" i="26"/>
  <c r="B115" i="26"/>
  <c r="B42" i="26"/>
  <c r="B116" i="26"/>
  <c r="B45" i="26"/>
  <c r="B119" i="26"/>
  <c r="B46" i="26"/>
  <c r="B120" i="26"/>
  <c r="B54" i="26"/>
  <c r="B128" i="26"/>
  <c r="B11" i="26"/>
  <c r="B85" i="26"/>
  <c r="B23" i="26"/>
  <c r="B97" i="26"/>
  <c r="B25" i="26"/>
  <c r="B99" i="26"/>
  <c r="B63" i="26"/>
  <c r="B137" i="26"/>
  <c r="B40" i="26"/>
  <c r="B114" i="26"/>
  <c r="B55" i="26"/>
  <c r="B129" i="26"/>
  <c r="B53" i="26"/>
  <c r="B127" i="26"/>
  <c r="B15" i="11"/>
  <c r="E2" i="25"/>
  <c r="E2" i="26"/>
  <c r="B10" i="26"/>
  <c r="B84" i="26"/>
  <c r="B13" i="26"/>
  <c r="B87" i="26"/>
  <c r="B17" i="26"/>
  <c r="B91" i="26"/>
  <c r="B21" i="26"/>
  <c r="B95" i="26"/>
  <c r="B26" i="26"/>
  <c r="B100" i="26"/>
  <c r="B28" i="26"/>
  <c r="B102" i="26"/>
  <c r="B32" i="26"/>
  <c r="B106" i="26"/>
  <c r="B33" i="26"/>
  <c r="B107" i="26"/>
  <c r="B37" i="26"/>
  <c r="B111" i="26"/>
  <c r="B38" i="26"/>
  <c r="B112" i="26"/>
  <c r="B39" i="26"/>
  <c r="B113" i="26"/>
  <c r="B48" i="26"/>
  <c r="B122" i="26"/>
  <c r="B56" i="26"/>
  <c r="B130" i="26"/>
  <c r="B64" i="26"/>
  <c r="B138" i="26"/>
  <c r="S7" i="25"/>
  <c r="S81" i="25" s="1"/>
  <c r="S7" i="26"/>
  <c r="S81" i="26" s="1"/>
  <c r="B19" i="26"/>
  <c r="B93" i="26"/>
  <c r="B31" i="26"/>
  <c r="B105" i="26"/>
  <c r="B49" i="26"/>
  <c r="B123" i="26"/>
  <c r="CL350" i="6"/>
  <c r="CP350" i="6"/>
  <c r="CX350" i="6"/>
  <c r="DB350" i="6"/>
  <c r="DF350" i="6"/>
  <c r="DJ350" i="6"/>
  <c r="DN350" i="6"/>
  <c r="DM385" i="6"/>
  <c r="DU385" i="6"/>
  <c r="B14" i="26"/>
  <c r="B88" i="26"/>
  <c r="B18" i="26"/>
  <c r="B92" i="26"/>
  <c r="B22" i="26"/>
  <c r="B96" i="26"/>
  <c r="B27" i="26"/>
  <c r="B101" i="26"/>
  <c r="B61" i="26"/>
  <c r="B135" i="26"/>
  <c r="B30" i="26"/>
  <c r="B104" i="26"/>
  <c r="B35" i="26"/>
  <c r="B109" i="26"/>
  <c r="B36" i="26"/>
  <c r="B110" i="26"/>
  <c r="B43" i="26"/>
  <c r="B117" i="26"/>
  <c r="B44" i="26"/>
  <c r="B118" i="26"/>
  <c r="B47" i="26"/>
  <c r="B121" i="26"/>
  <c r="B58" i="26"/>
  <c r="B132" i="26"/>
  <c r="B57" i="26"/>
  <c r="B131" i="26"/>
  <c r="B51" i="26"/>
  <c r="B125" i="26"/>
  <c r="B59" i="26"/>
  <c r="B133" i="26"/>
  <c r="B52" i="26"/>
  <c r="B126" i="26"/>
  <c r="L8" i="25"/>
  <c r="L82" i="25" s="1"/>
  <c r="L8" i="26"/>
  <c r="L82" i="26" s="1"/>
  <c r="P8" i="25"/>
  <c r="P82" i="25" s="1"/>
  <c r="P8" i="26"/>
  <c r="P82" i="26" s="1"/>
  <c r="B24" i="25"/>
  <c r="B98" i="25"/>
  <c r="B41" i="25"/>
  <c r="B115" i="25"/>
  <c r="N8" i="22"/>
  <c r="N82" i="22" s="1"/>
  <c r="N8" i="25"/>
  <c r="N82" i="25" s="1"/>
  <c r="B10" i="25"/>
  <c r="B84" i="25"/>
  <c r="B13" i="25"/>
  <c r="B87" i="25"/>
  <c r="B17" i="25"/>
  <c r="B91" i="25"/>
  <c r="B95" i="25"/>
  <c r="B21" i="25"/>
  <c r="B26" i="25"/>
  <c r="B100" i="25"/>
  <c r="B28" i="25"/>
  <c r="B102" i="25"/>
  <c r="B106" i="25"/>
  <c r="B32" i="25"/>
  <c r="B107" i="25"/>
  <c r="B33" i="25"/>
  <c r="B111" i="25"/>
  <c r="B37" i="25"/>
  <c r="B38" i="25"/>
  <c r="B112" i="25"/>
  <c r="B113" i="25"/>
  <c r="B39" i="25"/>
  <c r="B122" i="25"/>
  <c r="B48" i="25"/>
  <c r="B130" i="25"/>
  <c r="B56" i="25"/>
  <c r="B138" i="25"/>
  <c r="B64" i="25"/>
  <c r="G8" i="22"/>
  <c r="G82" i="22" s="1"/>
  <c r="G8" i="25"/>
  <c r="G82" i="25" s="1"/>
  <c r="K8" i="22"/>
  <c r="K82" i="22" s="1"/>
  <c r="K8" i="25"/>
  <c r="K82" i="25" s="1"/>
  <c r="O8" i="22"/>
  <c r="O82" i="22" s="1"/>
  <c r="O8" i="25"/>
  <c r="O82" i="25" s="1"/>
  <c r="B12" i="25"/>
  <c r="B86" i="25"/>
  <c r="B20" i="25"/>
  <c r="B94" i="25"/>
  <c r="B103" i="25"/>
  <c r="B29" i="25"/>
  <c r="B116" i="25"/>
  <c r="B42" i="25"/>
  <c r="B120" i="25"/>
  <c r="B46" i="25"/>
  <c r="B128" i="25"/>
  <c r="B54" i="25"/>
  <c r="R8" i="22"/>
  <c r="R82" i="22" s="1"/>
  <c r="R8" i="25"/>
  <c r="R82" i="25" s="1"/>
  <c r="B88" i="25"/>
  <c r="B14" i="25"/>
  <c r="B92" i="25"/>
  <c r="B18" i="25"/>
  <c r="B22" i="25"/>
  <c r="B96" i="25"/>
  <c r="B27" i="25"/>
  <c r="B101" i="25"/>
  <c r="B135" i="25"/>
  <c r="B61" i="25"/>
  <c r="B30" i="25"/>
  <c r="B104" i="25"/>
  <c r="B109" i="25"/>
  <c r="B35" i="25"/>
  <c r="B110" i="25"/>
  <c r="B36" i="25"/>
  <c r="B43" i="25"/>
  <c r="B117" i="25"/>
  <c r="B44" i="25"/>
  <c r="B118" i="25"/>
  <c r="B47" i="25"/>
  <c r="B121" i="25"/>
  <c r="B132" i="25"/>
  <c r="B58" i="25"/>
  <c r="B131" i="25"/>
  <c r="B57" i="25"/>
  <c r="B51" i="25"/>
  <c r="B125" i="25"/>
  <c r="B133" i="25"/>
  <c r="B59" i="25"/>
  <c r="B126" i="25"/>
  <c r="B52" i="25"/>
  <c r="H8" i="22"/>
  <c r="H82" i="22" s="1"/>
  <c r="H8" i="25"/>
  <c r="H82" i="25" s="1"/>
  <c r="B7" i="22"/>
  <c r="B7" i="25"/>
  <c r="B16" i="25"/>
  <c r="B90" i="25"/>
  <c r="B34" i="25"/>
  <c r="B108" i="25"/>
  <c r="B45" i="25"/>
  <c r="B119" i="25"/>
  <c r="J8" i="22"/>
  <c r="J82" i="22" s="1"/>
  <c r="J8" i="25"/>
  <c r="J82" i="25" s="1"/>
  <c r="E4" i="11"/>
  <c r="E4" i="25"/>
  <c r="B85" i="25"/>
  <c r="B11" i="25"/>
  <c r="B15" i="25"/>
  <c r="B89" i="25"/>
  <c r="B19" i="25"/>
  <c r="B93" i="25"/>
  <c r="B23" i="25"/>
  <c r="B97" i="25"/>
  <c r="B99" i="25"/>
  <c r="B25" i="25"/>
  <c r="B63" i="25"/>
  <c r="B137" i="25"/>
  <c r="B136" i="25"/>
  <c r="B62" i="25"/>
  <c r="B105" i="25"/>
  <c r="B31" i="25"/>
  <c r="B114" i="25"/>
  <c r="B40" i="25"/>
  <c r="B129" i="25"/>
  <c r="B55" i="25"/>
  <c r="B124" i="25"/>
  <c r="B50" i="25"/>
  <c r="B49" i="25"/>
  <c r="B123" i="25"/>
  <c r="B53" i="25"/>
  <c r="B127" i="25"/>
  <c r="B134" i="25"/>
  <c r="B60" i="25"/>
  <c r="I8" i="22"/>
  <c r="I82" i="22" s="1"/>
  <c r="I8" i="25"/>
  <c r="I82" i="25" s="1"/>
  <c r="M8" i="22"/>
  <c r="M82" i="22" s="1"/>
  <c r="M8" i="25"/>
  <c r="M82" i="25" s="1"/>
  <c r="Q8" i="22"/>
  <c r="Q82" i="22" s="1"/>
  <c r="Q8" i="25"/>
  <c r="Q82" i="25" s="1"/>
  <c r="E3" i="22"/>
  <c r="E3" i="25"/>
  <c r="CR385" i="6"/>
  <c r="H8" i="3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T9" i="26" s="1"/>
  <c r="T83" i="26" s="1"/>
  <c r="B63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4" i="2"/>
  <c r="CM190" i="6"/>
  <c r="CN190" i="6"/>
  <c r="CP190" i="6"/>
  <c r="CQ190" i="6"/>
  <c r="G276" i="2"/>
  <c r="G275" i="2"/>
  <c r="G270" i="2"/>
  <c r="G272" i="2"/>
  <c r="G246" i="2"/>
  <c r="R8" i="3"/>
  <c r="R8" i="11"/>
  <c r="G271" i="2"/>
  <c r="S82" i="26" l="1"/>
  <c r="S8" i="26"/>
  <c r="S82" i="25"/>
  <c r="S8" i="25"/>
  <c r="T9" i="22"/>
  <c r="T83" i="22" s="1"/>
  <c r="T9" i="25"/>
  <c r="T83" i="25" s="1"/>
  <c r="E254" i="2"/>
  <c r="G254" i="2" s="1"/>
  <c r="B7" i="11" s="1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48" i="11" s="1"/>
  <c r="S61" i="11"/>
  <c r="CU190" i="6"/>
  <c r="S64" i="1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39" i="11"/>
  <c r="S38" i="1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7" i="11"/>
  <c r="P50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5" i="2"/>
  <c r="P40" i="11"/>
  <c r="S40" i="11"/>
  <c r="CO190" i="6"/>
  <c r="P30" i="11"/>
  <c r="CU192" i="6" l="1"/>
  <c r="CT192" i="6"/>
  <c r="CN192" i="6"/>
  <c r="CW192" i="6"/>
  <c r="S53" i="11"/>
  <c r="CR192" i="6"/>
  <c r="CO192" i="6"/>
  <c r="CL190" i="6"/>
  <c r="CL192" i="6" l="1"/>
  <c r="S54" i="11" l="1"/>
  <c r="P46" i="11"/>
  <c r="I46" i="11"/>
  <c r="J46" i="11"/>
  <c r="Q103" i="25"/>
  <c r="Q127" i="25" s="1"/>
  <c r="R103" i="25"/>
  <c r="S120" i="25"/>
  <c r="T120" i="25" s="1"/>
  <c r="P103" i="25"/>
  <c r="S103" i="25" s="1"/>
  <c r="T103" i="25" s="1"/>
  <c r="R127" i="25" l="1"/>
  <c r="R133" i="25" s="1"/>
  <c r="R128" i="25"/>
  <c r="Q133" i="25"/>
  <c r="Q138" i="25" s="1"/>
  <c r="Q128" i="25"/>
  <c r="Q46" i="11"/>
  <c r="P127" i="25"/>
  <c r="R138" i="25" l="1"/>
  <c r="Q134" i="25"/>
  <c r="R134" i="25"/>
  <c r="Q29" i="11"/>
  <c r="P29" i="11"/>
  <c r="J29" i="11"/>
  <c r="I29" i="11"/>
  <c r="P133" i="25"/>
  <c r="P138" i="25" s="1"/>
  <c r="S127" i="25"/>
  <c r="T127" i="25" s="1"/>
  <c r="P128" i="25"/>
  <c r="S138" i="25" l="1"/>
  <c r="S133" i="25"/>
  <c r="T133" i="25" s="1"/>
  <c r="Q53" i="11"/>
  <c r="P53" i="11"/>
  <c r="S128" i="25"/>
  <c r="T128" i="25" s="1"/>
  <c r="I53" i="11"/>
  <c r="J53" i="11"/>
  <c r="P54" i="11" l="1"/>
  <c r="Q54" i="11"/>
  <c r="P134" i="25"/>
  <c r="I54" i="11"/>
  <c r="J54" i="11"/>
  <c r="Q59" i="11"/>
  <c r="P59" i="11"/>
  <c r="J59" i="11"/>
  <c r="I59" i="11"/>
  <c r="T138" i="25" l="1"/>
  <c r="J64" i="11"/>
  <c r="I64" i="11"/>
  <c r="S134" i="25"/>
  <c r="T134" i="25" s="1"/>
  <c r="Q64" i="11"/>
  <c r="P64" i="11"/>
  <c r="P60" i="11" l="1"/>
  <c r="Q60" i="11"/>
  <c r="J60" i="11"/>
  <c r="I60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<sst xmlns="http://schemas.openxmlformats.org/spreadsheetml/2006/main" count="1814" uniqueCount="855">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</sst>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  <numFmt numFmtId="180" formatCode="0.00,,"/>
    <numFmt numFmtId="181" formatCode="0.0000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38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3" fillId="3" borderId="0" xfId="0" applyNumberFormat="1" applyFont="1" applyFill="1" applyAlignment="1">
      <alignment vertical="center"/>
    </xf>
    <xf numFmtId="166" fontId="0" fillId="2" borderId="0" xfId="0" applyNumberFormat="1" applyFill="1" applyAlignment="1">
      <alignment vertical="center"/>
    </xf>
    <xf numFmtId="166" fontId="61" fillId="2" borderId="0" xfId="0" applyNumberFormat="1" applyFont="1" applyFill="1" applyBorder="1" applyAlignment="1">
      <alignment horizontal="center"/>
    </xf>
    <xf numFmtId="166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6" fontId="61" fillId="2" borderId="0" xfId="0" applyNumberFormat="1" applyFont="1" applyFill="1" applyBorder="1" applyAlignment="1" applyProtection="1">
      <alignment horizontal="center"/>
      <protection hidden="1"/>
    </xf>
    <xf numFmtId="166" fontId="27" fillId="9" borderId="32" xfId="0" applyNumberFormat="1" applyFont="1" applyFill="1" applyBorder="1" applyAlignment="1" applyProtection="1">
      <alignment horizontal="center" vertical="center"/>
      <protection hidden="1"/>
    </xf>
    <xf numFmtId="177" fontId="27" fillId="9" borderId="34" xfId="0" applyNumberFormat="1" applyFont="1" applyFill="1" applyBorder="1" applyAlignment="1">
      <alignment horizontal="center" vertical="center"/>
    </xf>
    <xf numFmtId="166" fontId="25" fillId="3" borderId="76" xfId="0" applyNumberFormat="1" applyFont="1" applyFill="1" applyBorder="1" applyAlignment="1" applyProtection="1">
      <alignment horizontal="center" vertical="center"/>
      <protection hidden="1"/>
    </xf>
    <xf numFmtId="166" fontId="27" fillId="9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8" xfId="1" applyNumberFormat="1" applyFont="1" applyFill="1" applyBorder="1" applyAlignment="1" applyProtection="1">
      <alignment horizontal="center" vertical="center"/>
      <protection hidden="1"/>
    </xf>
    <xf numFmtId="166" fontId="3" fillId="4" borderId="41" xfId="0" applyNumberFormat="1" applyFont="1" applyFill="1" applyBorder="1" applyAlignment="1">
      <alignment horizontal="center" vertical="center"/>
    </xf>
    <xf numFmtId="176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6" fontId="24" fillId="3" borderId="41" xfId="0" applyNumberFormat="1" applyFont="1" applyFill="1" applyBorder="1" applyAlignment="1" applyProtection="1">
      <alignment horizontal="center" vertical="center"/>
      <protection hidden="1"/>
    </xf>
    <xf numFmtId="176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6" fontId="0" fillId="2" borderId="0" xfId="0" applyNumberFormat="1" applyFill="1" applyAlignment="1" applyProtection="1">
      <alignment vertical="center"/>
      <protection hidden="1"/>
    </xf>
    <xf numFmtId="175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0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7" fontId="27" fillId="3" borderId="80" xfId="1" applyNumberFormat="1" applyFont="1" applyFill="1" applyBorder="1" applyAlignment="1" applyProtection="1">
      <alignment horizontal="center" vertical="center"/>
      <protection hidden="1"/>
    </xf>
    <xf numFmtId="167" fontId="27" fillId="3" borderId="5" xfId="1" applyNumberFormat="1" applyFont="1" applyFill="1" applyBorder="1" applyAlignment="1" applyProtection="1">
      <alignment horizontal="center" vertical="center"/>
      <protection hidden="1"/>
    </xf>
    <xf numFmtId="167" fontId="27" fillId="3" borderId="10" xfId="1" applyNumberFormat="1" applyFont="1" applyFill="1" applyBorder="1" applyAlignment="1" applyProtection="1">
      <alignment horizontal="center" vertical="center"/>
      <protection hidden="1"/>
    </xf>
    <xf numFmtId="167" fontId="27" fillId="3" borderId="15" xfId="1" applyNumberFormat="1" applyFont="1" applyFill="1" applyBorder="1" applyAlignment="1" applyProtection="1">
      <alignment horizontal="center" vertical="center"/>
      <protection hidden="1"/>
    </xf>
    <xf numFmtId="167" fontId="27" fillId="41" borderId="31" xfId="1" applyNumberFormat="1" applyFont="1" applyFill="1" applyBorder="1" applyAlignment="1" applyProtection="1">
      <alignment horizontal="center" vertical="center"/>
      <protection hidden="1"/>
    </xf>
    <xf numFmtId="167" fontId="27" fillId="9" borderId="81" xfId="1" applyNumberFormat="1" applyFont="1" applyFill="1" applyBorder="1" applyAlignment="1" applyProtection="1">
      <alignment horizontal="center" vertical="center"/>
      <protection hidden="1"/>
    </xf>
    <xf numFmtId="167" fontId="27" fillId="9" borderId="29" xfId="1" applyNumberFormat="1" applyFont="1" applyFill="1" applyBorder="1" applyAlignment="1" applyProtection="1">
      <alignment horizontal="center" vertical="center"/>
      <protection hidden="1"/>
    </xf>
    <xf numFmtId="167" fontId="65" fillId="9" borderId="15" xfId="1" applyNumberFormat="1" applyFont="1" applyFill="1" applyBorder="1" applyAlignment="1" applyProtection="1">
      <alignment horizontal="center" vertical="center"/>
      <protection hidden="1"/>
    </xf>
    <xf numFmtId="167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6" fontId="4" fillId="0" borderId="0" xfId="0" applyNumberFormat="1" applyFont="1" applyFill="1" applyBorder="1" applyAlignment="1" applyProtection="1">
      <alignment horizontal="center"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 wrapText="1"/>
      <protection hidden="1"/>
    </xf>
    <xf numFmtId="181" fontId="3" fillId="3" borderId="0" xfId="0" applyNumberFormat="1" applyFont="1" applyFill="1" applyAlignment="1">
      <alignment vertical="center"/>
    </xf>
    <xf numFmtId="166" fontId="4" fillId="0" borderId="0" xfId="0" applyNumberFormat="1" applyFont="1" applyFill="1" applyBorder="1" applyAlignment="1">
      <alignment horizontal="center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 xr:uid="{00000000-0005-0000-0000-000000000000}"/>
    <cellStyle name="1 indent 2" xfId="111" xr:uid="{00000000-0005-0000-0000-000001000000}"/>
    <cellStyle name="2 indents" xfId="43" xr:uid="{00000000-0005-0000-0000-000002000000}"/>
    <cellStyle name="2 indents 2" xfId="112" xr:uid="{00000000-0005-0000-0000-000003000000}"/>
    <cellStyle name="20% - Accent1" xfId="19" builtinId="30" customBuiltin="1"/>
    <cellStyle name="20% - Accent1 2" xfId="99" xr:uid="{00000000-0005-0000-0000-000005000000}"/>
    <cellStyle name="20% - Accent1 2 2" xfId="170" xr:uid="{00000000-0005-0000-0000-000006000000}"/>
    <cellStyle name="20% - Accent1 3" xfId="136" xr:uid="{00000000-0005-0000-0000-000007000000}"/>
    <cellStyle name="20% - Accent2" xfId="23" builtinId="34" customBuiltin="1"/>
    <cellStyle name="20% - Accent2 2" xfId="101" xr:uid="{00000000-0005-0000-0000-000009000000}"/>
    <cellStyle name="20% - Accent2 2 2" xfId="172" xr:uid="{00000000-0005-0000-0000-00000A000000}"/>
    <cellStyle name="20% - Accent2 3" xfId="138" xr:uid="{00000000-0005-0000-0000-00000B000000}"/>
    <cellStyle name="20% - Accent3" xfId="27" builtinId="38" customBuiltin="1"/>
    <cellStyle name="20% - Accent3 2" xfId="103" xr:uid="{00000000-0005-0000-0000-00000D000000}"/>
    <cellStyle name="20% - Accent3 2 2" xfId="174" xr:uid="{00000000-0005-0000-0000-00000E000000}"/>
    <cellStyle name="20% - Accent3 3" xfId="140" xr:uid="{00000000-0005-0000-0000-00000F000000}"/>
    <cellStyle name="20% - Accent4" xfId="31" builtinId="42" customBuiltin="1"/>
    <cellStyle name="20% - Accent4 2" xfId="105" xr:uid="{00000000-0005-0000-0000-000011000000}"/>
    <cellStyle name="20% - Accent4 2 2" xfId="176" xr:uid="{00000000-0005-0000-0000-000012000000}"/>
    <cellStyle name="20% - Accent4 3" xfId="142" xr:uid="{00000000-0005-0000-0000-000013000000}"/>
    <cellStyle name="20% - Accent5" xfId="35" builtinId="46" customBuiltin="1"/>
    <cellStyle name="20% - Accent5 2" xfId="107" xr:uid="{00000000-0005-0000-0000-000015000000}"/>
    <cellStyle name="20% - Accent5 2 2" xfId="178" xr:uid="{00000000-0005-0000-0000-000016000000}"/>
    <cellStyle name="20% - Accent5 3" xfId="144" xr:uid="{00000000-0005-0000-0000-000017000000}"/>
    <cellStyle name="20% - Accent6" xfId="39" builtinId="50" customBuiltin="1"/>
    <cellStyle name="20% - Accent6 2" xfId="109" xr:uid="{00000000-0005-0000-0000-000019000000}"/>
    <cellStyle name="20% - Accent6 2 2" xfId="180" xr:uid="{00000000-0005-0000-0000-00001A000000}"/>
    <cellStyle name="20% - Accent6 3" xfId="146" xr:uid="{00000000-0005-0000-0000-00001B000000}"/>
    <cellStyle name="3 indents" xfId="44" xr:uid="{00000000-0005-0000-0000-00001C000000}"/>
    <cellStyle name="3 indents 2" xfId="113" xr:uid="{00000000-0005-0000-0000-00001D000000}"/>
    <cellStyle name="4 indents" xfId="45" xr:uid="{00000000-0005-0000-0000-00001E000000}"/>
    <cellStyle name="4 indents 2" xfId="122" xr:uid="{00000000-0005-0000-0000-00001F000000}"/>
    <cellStyle name="40% - Accent1" xfId="20" builtinId="31" customBuiltin="1"/>
    <cellStyle name="40% - Accent1 2" xfId="100" xr:uid="{00000000-0005-0000-0000-000021000000}"/>
    <cellStyle name="40% - Accent1 2 2" xfId="171" xr:uid="{00000000-0005-0000-0000-000022000000}"/>
    <cellStyle name="40% - Accent1 3" xfId="137" xr:uid="{00000000-0005-0000-0000-000023000000}"/>
    <cellStyle name="40% - Accent2" xfId="24" builtinId="35" customBuiltin="1"/>
    <cellStyle name="40% - Accent2 2" xfId="102" xr:uid="{00000000-0005-0000-0000-000025000000}"/>
    <cellStyle name="40% - Accent2 2 2" xfId="173" xr:uid="{00000000-0005-0000-0000-000026000000}"/>
    <cellStyle name="40% - Accent2 3" xfId="139" xr:uid="{00000000-0005-0000-0000-000027000000}"/>
    <cellStyle name="40% - Accent3" xfId="28" builtinId="39" customBuiltin="1"/>
    <cellStyle name="40% - Accent3 2" xfId="104" xr:uid="{00000000-0005-0000-0000-000029000000}"/>
    <cellStyle name="40% - Accent3 2 2" xfId="175" xr:uid="{00000000-0005-0000-0000-00002A000000}"/>
    <cellStyle name="40% - Accent3 3" xfId="141" xr:uid="{00000000-0005-0000-0000-00002B000000}"/>
    <cellStyle name="40% - Accent4" xfId="32" builtinId="43" customBuiltin="1"/>
    <cellStyle name="40% - Accent4 2" xfId="106" xr:uid="{00000000-0005-0000-0000-00002D000000}"/>
    <cellStyle name="40% - Accent4 2 2" xfId="177" xr:uid="{00000000-0005-0000-0000-00002E000000}"/>
    <cellStyle name="40% - Accent4 3" xfId="143" xr:uid="{00000000-0005-0000-0000-00002F000000}"/>
    <cellStyle name="40% - Accent5" xfId="36" builtinId="47" customBuiltin="1"/>
    <cellStyle name="40% - Accent5 2" xfId="108" xr:uid="{00000000-0005-0000-0000-000031000000}"/>
    <cellStyle name="40% - Accent5 2 2" xfId="179" xr:uid="{00000000-0005-0000-0000-000032000000}"/>
    <cellStyle name="40% - Accent5 3" xfId="145" xr:uid="{00000000-0005-0000-0000-000033000000}"/>
    <cellStyle name="40% - Accent6" xfId="40" builtinId="51" customBuiltin="1"/>
    <cellStyle name="40% - Accent6 2" xfId="110" xr:uid="{00000000-0005-0000-0000-000035000000}"/>
    <cellStyle name="40% - Accent6 2 2" xfId="181" xr:uid="{00000000-0005-0000-0000-000036000000}"/>
    <cellStyle name="40% - Accent6 3" xfId="147" xr:uid="{00000000-0005-0000-0000-00003700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 xr:uid="{00000000-0005-0000-0000-000045000000}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 xr:uid="{00000000-0005-0000-0000-00004A000000}"/>
    <cellStyle name="Explanatory Text" xfId="16" builtinId="53" customBuiltin="1"/>
    <cellStyle name="F2" xfId="47" xr:uid="{00000000-0005-0000-0000-00004C000000}"/>
    <cellStyle name="F3" xfId="48" xr:uid="{00000000-0005-0000-0000-00004D000000}"/>
    <cellStyle name="F4" xfId="49" xr:uid="{00000000-0005-0000-0000-00004E000000}"/>
    <cellStyle name="F5" xfId="50" xr:uid="{00000000-0005-0000-0000-00004F000000}"/>
    <cellStyle name="F6" xfId="51" xr:uid="{00000000-0005-0000-0000-000050000000}"/>
    <cellStyle name="F7" xfId="52" xr:uid="{00000000-0005-0000-0000-000051000000}"/>
    <cellStyle name="F8" xfId="53" xr:uid="{00000000-0005-0000-0000-000052000000}"/>
    <cellStyle name="Fixed" xfId="54" xr:uid="{00000000-0005-0000-0000-000053000000}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 xr:uid="{00000000-0005-0000-0000-000059000000}"/>
    <cellStyle name="HEADING2" xfId="56" xr:uid="{00000000-0005-0000-0000-00005A000000}"/>
    <cellStyle name="imf-one decimal" xfId="57" xr:uid="{00000000-0005-0000-0000-00005B000000}"/>
    <cellStyle name="imf-one decimal 2" xfId="114" xr:uid="{00000000-0005-0000-0000-00005C000000}"/>
    <cellStyle name="imf-zero decimal" xfId="58" xr:uid="{00000000-0005-0000-0000-00005D000000}"/>
    <cellStyle name="imf-zero decimal 2" xfId="115" xr:uid="{00000000-0005-0000-0000-00005E000000}"/>
    <cellStyle name="Input" xfId="10" builtinId="20" customBuiltin="1"/>
    <cellStyle name="Label" xfId="59" xr:uid="{00000000-0005-0000-0000-000060000000}"/>
    <cellStyle name="Linked Cell" xfId="13" builtinId="24" customBuiltin="1"/>
    <cellStyle name="Neutral" xfId="9" builtinId="28" customBuiltin="1"/>
    <cellStyle name="Normal" xfId="0" builtinId="0"/>
    <cellStyle name="Normal - Style1" xfId="60" xr:uid="{00000000-0005-0000-0000-000064000000}"/>
    <cellStyle name="Normal - Style2" xfId="61" xr:uid="{00000000-0005-0000-0000-000065000000}"/>
    <cellStyle name="Normal - Style3" xfId="62" xr:uid="{00000000-0005-0000-0000-000066000000}"/>
    <cellStyle name="Normal 10" xfId="74" xr:uid="{00000000-0005-0000-0000-000067000000}"/>
    <cellStyle name="Normal 10 2" xfId="154" xr:uid="{00000000-0005-0000-0000-000068000000}"/>
    <cellStyle name="Normal 11" xfId="75" xr:uid="{00000000-0005-0000-0000-000069000000}"/>
    <cellStyle name="Normal 11 2" xfId="155" xr:uid="{00000000-0005-0000-0000-00006A000000}"/>
    <cellStyle name="Normal 12" xfId="76" xr:uid="{00000000-0005-0000-0000-00006B000000}"/>
    <cellStyle name="Normal 12 2" xfId="156" xr:uid="{00000000-0005-0000-0000-00006C000000}"/>
    <cellStyle name="Normal 13" xfId="77" xr:uid="{00000000-0005-0000-0000-00006D000000}"/>
    <cellStyle name="Normal 14" xfId="86" xr:uid="{00000000-0005-0000-0000-00006E000000}"/>
    <cellStyle name="Normal 14 2" xfId="157" xr:uid="{00000000-0005-0000-0000-00006F000000}"/>
    <cellStyle name="Normal 15" xfId="88" xr:uid="{00000000-0005-0000-0000-000070000000}"/>
    <cellStyle name="Normal 15 2" xfId="159" xr:uid="{00000000-0005-0000-0000-000071000000}"/>
    <cellStyle name="Normal 16" xfId="92" xr:uid="{00000000-0005-0000-0000-000072000000}"/>
    <cellStyle name="Normal 16 2" xfId="116" xr:uid="{00000000-0005-0000-0000-000073000000}"/>
    <cellStyle name="Normal 16 2 2" xfId="182" xr:uid="{00000000-0005-0000-0000-000074000000}"/>
    <cellStyle name="Normal 16 3" xfId="163" xr:uid="{00000000-0005-0000-0000-000075000000}"/>
    <cellStyle name="Normal 17" xfId="94" xr:uid="{00000000-0005-0000-0000-000076000000}"/>
    <cellStyle name="Normal 17 2" xfId="117" xr:uid="{00000000-0005-0000-0000-000077000000}"/>
    <cellStyle name="Normal 17 2 2" xfId="183" xr:uid="{00000000-0005-0000-0000-000078000000}"/>
    <cellStyle name="Normal 17 3" xfId="165" xr:uid="{00000000-0005-0000-0000-000079000000}"/>
    <cellStyle name="Normal 18" xfId="95" xr:uid="{00000000-0005-0000-0000-00007A000000}"/>
    <cellStyle name="Normal 18 2" xfId="166" xr:uid="{00000000-0005-0000-0000-00007B000000}"/>
    <cellStyle name="Normal 19" xfId="90" xr:uid="{00000000-0005-0000-0000-00007C000000}"/>
    <cellStyle name="Normal 19 2" xfId="118" xr:uid="{00000000-0005-0000-0000-00007D000000}"/>
    <cellStyle name="Normal 19 2 2" xfId="184" xr:uid="{00000000-0005-0000-0000-00007E000000}"/>
    <cellStyle name="Normal 19 3" xfId="161" xr:uid="{00000000-0005-0000-0000-00007F000000}"/>
    <cellStyle name="Normal 2" xfId="63" xr:uid="{00000000-0005-0000-0000-000080000000}"/>
    <cellStyle name="Normal 2 2" xfId="2" xr:uid="{00000000-0005-0000-0000-000081000000}"/>
    <cellStyle name="Normal 2 3" xfId="133" xr:uid="{00000000-0005-0000-0000-000082000000}"/>
    <cellStyle name="Normal 20" xfId="89" xr:uid="{00000000-0005-0000-0000-000083000000}"/>
    <cellStyle name="Normal 20 2" xfId="160" xr:uid="{00000000-0005-0000-0000-000084000000}"/>
    <cellStyle name="Normal 21" xfId="91" xr:uid="{00000000-0005-0000-0000-000085000000}"/>
    <cellStyle name="Normal 21 2" xfId="162" xr:uid="{00000000-0005-0000-0000-000086000000}"/>
    <cellStyle name="Normal 22" xfId="93" xr:uid="{00000000-0005-0000-0000-000087000000}"/>
    <cellStyle name="Normal 22 2" xfId="164" xr:uid="{00000000-0005-0000-0000-000088000000}"/>
    <cellStyle name="Normal 23" xfId="96" xr:uid="{00000000-0005-0000-0000-000089000000}"/>
    <cellStyle name="Normal 23 2" xfId="167" xr:uid="{00000000-0005-0000-0000-00008A000000}"/>
    <cellStyle name="Normal 24" xfId="97" xr:uid="{00000000-0005-0000-0000-00008B000000}"/>
    <cellStyle name="Normal 24 2" xfId="168" xr:uid="{00000000-0005-0000-0000-00008C000000}"/>
    <cellStyle name="Normal 25" xfId="82" xr:uid="{00000000-0005-0000-0000-00008D000000}"/>
    <cellStyle name="Normal 26" xfId="124" xr:uid="{00000000-0005-0000-0000-00008E000000}"/>
    <cellStyle name="Normal 27" xfId="81" xr:uid="{00000000-0005-0000-0000-00008F000000}"/>
    <cellStyle name="Normal 28" xfId="85" xr:uid="{00000000-0005-0000-0000-000090000000}"/>
    <cellStyle name="Normal 29" xfId="129" xr:uid="{00000000-0005-0000-0000-000091000000}"/>
    <cellStyle name="Normal 3" xfId="67" xr:uid="{00000000-0005-0000-0000-000092000000}"/>
    <cellStyle name="Normal 30" xfId="125" xr:uid="{00000000-0005-0000-0000-000093000000}"/>
    <cellStyle name="Normal 31" xfId="80" xr:uid="{00000000-0005-0000-0000-000094000000}"/>
    <cellStyle name="Normal 32" xfId="128" xr:uid="{00000000-0005-0000-0000-000095000000}"/>
    <cellStyle name="Normal 33" xfId="127" xr:uid="{00000000-0005-0000-0000-000096000000}"/>
    <cellStyle name="Normal 34" xfId="126" xr:uid="{00000000-0005-0000-0000-000097000000}"/>
    <cellStyle name="Normal 35" xfId="83" xr:uid="{00000000-0005-0000-0000-000098000000}"/>
    <cellStyle name="Normal 36" xfId="84" xr:uid="{00000000-0005-0000-0000-000099000000}"/>
    <cellStyle name="Normal 37" xfId="132" xr:uid="{00000000-0005-0000-0000-00009A000000}"/>
    <cellStyle name="Normal 38" xfId="134" xr:uid="{00000000-0005-0000-0000-00009B000000}"/>
    <cellStyle name="Normal 39" xfId="135" xr:uid="{00000000-0005-0000-0000-00009C000000}"/>
    <cellStyle name="Normal 4" xfId="68" xr:uid="{00000000-0005-0000-0000-00009D000000}"/>
    <cellStyle name="Normal 4 2" xfId="119" xr:uid="{00000000-0005-0000-0000-00009E000000}"/>
    <cellStyle name="Normal 4 3" xfId="148" xr:uid="{00000000-0005-0000-0000-00009F000000}"/>
    <cellStyle name="Normal 5" xfId="69" xr:uid="{00000000-0005-0000-0000-0000A0000000}"/>
    <cellStyle name="Normal 5 2" xfId="123" xr:uid="{00000000-0005-0000-0000-0000A1000000}"/>
    <cellStyle name="Normal 5 3" xfId="149" xr:uid="{00000000-0005-0000-0000-0000A2000000}"/>
    <cellStyle name="Normal 6" xfId="70" xr:uid="{00000000-0005-0000-0000-0000A3000000}"/>
    <cellStyle name="Normal 6 2" xfId="150" xr:uid="{00000000-0005-0000-0000-0000A4000000}"/>
    <cellStyle name="Normal 7" xfId="71" xr:uid="{00000000-0005-0000-0000-0000A5000000}"/>
    <cellStyle name="Normal 7 2" xfId="151" xr:uid="{00000000-0005-0000-0000-0000A6000000}"/>
    <cellStyle name="Normal 8" xfId="72" xr:uid="{00000000-0005-0000-0000-0000A7000000}"/>
    <cellStyle name="Normal 8 2" xfId="152" xr:uid="{00000000-0005-0000-0000-0000A8000000}"/>
    <cellStyle name="Normal 9" xfId="73" xr:uid="{00000000-0005-0000-0000-0000A9000000}"/>
    <cellStyle name="Normal 9 2" xfId="153" xr:uid="{00000000-0005-0000-0000-0000AA000000}"/>
    <cellStyle name="Note 2" xfId="87" xr:uid="{00000000-0005-0000-0000-0000AB000000}"/>
    <cellStyle name="Note 2 2" xfId="158" xr:uid="{00000000-0005-0000-0000-0000AC000000}"/>
    <cellStyle name="Note 3" xfId="98" xr:uid="{00000000-0005-0000-0000-0000AD000000}"/>
    <cellStyle name="Note 3 2" xfId="169" xr:uid="{00000000-0005-0000-0000-0000AE000000}"/>
    <cellStyle name="Obično_KnjigaZIKS i Min pomorstva i saobracaja" xfId="64" xr:uid="{00000000-0005-0000-0000-0000AF000000}"/>
    <cellStyle name="Output" xfId="11" builtinId="21" customBuiltin="1"/>
    <cellStyle name="Percent" xfId="1" builtinId="5"/>
    <cellStyle name="percentage difference" xfId="65" xr:uid="{00000000-0005-0000-0000-0000B2000000}"/>
    <cellStyle name="percentage difference 2" xfId="120" xr:uid="{00000000-0005-0000-0000-0000B3000000}"/>
    <cellStyle name="Publication" xfId="66" xr:uid="{00000000-0005-0000-0000-0000B4000000}"/>
    <cellStyle name="Standard_Tabellenteil in EURO" xfId="121" xr:uid="{00000000-0005-0000-0000-0000B5000000}"/>
    <cellStyle name="Title 2" xfId="79" xr:uid="{00000000-0005-0000-0000-0000B6000000}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l" eaLnBrk="1" fontAlgn="auto" latinLnBrk="0" hangingPunct="1"/>
          <a:r>
            <a:rPr lang="en-U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periodu januar - februar 2023. godine iznosili su 312,0  mil. € ili 5,1% procijenjenog BDP-a i veći su u odnosu na planirane za 31,1 mil. € ili 11,1%. U odnosu na uporedni period prethodne godine, prihodi su veći za 79,6 mil. € ili 34,2%. </a:t>
          </a:r>
        </a:p>
        <a:p>
          <a:pPr algn="l" eaLnBrk="1" fontAlgn="auto" latinLnBrk="0" hangingPunct="1"/>
          <a:endParaRPr lang="sr-Latn-RS" sz="1100" b="1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R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istom periodu iznosili su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286,3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4,6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 odnosu na planirane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izdaci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su manji za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84,1 mil. € ili 22,7% dok su udnosu na isti period 2022. godine manji za 6,5 mil. € ili 2,2%.</a:t>
          </a:r>
          <a:endParaRPr lang="sr-Latn-RS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endParaRPr lang="sr-Latn-RS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periodu januar-februar 2023. godine zabilježen je suficit budžeta u iznosu od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25,8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0,4% procijenjenog BDP-a.</a:t>
          </a:r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323851</xdr:colOff>
      <xdr:row>6</xdr:row>
      <xdr:rowOff>180976</xdr:rowOff>
    </xdr:from>
    <xdr:to>
      <xdr:col>21</xdr:col>
      <xdr:colOff>400051</xdr:colOff>
      <xdr:row>22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58426" y="1323976"/>
          <a:ext cx="3124200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4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4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5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5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6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6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7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7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8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8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2023-02</v>
      </c>
      <c r="O6" s="143" t="str">
        <f>+CONCATENATE(N6,"p")</f>
        <v>2023-02p</v>
      </c>
      <c r="P6" s="130"/>
      <c r="Q6" s="130"/>
      <c r="R6" s="143" t="str">
        <f>+IF(Master!B3-10&gt;=0,CONCATENATE(Master!B4-1,"-",Master!B3),CONCATENATE(Master!B4-1,"-0",Master!B3))</f>
        <v>2022-02</v>
      </c>
      <c r="S6" s="130"/>
      <c r="T6" s="130"/>
    </row>
    <row r="7" spans="1:20">
      <c r="A7" s="144"/>
      <c r="B7" s="550" t="s">
        <v>691</v>
      </c>
      <c r="C7" s="551"/>
      <c r="D7" s="551"/>
      <c r="E7" s="551"/>
      <c r="F7" s="551"/>
      <c r="G7" s="559" t="s">
        <v>690</v>
      </c>
      <c r="H7" s="560"/>
      <c r="I7" s="560"/>
      <c r="J7" s="560"/>
      <c r="K7" s="560"/>
      <c r="L7" s="560"/>
      <c r="M7" s="561"/>
      <c r="N7" s="562" t="str">
        <f>+Master!G243</f>
        <v>Decembar</v>
      </c>
      <c r="O7" s="560"/>
      <c r="P7" s="560"/>
      <c r="Q7" s="560"/>
      <c r="R7" s="560"/>
      <c r="S7" s="560"/>
      <c r="T7" s="563"/>
    </row>
    <row r="8" spans="1:20">
      <c r="A8" s="144"/>
      <c r="B8" s="552"/>
      <c r="C8" s="553"/>
      <c r="D8" s="553"/>
      <c r="E8" s="553"/>
      <c r="F8" s="554"/>
      <c r="G8" s="145" t="str">
        <f>+Master!G26</f>
        <v>Ostvarenje</v>
      </c>
      <c r="H8" s="145" t="str">
        <f>+Master!G25</f>
        <v>Plan</v>
      </c>
      <c r="I8" s="548" t="str">
        <f>+Master!G261</f>
        <v>Odstupanje</v>
      </c>
      <c r="J8" s="548"/>
      <c r="K8" s="145" t="str">
        <f>+CONCATENATE(Master!G246," ",Master!B4-1)</f>
        <v>Jan - Feb 2022</v>
      </c>
      <c r="L8" s="548" t="str">
        <f>+I8</f>
        <v>Odstupanje</v>
      </c>
      <c r="M8" s="558"/>
      <c r="N8" s="146" t="str">
        <f>+G8</f>
        <v>Ostvarenje</v>
      </c>
      <c r="O8" s="145" t="str">
        <f>+H8</f>
        <v>Plan</v>
      </c>
      <c r="P8" s="548" t="str">
        <f>+I8</f>
        <v>Odstupanje</v>
      </c>
      <c r="Q8" s="548"/>
      <c r="R8" s="145" t="str">
        <f>+CONCATENATE(Master!G245," ",Master!B4-1)</f>
        <v>Februar 2022</v>
      </c>
      <c r="S8" s="548" t="str">
        <f>+P8</f>
        <v>Odstupanje</v>
      </c>
      <c r="T8" s="549"/>
    </row>
    <row r="9" spans="1:20" ht="15.75" thickBot="1">
      <c r="A9" s="144"/>
      <c r="B9" s="555"/>
      <c r="C9" s="556"/>
      <c r="D9" s="556"/>
      <c r="E9" s="556"/>
      <c r="F9" s="557"/>
      <c r="G9" s="139" t="s">
        <v>417</v>
      </c>
      <c r="H9" s="139" t="s">
        <v>417</v>
      </c>
      <c r="I9" s="139" t="s">
        <v>417</v>
      </c>
      <c r="J9" s="139" t="s">
        <v>678</v>
      </c>
      <c r="K9" s="139" t="s">
        <v>417</v>
      </c>
      <c r="L9" s="139" t="s">
        <v>417</v>
      </c>
      <c r="M9" s="147" t="s">
        <v>678</v>
      </c>
      <c r="N9" s="148" t="s">
        <v>417</v>
      </c>
      <c r="O9" s="139" t="s">
        <v>417</v>
      </c>
      <c r="P9" s="139" t="s">
        <v>417</v>
      </c>
      <c r="Q9" s="139" t="s">
        <v>678</v>
      </c>
      <c r="R9" s="139" t="s">
        <v>417</v>
      </c>
      <c r="S9" s="139" t="s">
        <v>417</v>
      </c>
      <c r="T9" s="149" t="s">
        <v>678</v>
      </c>
    </row>
    <row r="10" spans="1:20" ht="15.75" thickBot="1">
      <c r="A10" s="150">
        <v>7</v>
      </c>
      <c r="B10" s="518" t="str">
        <f>+VLOOKUP($A10,Master!$D$30:$G$226,4,FALSE)</f>
        <v>Prihodi budžeta</v>
      </c>
      <c r="C10" s="519"/>
      <c r="D10" s="519"/>
      <c r="E10" s="519"/>
      <c r="F10" s="519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20" t="str">
        <f>+VLOOKUP($A11,Master!$D$30:$G$226,4,FALSE)</f>
        <v>Porezi</v>
      </c>
      <c r="C11" s="521"/>
      <c r="D11" s="521"/>
      <c r="E11" s="521"/>
      <c r="F11" s="521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22" t="str">
        <f>+VLOOKUP($A12,Master!$D$30:$G$226,4,FALSE)</f>
        <v>Porez na dohodak fizičkih lica</v>
      </c>
      <c r="C12" s="523"/>
      <c r="D12" s="523"/>
      <c r="E12" s="523"/>
      <c r="F12" s="523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22" t="str">
        <f>+VLOOKUP($A13,Master!$D$30:$G$226,4,FALSE)</f>
        <v>Porez na dobit pravnih lica</v>
      </c>
      <c r="C13" s="523"/>
      <c r="D13" s="523"/>
      <c r="E13" s="523"/>
      <c r="F13" s="523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22" t="str">
        <f>+VLOOKUP($A14,Master!$D$30:$G$226,4,FALSE)</f>
        <v>Porez na promet nepokretnosti</v>
      </c>
      <c r="C14" s="523"/>
      <c r="D14" s="523"/>
      <c r="E14" s="523"/>
      <c r="F14" s="523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22" t="str">
        <f>+VLOOKUP($A15,Master!$D$30:$G$226,4,FALSE)</f>
        <v>Porez na dodatu vrijednost</v>
      </c>
      <c r="C15" s="523"/>
      <c r="D15" s="523"/>
      <c r="E15" s="523"/>
      <c r="F15" s="523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22" t="str">
        <f>+VLOOKUP($A16,Master!$D$30:$G$226,4,FALSE)</f>
        <v>Akcize</v>
      </c>
      <c r="C16" s="523"/>
      <c r="D16" s="523"/>
      <c r="E16" s="523"/>
      <c r="F16" s="523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22" t="str">
        <f>+VLOOKUP($A17,Master!$D$30:$G$226,4,FALSE)</f>
        <v>Porez na međunarodnu trgovinu i transakcije</v>
      </c>
      <c r="C17" s="523"/>
      <c r="D17" s="523"/>
      <c r="E17" s="523"/>
      <c r="F17" s="523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22" t="e">
        <f>+VLOOKUP($A18,Master!$D$30:$G$226,4,FALSE)</f>
        <v>#N/A</v>
      </c>
      <c r="C18" s="523"/>
      <c r="D18" s="523"/>
      <c r="E18" s="523"/>
      <c r="F18" s="523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22" t="str">
        <f>+VLOOKUP($A19,Master!$D$30:$G$226,4,FALSE)</f>
        <v>Ostali državni porezi</v>
      </c>
      <c r="C19" s="523"/>
      <c r="D19" s="523"/>
      <c r="E19" s="523"/>
      <c r="F19" s="523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26" t="str">
        <f>+VLOOKUP($A20,Master!$D$30:$G$226,4,FALSE)</f>
        <v>Doprinosi</v>
      </c>
      <c r="C20" s="527"/>
      <c r="D20" s="527"/>
      <c r="E20" s="527"/>
      <c r="F20" s="527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22" t="str">
        <f>+VLOOKUP($A21,Master!$D$30:$G$226,4,FALSE)</f>
        <v>Doprinosi za penzijsko i invalidsko osiguranje</v>
      </c>
      <c r="C21" s="523"/>
      <c r="D21" s="523"/>
      <c r="E21" s="523"/>
      <c r="F21" s="523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22" t="str">
        <f>+VLOOKUP($A22,Master!$D$30:$G$226,4,FALSE)</f>
        <v>Doprinosi za zdravstveno osiguranje</v>
      </c>
      <c r="C22" s="523"/>
      <c r="D22" s="523"/>
      <c r="E22" s="523"/>
      <c r="F22" s="523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22" t="str">
        <f>+VLOOKUP($A23,Master!$D$30:$G$226,4,FALSE)</f>
        <v>Doprinosi za osiguranje od nezaposlenosti</v>
      </c>
      <c r="C23" s="523"/>
      <c r="D23" s="523"/>
      <c r="E23" s="523"/>
      <c r="F23" s="523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22" t="str">
        <f>+VLOOKUP($A24,Master!$D$30:$G$226,4,FALSE)</f>
        <v>Ostali doprinosi</v>
      </c>
      <c r="C24" s="523"/>
      <c r="D24" s="523"/>
      <c r="E24" s="523"/>
      <c r="F24" s="523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24" t="str">
        <f>+VLOOKUP($A25,Master!$D$30:$G$226,4,FALSE)</f>
        <v>Takse</v>
      </c>
      <c r="C25" s="525"/>
      <c r="D25" s="525"/>
      <c r="E25" s="525"/>
      <c r="F25" s="525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24" t="str">
        <f>+VLOOKUP($A26,Master!$D$30:$G$226,4,FALSE)</f>
        <v>Naknade</v>
      </c>
      <c r="C26" s="525"/>
      <c r="D26" s="525"/>
      <c r="E26" s="525"/>
      <c r="F26" s="525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24" t="str">
        <f>+VLOOKUP($A27,Master!$D$30:$G$226,4,FALSE)</f>
        <v>Ostali prihodi</v>
      </c>
      <c r="C27" s="525"/>
      <c r="D27" s="525"/>
      <c r="E27" s="525"/>
      <c r="F27" s="525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24" t="str">
        <f>+VLOOKUP($A28,Master!$D$30:$G$226,4,FALSE)</f>
        <v>Primici od otplate kredita i sredstva prenesena iz prethodne godine</v>
      </c>
      <c r="C28" s="525"/>
      <c r="D28" s="525"/>
      <c r="E28" s="525"/>
      <c r="F28" s="525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28" t="str">
        <f>+VLOOKUP($A29,Master!$D$30:$G$226,4,FALSE)</f>
        <v>Donacije i transferi</v>
      </c>
      <c r="C29" s="529"/>
      <c r="D29" s="529"/>
      <c r="E29" s="529"/>
      <c r="F29" s="529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30" t="str">
        <f>+VLOOKUP($A30,Master!$D$30:$G$226,4,FALSE)</f>
        <v>Izdaci budžeta</v>
      </c>
      <c r="C30" s="531"/>
      <c r="D30" s="531"/>
      <c r="E30" s="531"/>
      <c r="F30" s="531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32" t="str">
        <f>+VLOOKUP($A31,Master!$D$30:$G$226,4,FALSE)</f>
        <v>Tekući izdaci</v>
      </c>
      <c r="C31" s="533"/>
      <c r="D31" s="533"/>
      <c r="E31" s="533"/>
      <c r="F31" s="533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34" t="str">
        <f>+VLOOKUP($A32,Master!$D$30:$G$226,4,FALSE)</f>
        <v>Tekuća budžetska potrošnja</v>
      </c>
      <c r="C32" s="535"/>
      <c r="D32" s="535"/>
      <c r="E32" s="535"/>
      <c r="F32" s="535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22" t="str">
        <f>+VLOOKUP($A33,Master!$D$30:$G$226,4,FALSE)</f>
        <v>Bruto zarade i doprinosi na teret poslodavca</v>
      </c>
      <c r="C33" s="523"/>
      <c r="D33" s="523"/>
      <c r="E33" s="523"/>
      <c r="F33" s="523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22" t="str">
        <f>+VLOOKUP($A34,Master!$D$30:$G$226,4,FALSE)</f>
        <v>Ostala lična primanja</v>
      </c>
      <c r="C34" s="523"/>
      <c r="D34" s="523"/>
      <c r="E34" s="523"/>
      <c r="F34" s="523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22" t="str">
        <f>+VLOOKUP($A35,Master!$D$30:$G$226,4,FALSE)</f>
        <v>Rashodi za materijal</v>
      </c>
      <c r="C35" s="523"/>
      <c r="D35" s="523"/>
      <c r="E35" s="523"/>
      <c r="F35" s="523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22" t="str">
        <f>+VLOOKUP($A36,Master!$D$30:$G$226,4,FALSE)</f>
        <v>Rashodi za usluge</v>
      </c>
      <c r="C36" s="523"/>
      <c r="D36" s="523"/>
      <c r="E36" s="523"/>
      <c r="F36" s="523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22" t="str">
        <f>+VLOOKUP($A37,Master!$D$30:$G$226,4,FALSE)</f>
        <v>Rashodi za tekuće održavanje</v>
      </c>
      <c r="C37" s="523"/>
      <c r="D37" s="523"/>
      <c r="E37" s="523"/>
      <c r="F37" s="523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22" t="str">
        <f>+VLOOKUP($A38,Master!$D$30:$G$226,4,FALSE)</f>
        <v>Kamate</v>
      </c>
      <c r="C38" s="523"/>
      <c r="D38" s="523"/>
      <c r="E38" s="523"/>
      <c r="F38" s="523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22" t="str">
        <f>+VLOOKUP($A39,Master!$D$30:$G$226,4,FALSE)</f>
        <v>Renta</v>
      </c>
      <c r="C39" s="523"/>
      <c r="D39" s="523"/>
      <c r="E39" s="523"/>
      <c r="F39" s="523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22" t="str">
        <f>+VLOOKUP($A40,Master!$D$30:$G$226,4,FALSE)</f>
        <v>Subvencije</v>
      </c>
      <c r="C40" s="523"/>
      <c r="D40" s="523"/>
      <c r="E40" s="523"/>
      <c r="F40" s="523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22" t="str">
        <f>+VLOOKUP($A41,Master!$D$30:$G$226,4,FALSE)</f>
        <v>Ostali izdaci</v>
      </c>
      <c r="C41" s="523"/>
      <c r="D41" s="523"/>
      <c r="E41" s="523"/>
      <c r="F41" s="523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22" t="e">
        <f>+VLOOKUP($A42,Master!$D$30:$G$226,4,FALSE)</f>
        <v>#N/A</v>
      </c>
      <c r="C42" s="523"/>
      <c r="D42" s="523"/>
      <c r="E42" s="523"/>
      <c r="F42" s="523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38" t="str">
        <f>+VLOOKUP($A43,Master!$D$30:$G$226,4,FALSE)</f>
        <v>Transferi za socijalnu zaštitu</v>
      </c>
      <c r="C43" s="539"/>
      <c r="D43" s="539"/>
      <c r="E43" s="539"/>
      <c r="F43" s="539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22" t="str">
        <f>+VLOOKUP($A44,Master!$D$30:$G$226,4,FALSE)</f>
        <v>Prava iz oblasti socijalne zaštite</v>
      </c>
      <c r="C44" s="523"/>
      <c r="D44" s="523"/>
      <c r="E44" s="523"/>
      <c r="F44" s="523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22" t="str">
        <f>+VLOOKUP($A45,Master!$D$30:$G$226,4,FALSE)</f>
        <v>Sredstva za tehnološke viškove</v>
      </c>
      <c r="C45" s="523"/>
      <c r="D45" s="523"/>
      <c r="E45" s="523"/>
      <c r="F45" s="523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22" t="str">
        <f>+VLOOKUP($A46,Master!$D$30:$G$226,4,FALSE)</f>
        <v>Prava iz oblasti penzijskog i invalidskog osiguranja</v>
      </c>
      <c r="C46" s="523"/>
      <c r="D46" s="523"/>
      <c r="E46" s="523"/>
      <c r="F46" s="523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22" t="str">
        <f>+VLOOKUP($A47,Master!$D$30:$G$226,4,FALSE)</f>
        <v>Ostala prava iz oblasti zdravstvene zaštite</v>
      </c>
      <c r="C47" s="523"/>
      <c r="D47" s="523"/>
      <c r="E47" s="523"/>
      <c r="F47" s="523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22" t="str">
        <f>+VLOOKUP($A48,Master!$D$30:$G$226,4,FALSE)</f>
        <v>Ostala prava iz zdravstvenog osiguranja</v>
      </c>
      <c r="C48" s="523"/>
      <c r="D48" s="523"/>
      <c r="E48" s="523"/>
      <c r="F48" s="523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36" t="str">
        <f>+VLOOKUP($A49,Master!$D$30:$G$226,4,FALSE)</f>
        <v xml:space="preserve">Transferi institucijama, pojedincima, nevladinom i javnom sektoru </v>
      </c>
      <c r="C49" s="537"/>
      <c r="D49" s="537"/>
      <c r="E49" s="537"/>
      <c r="F49" s="537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36" t="str">
        <f>+VLOOKUP($A50,Master!$D$30:$G$226,4,FALSE)</f>
        <v>Kapitalni izdaci</v>
      </c>
      <c r="C50" s="537"/>
      <c r="D50" s="537"/>
      <c r="E50" s="537"/>
      <c r="F50" s="537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40" t="str">
        <f>+VLOOKUP($A51,Master!$D$30:$G$226,4,FALSE)</f>
        <v>Pozajmice i krediti</v>
      </c>
      <c r="C51" s="541"/>
      <c r="D51" s="541"/>
      <c r="E51" s="541"/>
      <c r="F51" s="541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40" t="str">
        <f>+VLOOKUP($A52,Master!$D$30:$G$226,4,FALSE)</f>
        <v>Rezerve</v>
      </c>
      <c r="C52" s="541"/>
      <c r="D52" s="541"/>
      <c r="E52" s="541"/>
      <c r="F52" s="541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42" t="str">
        <f>+VLOOKUP($A53,Master!$D$30:$G$226,4,FALSE)</f>
        <v>Otplata garancija</v>
      </c>
      <c r="C53" s="543"/>
      <c r="D53" s="543"/>
      <c r="E53" s="543"/>
      <c r="F53" s="543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42" t="str">
        <f>+VLOOKUP($A54,Master!$D$30:$G$226,4,FALSE)</f>
        <v>Otplata obaveza iz prethodnog perioda</v>
      </c>
      <c r="C54" s="543"/>
      <c r="D54" s="543"/>
      <c r="E54" s="543"/>
      <c r="F54" s="543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42" t="str">
        <f>+VLOOKUP($A55,Master!$D$30:$G$228,4,FALSE)</f>
        <v>Neto povećanje obaveza</v>
      </c>
      <c r="C55" s="543"/>
      <c r="D55" s="543"/>
      <c r="E55" s="543"/>
      <c r="F55" s="543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44" t="str">
        <f>+VLOOKUP($A56,Master!$D$30:$G$226,4,FALSE)</f>
        <v>Suficit / deficit</v>
      </c>
      <c r="C56" s="545"/>
      <c r="D56" s="545"/>
      <c r="E56" s="545"/>
      <c r="F56" s="545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46" t="str">
        <f>+VLOOKUP($A57,Master!$D$30:$G$226,4,FALSE)</f>
        <v>Primarni suficit/deficit</v>
      </c>
      <c r="C57" s="547"/>
      <c r="D57" s="547"/>
      <c r="E57" s="547"/>
      <c r="F57" s="547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38" t="str">
        <f>+VLOOKUP($A58,Master!$D$30:$G$226,4,FALSE)</f>
        <v>Otplata dugova</v>
      </c>
      <c r="C58" s="539"/>
      <c r="D58" s="539"/>
      <c r="E58" s="539"/>
      <c r="F58" s="539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64" t="str">
        <f>+VLOOKUP($A59,Master!$D$30:$G$226,4,FALSE)</f>
        <v>Otplata hartija od vrijednosti i kredita rezidentima</v>
      </c>
      <c r="C59" s="565"/>
      <c r="D59" s="565"/>
      <c r="E59" s="565"/>
      <c r="F59" s="565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40" t="str">
        <f>+VLOOKUP($A60,Master!$D$30:$G$226,4,FALSE)</f>
        <v>Otplata hartija od vrijednosti i kredita nerezidentima</v>
      </c>
      <c r="C60" s="541"/>
      <c r="D60" s="541"/>
      <c r="E60" s="541"/>
      <c r="F60" s="541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683</v>
      </c>
      <c r="B61" s="254" t="str">
        <f>+B54</f>
        <v>Otplata obaveza iz prethodnog perioda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66" t="str">
        <f>+VLOOKUP($A62,Master!$D$30:$G$226,4,FALSE)</f>
        <v>Nedostajuća sredstva</v>
      </c>
      <c r="C62" s="567"/>
      <c r="D62" s="567"/>
      <c r="E62" s="567"/>
      <c r="F62" s="567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30" t="str">
        <f>+VLOOKUP($A63,Master!$D$30:$G$226,4,FALSE)</f>
        <v>Finansiranje</v>
      </c>
      <c r="C63" s="531"/>
      <c r="D63" s="531"/>
      <c r="E63" s="531"/>
      <c r="F63" s="531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64" t="str">
        <f>+VLOOKUP($A64,Master!$D$30:$G$226,4,FALSE)</f>
        <v>Pozajmice i krediti od domaćih izvora</v>
      </c>
      <c r="C64" s="565"/>
      <c r="D64" s="565"/>
      <c r="E64" s="565"/>
      <c r="F64" s="565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40" t="str">
        <f>+VLOOKUP($A65,Master!$D$30:$G$226,4,FALSE)</f>
        <v>Pozajmice i krediti od inostranih izvora</v>
      </c>
      <c r="C65" s="541"/>
      <c r="D65" s="541"/>
      <c r="E65" s="541"/>
      <c r="F65" s="541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40" t="str">
        <f>+VLOOKUP($A66,Master!$D$30:$G$226,4,FALSE)</f>
        <v>Primici od prodaje imovine</v>
      </c>
      <c r="C66" s="541"/>
      <c r="D66" s="541"/>
      <c r="E66" s="541"/>
      <c r="F66" s="541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+VLOOKUP($A67,Master!$D$30:$G$226,4,FALSE)</f>
        <v>Povećanje / smanjenje depozita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0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37" t="s">
        <v>554</v>
      </c>
      <c r="F6" s="635">
        <v>2006</v>
      </c>
      <c r="G6" s="634"/>
      <c r="H6" s="634"/>
      <c r="I6" s="634"/>
      <c r="J6" s="634"/>
      <c r="K6" s="634"/>
      <c r="L6" s="634"/>
      <c r="M6" s="634"/>
      <c r="N6" s="634"/>
      <c r="O6" s="634"/>
      <c r="P6" s="634"/>
      <c r="Q6" s="636"/>
      <c r="R6" s="635">
        <v>2007</v>
      </c>
      <c r="S6" s="634"/>
      <c r="T6" s="634"/>
      <c r="U6" s="634"/>
      <c r="V6" s="634"/>
      <c r="W6" s="634"/>
      <c r="X6" s="634"/>
      <c r="Y6" s="634"/>
      <c r="Z6" s="634"/>
      <c r="AA6" s="634"/>
      <c r="AB6" s="634"/>
      <c r="AC6" s="636"/>
      <c r="AD6" s="635">
        <v>2008</v>
      </c>
      <c r="AE6" s="634"/>
      <c r="AF6" s="634"/>
      <c r="AG6" s="634"/>
      <c r="AH6" s="634"/>
      <c r="AI6" s="634"/>
      <c r="AJ6" s="634"/>
      <c r="AK6" s="634"/>
      <c r="AL6" s="634"/>
      <c r="AM6" s="634"/>
      <c r="AN6" s="634"/>
      <c r="AO6" s="636"/>
      <c r="AP6" s="635">
        <v>2009</v>
      </c>
      <c r="AQ6" s="634"/>
      <c r="AR6" s="634"/>
      <c r="AS6" s="634"/>
      <c r="AT6" s="634"/>
      <c r="AU6" s="634"/>
      <c r="AV6" s="634"/>
      <c r="AW6" s="634"/>
      <c r="AX6" s="634"/>
      <c r="AY6" s="634"/>
      <c r="AZ6" s="634"/>
      <c r="BA6" s="636"/>
      <c r="BB6" s="635">
        <v>2010</v>
      </c>
      <c r="BC6" s="634"/>
      <c r="BD6" s="634"/>
      <c r="BE6" s="634"/>
      <c r="BF6" s="634"/>
      <c r="BG6" s="634"/>
      <c r="BH6" s="634"/>
      <c r="BI6" s="634"/>
      <c r="BJ6" s="634"/>
      <c r="BK6" s="634"/>
      <c r="BL6" s="634"/>
      <c r="BM6" s="636"/>
      <c r="BN6" s="635">
        <v>2011</v>
      </c>
      <c r="BO6" s="634"/>
      <c r="BP6" s="634"/>
      <c r="BQ6" s="634"/>
      <c r="BR6" s="634"/>
      <c r="BS6" s="634"/>
      <c r="BT6" s="634"/>
      <c r="BU6" s="634"/>
      <c r="BV6" s="634"/>
      <c r="BW6" s="634"/>
      <c r="BX6" s="634"/>
      <c r="BY6" s="636"/>
      <c r="BZ6" s="634">
        <v>2012</v>
      </c>
      <c r="CA6" s="634"/>
      <c r="CB6" s="634"/>
      <c r="CC6" s="634"/>
      <c r="CD6" s="634"/>
      <c r="CE6" s="634"/>
      <c r="CF6" s="634"/>
      <c r="CG6" s="634"/>
      <c r="CH6" s="634"/>
      <c r="CI6" s="634"/>
      <c r="CJ6" s="634"/>
      <c r="CK6" s="634"/>
      <c r="CL6" s="635">
        <v>2013</v>
      </c>
      <c r="CM6" s="634"/>
      <c r="CN6" s="634"/>
      <c r="CO6" s="634"/>
      <c r="CP6" s="634"/>
      <c r="CQ6" s="634"/>
      <c r="CR6" s="634"/>
      <c r="CS6" s="634"/>
      <c r="CT6" s="634"/>
      <c r="CU6" s="634"/>
      <c r="CV6" s="634"/>
      <c r="CW6" s="636"/>
      <c r="CX6" s="635">
        <v>2014</v>
      </c>
      <c r="CY6" s="634"/>
      <c r="CZ6" s="634"/>
      <c r="DA6" s="634"/>
      <c r="DB6" s="634"/>
      <c r="DC6" s="634"/>
      <c r="DD6" s="634"/>
      <c r="DE6" s="634"/>
      <c r="DF6" s="634"/>
      <c r="DG6" s="634"/>
      <c r="DH6" s="634"/>
      <c r="DI6" s="636"/>
      <c r="DJ6" s="635">
        <v>2015</v>
      </c>
      <c r="DK6" s="634"/>
      <c r="DL6" s="634"/>
      <c r="DM6" s="634"/>
      <c r="DN6" s="634"/>
      <c r="DO6" s="634"/>
      <c r="DP6" s="634"/>
      <c r="DQ6" s="634"/>
      <c r="DR6" s="634"/>
      <c r="DS6" s="634"/>
      <c r="DT6" s="634"/>
      <c r="DU6" s="636"/>
    </row>
    <row r="7" spans="1:321">
      <c r="E7" s="637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692</v>
      </c>
      <c r="DW7" s="42" t="s">
        <v>693</v>
      </c>
      <c r="DX7" s="42" t="s">
        <v>694</v>
      </c>
      <c r="DY7" s="42" t="s">
        <v>695</v>
      </c>
      <c r="DZ7" s="42" t="s">
        <v>696</v>
      </c>
      <c r="EA7" s="42" t="s">
        <v>697</v>
      </c>
      <c r="EB7" s="42" t="s">
        <v>698</v>
      </c>
      <c r="EC7" s="42" t="s">
        <v>699</v>
      </c>
      <c r="ED7" s="42" t="s">
        <v>700</v>
      </c>
      <c r="EE7" s="42" t="s">
        <v>701</v>
      </c>
      <c r="EF7" s="42" t="s">
        <v>702</v>
      </c>
      <c r="EG7" s="42" t="s">
        <v>703</v>
      </c>
      <c r="EH7" s="42" t="s">
        <v>723</v>
      </c>
      <c r="EI7" s="42" t="s">
        <v>724</v>
      </c>
      <c r="EJ7" s="42" t="s">
        <v>725</v>
      </c>
      <c r="EK7" s="42" t="s">
        <v>726</v>
      </c>
      <c r="EL7" s="42" t="s">
        <v>727</v>
      </c>
      <c r="EM7" s="42" t="s">
        <v>728</v>
      </c>
      <c r="EN7" s="42" t="s">
        <v>729</v>
      </c>
      <c r="EO7" s="42" t="s">
        <v>730</v>
      </c>
      <c r="EP7" s="42" t="s">
        <v>731</v>
      </c>
      <c r="EQ7" s="42" t="s">
        <v>732</v>
      </c>
      <c r="ER7" s="42" t="s">
        <v>733</v>
      </c>
      <c r="ES7" s="42" t="s">
        <v>734</v>
      </c>
      <c r="ET7" s="316" t="s">
        <v>741</v>
      </c>
      <c r="EU7" s="316" t="s">
        <v>742</v>
      </c>
      <c r="EV7" s="316" t="s">
        <v>743</v>
      </c>
      <c r="EW7" s="316" t="s">
        <v>744</v>
      </c>
      <c r="EX7" s="316" t="s">
        <v>745</v>
      </c>
      <c r="EY7" s="316" t="s">
        <v>746</v>
      </c>
      <c r="EZ7" s="316" t="s">
        <v>747</v>
      </c>
      <c r="FA7" s="316" t="s">
        <v>748</v>
      </c>
      <c r="FB7" s="316" t="s">
        <v>749</v>
      </c>
      <c r="FC7" s="316" t="s">
        <v>750</v>
      </c>
      <c r="FD7" s="316" t="s">
        <v>751</v>
      </c>
      <c r="FE7" s="316" t="s">
        <v>752</v>
      </c>
      <c r="FF7" s="316" t="s">
        <v>757</v>
      </c>
      <c r="FG7" s="316" t="s">
        <v>758</v>
      </c>
      <c r="FH7" s="316" t="s">
        <v>759</v>
      </c>
      <c r="FI7" s="316" t="s">
        <v>760</v>
      </c>
      <c r="FJ7" s="316" t="s">
        <v>761</v>
      </c>
      <c r="FK7" s="316" t="s">
        <v>762</v>
      </c>
      <c r="FL7" s="316" t="s">
        <v>763</v>
      </c>
      <c r="FM7" s="316" t="s">
        <v>764</v>
      </c>
      <c r="FN7" s="316" t="s">
        <v>765</v>
      </c>
      <c r="FO7" s="316" t="s">
        <v>766</v>
      </c>
      <c r="FP7" s="316" t="s">
        <v>767</v>
      </c>
      <c r="FQ7" s="316" t="s">
        <v>768</v>
      </c>
      <c r="FR7" s="316" t="s">
        <v>776</v>
      </c>
      <c r="FS7" s="316" t="s">
        <v>777</v>
      </c>
      <c r="FT7" s="316" t="s">
        <v>778</v>
      </c>
      <c r="FU7" s="316" t="s">
        <v>779</v>
      </c>
      <c r="FV7" s="316" t="s">
        <v>780</v>
      </c>
      <c r="FW7" s="316" t="s">
        <v>781</v>
      </c>
      <c r="FX7" s="316" t="s">
        <v>782</v>
      </c>
      <c r="FY7" s="316" t="s">
        <v>783</v>
      </c>
      <c r="FZ7" s="316" t="s">
        <v>784</v>
      </c>
      <c r="GA7" s="316" t="s">
        <v>785</v>
      </c>
      <c r="GB7" s="316" t="s">
        <v>786</v>
      </c>
      <c r="GC7" s="316" t="s">
        <v>787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0">
        <v>79855347.849999994</v>
      </c>
      <c r="EU9" s="350">
        <v>106190042</v>
      </c>
      <c r="EV9" s="350">
        <v>137417391.37</v>
      </c>
      <c r="EW9" s="350">
        <v>147833434.00999999</v>
      </c>
      <c r="EX9" s="350">
        <v>135934065.38</v>
      </c>
      <c r="EY9" s="334"/>
      <c r="EZ9" s="334"/>
      <c r="FA9" s="334"/>
      <c r="FB9" s="334"/>
      <c r="FC9" s="334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1">
        <v>60295851.509999998</v>
      </c>
      <c r="EU10" s="351">
        <v>64797597.329999998</v>
      </c>
      <c r="EV10" s="351">
        <v>89261850.609999999</v>
      </c>
      <c r="EW10" s="351">
        <v>97799793.079999998</v>
      </c>
      <c r="EX10" s="351">
        <v>90553351.069999993</v>
      </c>
      <c r="EY10" s="351">
        <v>87503254.430000007</v>
      </c>
      <c r="EZ10" s="351">
        <v>105015545.47</v>
      </c>
      <c r="FA10" s="351">
        <v>107951400.73999999</v>
      </c>
      <c r="FB10" s="351">
        <v>102839740.52</v>
      </c>
      <c r="FC10" s="351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1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1">
        <f t="shared" ref="FR10:GC10" si="2">SUM(FR11:FR17)</f>
        <v>73320205.209999993</v>
      </c>
      <c r="FS10" s="351">
        <f t="shared" si="2"/>
        <v>69683087.399999991</v>
      </c>
      <c r="FT10" s="351">
        <f t="shared" si="2"/>
        <v>105613736.66000001</v>
      </c>
      <c r="FU10" s="351">
        <f t="shared" si="2"/>
        <v>83521974.920000002</v>
      </c>
      <c r="FV10" s="351">
        <f t="shared" si="2"/>
        <v>69752758.120000005</v>
      </c>
      <c r="FW10" s="351">
        <f t="shared" si="2"/>
        <v>79960950.920000002</v>
      </c>
      <c r="FX10" s="351">
        <f t="shared" si="2"/>
        <v>80621752.299999997</v>
      </c>
      <c r="FY10" s="351">
        <f t="shared" si="2"/>
        <v>79984790.799999997</v>
      </c>
      <c r="FZ10" s="304">
        <f t="shared" si="2"/>
        <v>80764606.50999999</v>
      </c>
      <c r="GA10" s="351">
        <f t="shared" si="2"/>
        <v>81734836.820000008</v>
      </c>
      <c r="GB10" s="351">
        <f t="shared" si="2"/>
        <v>72792310.129999995</v>
      </c>
      <c r="GC10" s="351">
        <f t="shared" si="2"/>
        <v>88352824.489999995</v>
      </c>
      <c r="GD10" s="304"/>
      <c r="GE10" s="351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0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0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0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0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0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0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0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0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0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0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0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0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0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0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1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1">
        <f t="shared" ref="FR18:GC18" si="3">SUM(FR19:FR22)</f>
        <v>15749286.220000001</v>
      </c>
      <c r="FS18" s="351">
        <f t="shared" si="3"/>
        <v>42574769.890000001</v>
      </c>
      <c r="FT18" s="351">
        <f t="shared" si="3"/>
        <v>44888756.57</v>
      </c>
      <c r="FU18" s="351">
        <f t="shared" si="3"/>
        <v>33882602.5</v>
      </c>
      <c r="FV18" s="351">
        <f t="shared" si="3"/>
        <v>40418289.450000003</v>
      </c>
      <c r="FW18" s="351">
        <f t="shared" si="3"/>
        <v>42892419.090000004</v>
      </c>
      <c r="FX18" s="351">
        <f t="shared" si="3"/>
        <v>45009811.700000003</v>
      </c>
      <c r="FY18" s="351">
        <f t="shared" si="3"/>
        <v>51984938.960000001</v>
      </c>
      <c r="FZ18" s="304">
        <f t="shared" si="3"/>
        <v>42439853.439999998</v>
      </c>
      <c r="GA18" s="351">
        <f t="shared" si="3"/>
        <v>46766265.019999996</v>
      </c>
      <c r="GB18" s="351">
        <f t="shared" si="3"/>
        <v>43869251.589999996</v>
      </c>
      <c r="GC18" s="351">
        <f t="shared" si="3"/>
        <v>80544326.960000008</v>
      </c>
      <c r="GD18" s="304"/>
      <c r="GE18" s="351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0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0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0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0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0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0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0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0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1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1">
        <f t="shared" ref="FR23:GC23" si="5">SUM(FR24:FR27)</f>
        <v>711811.51</v>
      </c>
      <c r="FS23" s="351">
        <f t="shared" si="5"/>
        <v>845756.92</v>
      </c>
      <c r="FT23" s="351">
        <f t="shared" si="5"/>
        <v>815406.19</v>
      </c>
      <c r="FU23" s="351">
        <f t="shared" si="5"/>
        <v>318936.3</v>
      </c>
      <c r="FV23" s="351">
        <f t="shared" si="5"/>
        <v>469045.42</v>
      </c>
      <c r="FW23" s="351">
        <f t="shared" si="5"/>
        <v>1094710.17</v>
      </c>
      <c r="FX23" s="351">
        <f t="shared" si="5"/>
        <v>962946.75000000012</v>
      </c>
      <c r="FY23" s="351">
        <f t="shared" si="5"/>
        <v>1016910.3699999999</v>
      </c>
      <c r="FZ23" s="304">
        <f t="shared" si="5"/>
        <v>1210136.0899999999</v>
      </c>
      <c r="GA23" s="351">
        <f t="shared" si="5"/>
        <v>1020237.03</v>
      </c>
      <c r="GB23" s="351">
        <f t="shared" si="5"/>
        <v>955177.11</v>
      </c>
      <c r="GC23" s="351">
        <f t="shared" si="5"/>
        <v>1215368.99</v>
      </c>
      <c r="GD23" s="304"/>
      <c r="GE23" s="351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0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0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0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0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0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0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0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0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1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1">
        <f t="shared" ref="FR28:GC28" si="7">SUM(FR29:FR34)</f>
        <v>2226726.9299999997</v>
      </c>
      <c r="FS28" s="351">
        <f t="shared" si="7"/>
        <v>2200614.79</v>
      </c>
      <c r="FT28" s="351">
        <f t="shared" si="7"/>
        <v>1317967.9100000001</v>
      </c>
      <c r="FU28" s="351">
        <f t="shared" si="7"/>
        <v>1597851.3599999999</v>
      </c>
      <c r="FV28" s="351">
        <f t="shared" si="7"/>
        <v>1673853.74</v>
      </c>
      <c r="FW28" s="351">
        <f t="shared" si="7"/>
        <v>2752546.6799999997</v>
      </c>
      <c r="FX28" s="351">
        <f t="shared" si="7"/>
        <v>2600399.9099999997</v>
      </c>
      <c r="FY28" s="351">
        <f t="shared" si="7"/>
        <v>2411610.62</v>
      </c>
      <c r="FZ28" s="304">
        <f t="shared" si="7"/>
        <v>2242559.5</v>
      </c>
      <c r="GA28" s="351">
        <f t="shared" si="7"/>
        <v>3223177.49</v>
      </c>
      <c r="GB28" s="351">
        <f t="shared" si="7"/>
        <v>2393815.35</v>
      </c>
      <c r="GC28" s="351">
        <f t="shared" si="7"/>
        <v>3177660.7800000003</v>
      </c>
      <c r="GD28" s="304"/>
      <c r="GE28" s="351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0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0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0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775</v>
      </c>
      <c r="FQ30" s="302">
        <v>979690.53</v>
      </c>
      <c r="FR30" s="302">
        <v>126343.77</v>
      </c>
      <c r="FS30" s="350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0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0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796</v>
      </c>
      <c r="EN32" s="302" t="s">
        <v>797</v>
      </c>
      <c r="EO32" s="302">
        <v>608693.02</v>
      </c>
      <c r="EP32" s="302" t="s">
        <v>798</v>
      </c>
      <c r="EQ32" s="302">
        <v>179273.43</v>
      </c>
      <c r="ER32" s="302" t="s">
        <v>799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0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0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0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0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0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0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1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1">
        <f t="shared" ref="FR35:GC35" si="9">SUM(FR36:FR39)</f>
        <v>1483663.6700000002</v>
      </c>
      <c r="FS35" s="351">
        <f t="shared" si="9"/>
        <v>2100277.88</v>
      </c>
      <c r="FT35" s="351">
        <f t="shared" si="9"/>
        <v>4243202.3499999996</v>
      </c>
      <c r="FU35" s="351">
        <f t="shared" si="9"/>
        <v>2093585.81</v>
      </c>
      <c r="FV35" s="351">
        <f t="shared" si="9"/>
        <v>1279434.9099999999</v>
      </c>
      <c r="FW35" s="351">
        <f t="shared" si="9"/>
        <v>1931121.2500000002</v>
      </c>
      <c r="FX35" s="351">
        <f t="shared" si="9"/>
        <v>2459062.7400000002</v>
      </c>
      <c r="FY35" s="351">
        <f t="shared" si="9"/>
        <v>3216715.11</v>
      </c>
      <c r="FZ35" s="304">
        <f t="shared" si="9"/>
        <v>11550447.479999999</v>
      </c>
      <c r="GA35" s="351">
        <f t="shared" si="9"/>
        <v>2887676.87</v>
      </c>
      <c r="GB35" s="351">
        <f t="shared" si="9"/>
        <v>1756272.85</v>
      </c>
      <c r="GC35" s="351">
        <f t="shared" si="9"/>
        <v>2614148.87</v>
      </c>
      <c r="GD35" s="304"/>
      <c r="GE35" s="351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0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0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0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0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0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0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0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0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1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1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1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4"/>
      <c r="EU41" s="334"/>
      <c r="EV41" s="334"/>
      <c r="EW41" s="334"/>
      <c r="EX41" s="334"/>
      <c r="EY41" s="334"/>
      <c r="EZ41" s="334"/>
      <c r="FA41" s="334"/>
      <c r="FB41" s="334"/>
      <c r="FC41" s="334"/>
      <c r="FD41" s="302"/>
      <c r="FE41" s="302"/>
      <c r="FF41" s="302"/>
      <c r="FG41" s="302"/>
      <c r="FH41" s="302"/>
      <c r="FI41" s="302"/>
      <c r="FJ41" s="302"/>
      <c r="FK41" s="302"/>
      <c r="FL41" s="350"/>
      <c r="FM41" s="302"/>
      <c r="FN41" s="302"/>
      <c r="FO41" s="302"/>
      <c r="FP41" s="302"/>
      <c r="FQ41" s="302"/>
      <c r="FR41" s="302"/>
      <c r="FS41" s="350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4"/>
      <c r="EU42" s="334"/>
      <c r="EV42" s="334"/>
      <c r="EW42" s="334"/>
      <c r="EX42" s="334"/>
      <c r="EY42" s="334"/>
      <c r="EZ42" s="334"/>
      <c r="FA42" s="334"/>
      <c r="FB42" s="334"/>
      <c r="FC42" s="334"/>
      <c r="FD42" s="302"/>
      <c r="FE42" s="302"/>
      <c r="FF42" s="302"/>
      <c r="FG42" s="302"/>
      <c r="FH42" s="302"/>
      <c r="FI42" s="302"/>
      <c r="FJ42" s="302"/>
      <c r="FK42" s="302"/>
      <c r="FL42" s="350"/>
      <c r="FM42" s="302"/>
      <c r="FN42" s="302"/>
      <c r="FO42" s="302"/>
      <c r="FP42" s="302"/>
      <c r="FQ42" s="302"/>
      <c r="FR42" s="302"/>
      <c r="FS42" s="350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1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1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1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4"/>
      <c r="EU44" s="334"/>
      <c r="EV44" s="334"/>
      <c r="EW44" s="334"/>
      <c r="EX44" s="334"/>
      <c r="EY44" s="334"/>
      <c r="EZ44" s="334"/>
      <c r="FA44" s="334"/>
      <c r="FB44" s="334"/>
      <c r="FC44" s="334"/>
      <c r="FD44" s="302"/>
      <c r="FE44" s="302"/>
      <c r="FF44" s="302"/>
      <c r="FG44" s="302"/>
      <c r="FH44" s="302"/>
      <c r="FI44" s="302"/>
      <c r="FJ44" s="302"/>
      <c r="FK44" s="302"/>
      <c r="FL44" s="350"/>
      <c r="FM44" s="302"/>
      <c r="FN44" s="302"/>
      <c r="FO44" s="302"/>
      <c r="FP44" s="302"/>
      <c r="FQ44" s="302"/>
      <c r="FR44" s="302"/>
      <c r="FS44" s="350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4"/>
      <c r="EU45" s="334"/>
      <c r="EV45" s="334"/>
      <c r="EW45" s="334"/>
      <c r="EX45" s="334"/>
      <c r="EY45" s="334"/>
      <c r="EZ45" s="334"/>
      <c r="FA45" s="334"/>
      <c r="FB45" s="334"/>
      <c r="FC45" s="334"/>
      <c r="FD45" s="302"/>
      <c r="FE45" s="302"/>
      <c r="FF45" s="302"/>
      <c r="FG45" s="302"/>
      <c r="FH45" s="302"/>
      <c r="FI45" s="302"/>
      <c r="FJ45" s="302"/>
      <c r="FK45" s="302"/>
      <c r="FL45" s="350"/>
      <c r="FM45" s="302"/>
      <c r="FN45" s="302"/>
      <c r="FO45" s="302"/>
      <c r="FP45" s="302"/>
      <c r="FQ45" s="302"/>
      <c r="FR45" s="302"/>
      <c r="FS45" s="350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1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1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1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4"/>
      <c r="EU47" s="334"/>
      <c r="EV47" s="334"/>
      <c r="EW47" s="334"/>
      <c r="EX47" s="334"/>
      <c r="EY47" s="334"/>
      <c r="EZ47" s="334"/>
      <c r="FA47" s="334"/>
      <c r="FB47" s="334"/>
      <c r="FC47" s="334"/>
      <c r="FD47" s="302"/>
      <c r="FE47" s="302"/>
      <c r="FF47" s="302"/>
      <c r="FG47" s="302"/>
      <c r="FH47" s="302"/>
      <c r="FI47" s="302"/>
      <c r="FJ47" s="302"/>
      <c r="FK47" s="302"/>
      <c r="FL47" s="350"/>
      <c r="FM47" s="302"/>
      <c r="FN47" s="302"/>
      <c r="FO47" s="302"/>
      <c r="FP47" s="302"/>
      <c r="FQ47" s="302"/>
      <c r="FR47" s="302"/>
      <c r="FS47" s="350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4"/>
      <c r="EU48" s="334"/>
      <c r="EV48" s="334"/>
      <c r="EW48" s="334"/>
      <c r="EX48" s="334"/>
      <c r="EY48" s="334"/>
      <c r="EZ48" s="334"/>
      <c r="FA48" s="334"/>
      <c r="FB48" s="334"/>
      <c r="FC48" s="334"/>
      <c r="FD48" s="302"/>
      <c r="FE48" s="302"/>
      <c r="FF48" s="302"/>
      <c r="FG48" s="302"/>
      <c r="FH48" s="302"/>
      <c r="FI48" s="302"/>
      <c r="FJ48" s="302"/>
      <c r="FK48" s="302"/>
      <c r="FL48" s="350"/>
      <c r="FM48" s="302"/>
      <c r="FN48" s="302"/>
      <c r="FO48" s="302"/>
      <c r="FP48" s="302"/>
      <c r="FQ48" s="302"/>
      <c r="FR48" s="302"/>
      <c r="FS48" s="350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1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1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1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4"/>
      <c r="EU50" s="334"/>
      <c r="EV50" s="334"/>
      <c r="EW50" s="334"/>
      <c r="EX50" s="334"/>
      <c r="EY50" s="334"/>
      <c r="EZ50" s="334"/>
      <c r="FA50" s="334"/>
      <c r="FB50" s="334"/>
      <c r="FC50" s="334"/>
      <c r="FD50" s="302"/>
      <c r="FE50" s="302"/>
      <c r="FF50" s="302"/>
      <c r="FG50" s="302"/>
      <c r="FH50" s="302"/>
      <c r="FI50" s="302"/>
      <c r="FJ50" s="302"/>
      <c r="FK50" s="302"/>
      <c r="FL50" s="350"/>
      <c r="FM50" s="302"/>
      <c r="FN50" s="302"/>
      <c r="FO50" s="302"/>
      <c r="FP50" s="302"/>
      <c r="FQ50" s="302"/>
      <c r="FR50" s="302"/>
      <c r="FS50" s="350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0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0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0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0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0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0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0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0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0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0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0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0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0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49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0">
        <v>3987318.08</v>
      </c>
      <c r="FR61" s="350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4"/>
      <c r="EU62" s="334"/>
      <c r="EV62" s="334"/>
      <c r="EW62" s="334"/>
      <c r="EX62" s="334"/>
      <c r="EY62" s="334"/>
      <c r="EZ62" s="334"/>
      <c r="FA62" s="334"/>
      <c r="FB62" s="334"/>
      <c r="FC62" s="334"/>
      <c r="FD62" s="302"/>
      <c r="FE62" s="302"/>
      <c r="FF62" s="302"/>
      <c r="FG62" s="302"/>
      <c r="FH62" s="302"/>
      <c r="FI62" s="302"/>
      <c r="FJ62" s="302"/>
      <c r="FK62" s="302"/>
      <c r="FL62" s="350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4"/>
      <c r="EU63" s="334"/>
      <c r="EV63" s="334"/>
      <c r="EW63" s="334"/>
      <c r="EX63" s="334"/>
      <c r="EY63" s="334"/>
      <c r="EZ63" s="334"/>
      <c r="FA63" s="334"/>
      <c r="FB63" s="334"/>
      <c r="FC63" s="334"/>
      <c r="FD63" s="302"/>
      <c r="FE63" s="302"/>
      <c r="FF63" s="302"/>
      <c r="FG63" s="302"/>
      <c r="FH63" s="302"/>
      <c r="FI63" s="302"/>
      <c r="FJ63" s="302"/>
      <c r="FK63" s="302"/>
      <c r="FL63" s="350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4"/>
      <c r="EU64" s="334"/>
      <c r="EV64" s="334"/>
      <c r="EW64" s="334"/>
      <c r="EX64" s="334"/>
      <c r="EY64" s="334"/>
      <c r="EZ64" s="334"/>
      <c r="FA64" s="334"/>
      <c r="FB64" s="334"/>
      <c r="FC64" s="334"/>
      <c r="FD64" s="302"/>
      <c r="FE64" s="302"/>
      <c r="FF64" s="302"/>
      <c r="FG64" s="302"/>
      <c r="FH64" s="302"/>
      <c r="FI64" s="302"/>
      <c r="FJ64" s="302"/>
      <c r="FK64" s="302"/>
      <c r="FL64" s="350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4"/>
      <c r="EU65" s="334"/>
      <c r="EV65" s="334"/>
      <c r="EW65" s="334"/>
      <c r="EX65" s="334"/>
      <c r="EY65" s="334"/>
      <c r="EZ65" s="334"/>
      <c r="FA65" s="334"/>
      <c r="FB65" s="334"/>
      <c r="FC65" s="334"/>
      <c r="FD65" s="302"/>
      <c r="FE65" s="302"/>
      <c r="FF65" s="302"/>
      <c r="FG65" s="302"/>
      <c r="FH65" s="302"/>
      <c r="FI65" s="302"/>
      <c r="FJ65" s="302"/>
      <c r="FK65" s="302"/>
      <c r="FL65" s="350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4"/>
      <c r="EU66" s="334"/>
      <c r="EV66" s="334"/>
      <c r="EW66" s="334"/>
      <c r="EX66" s="334"/>
      <c r="EY66" s="334"/>
      <c r="EZ66" s="334"/>
      <c r="FA66" s="334"/>
      <c r="FB66" s="334"/>
      <c r="FC66" s="334"/>
      <c r="FD66" s="302"/>
      <c r="FE66" s="302"/>
      <c r="FF66" s="302"/>
      <c r="FG66" s="302"/>
      <c r="FH66" s="302"/>
      <c r="FI66" s="302"/>
      <c r="FJ66" s="302"/>
      <c r="FK66" s="302"/>
      <c r="FL66" s="350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4"/>
      <c r="EU67" s="334"/>
      <c r="EV67" s="334"/>
      <c r="EW67" s="334"/>
      <c r="EX67" s="334"/>
      <c r="EY67" s="334"/>
      <c r="EZ67" s="334"/>
      <c r="FA67" s="334"/>
      <c r="FB67" s="334"/>
      <c r="FC67" s="334"/>
      <c r="FD67" s="302"/>
      <c r="FE67" s="302"/>
      <c r="FF67" s="302"/>
      <c r="FG67" s="302"/>
      <c r="FH67" s="302"/>
      <c r="FI67" s="302"/>
      <c r="FJ67" s="302"/>
      <c r="FK67" s="302"/>
      <c r="FL67" s="350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4"/>
      <c r="EU68" s="334"/>
      <c r="EV68" s="334"/>
      <c r="EW68" s="334"/>
      <c r="EX68" s="334"/>
      <c r="EY68" s="334"/>
      <c r="EZ68" s="334"/>
      <c r="FA68" s="334"/>
      <c r="FB68" s="334"/>
      <c r="FC68" s="334"/>
      <c r="FD68" s="302"/>
      <c r="FE68" s="302"/>
      <c r="FF68" s="302"/>
      <c r="FG68" s="302"/>
      <c r="FH68" s="302"/>
      <c r="FI68" s="302"/>
      <c r="FJ68" s="302"/>
      <c r="FK68" s="302"/>
      <c r="FL68" s="350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49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0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0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0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0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0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0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49">
        <v>8566117.3599999994</v>
      </c>
      <c r="FM76" s="302">
        <v>3294436.46</v>
      </c>
      <c r="FN76" s="302">
        <v>5819051.2000000002</v>
      </c>
      <c r="FO76" s="302">
        <v>7942946.5700000003</v>
      </c>
      <c r="FP76" s="350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0"/>
      <c r="FM77" s="302"/>
      <c r="FN77" s="302"/>
      <c r="FO77" s="302"/>
      <c r="FP77" s="302"/>
      <c r="FQ77" s="350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0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0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0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0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0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0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0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0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49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0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0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0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49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0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0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49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0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0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0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49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0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0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0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49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0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0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0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0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0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0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0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0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0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0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49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0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4"/>
      <c r="EU114" s="334"/>
      <c r="EV114" s="334"/>
      <c r="EW114" s="334"/>
      <c r="EX114" s="334"/>
      <c r="EY114" s="334"/>
      <c r="EZ114" s="334"/>
      <c r="FA114" s="334"/>
      <c r="FB114" s="334"/>
      <c r="FC114" s="334"/>
      <c r="FD114" s="302"/>
      <c r="FE114" s="302"/>
      <c r="FF114" s="302"/>
      <c r="FG114" s="302"/>
      <c r="FH114" s="302"/>
      <c r="FI114" s="302"/>
      <c r="FJ114" s="302"/>
      <c r="FK114" s="302"/>
      <c r="FL114" s="350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4"/>
      <c r="EU115" s="334"/>
      <c r="EV115" s="334"/>
      <c r="EW115" s="334"/>
      <c r="EX115" s="334"/>
      <c r="EY115" s="334"/>
      <c r="EZ115" s="334"/>
      <c r="FA115" s="334"/>
      <c r="FB115" s="334"/>
      <c r="FC115" s="334"/>
      <c r="FD115" s="302"/>
      <c r="FE115" s="302"/>
      <c r="FF115" s="302"/>
      <c r="FG115" s="302"/>
      <c r="FH115" s="302"/>
      <c r="FI115" s="302"/>
      <c r="FJ115" s="302"/>
      <c r="FK115" s="302"/>
      <c r="FL115" s="350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4"/>
      <c r="EU116" s="334"/>
      <c r="EV116" s="334"/>
      <c r="EW116" s="334"/>
      <c r="EX116" s="334"/>
      <c r="EY116" s="334"/>
      <c r="EZ116" s="334"/>
      <c r="FA116" s="334"/>
      <c r="FB116" s="334"/>
      <c r="FC116" s="334"/>
      <c r="FD116" s="302"/>
      <c r="FE116" s="302"/>
      <c r="FF116" s="302"/>
      <c r="FG116" s="302"/>
      <c r="FH116" s="302"/>
      <c r="FI116" s="302"/>
      <c r="FJ116" s="302"/>
      <c r="FK116" s="302"/>
      <c r="FL116" s="350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4"/>
      <c r="EU117" s="334"/>
      <c r="EV117" s="334"/>
      <c r="EW117" s="334"/>
      <c r="EX117" s="334"/>
      <c r="EY117" s="334"/>
      <c r="EZ117" s="334"/>
      <c r="FA117" s="334"/>
      <c r="FB117" s="334"/>
      <c r="FC117" s="334"/>
      <c r="FD117" s="302"/>
      <c r="FE117" s="302"/>
      <c r="FF117" s="302"/>
      <c r="FG117" s="302"/>
      <c r="FH117" s="302"/>
      <c r="FI117" s="302"/>
      <c r="FJ117" s="302"/>
      <c r="FK117" s="302"/>
      <c r="FL117" s="350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4"/>
      <c r="EU118" s="334"/>
      <c r="EV118" s="334"/>
      <c r="EW118" s="334"/>
      <c r="EX118" s="334"/>
      <c r="EY118" s="334"/>
      <c r="EZ118" s="334"/>
      <c r="FA118" s="334"/>
      <c r="FB118" s="334"/>
      <c r="FC118" s="334"/>
      <c r="FD118" s="302"/>
      <c r="FE118" s="302"/>
      <c r="FF118" s="302"/>
      <c r="FG118" s="302"/>
      <c r="FH118" s="302"/>
      <c r="FI118" s="302"/>
      <c r="FJ118" s="302"/>
      <c r="FK118" s="302"/>
      <c r="FL118" s="350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4"/>
      <c r="EU119" s="334"/>
      <c r="EV119" s="334"/>
      <c r="EW119" s="334"/>
      <c r="EX119" s="334"/>
      <c r="EY119" s="334"/>
      <c r="EZ119" s="334"/>
      <c r="FA119" s="334"/>
      <c r="FB119" s="334"/>
      <c r="FC119" s="334"/>
      <c r="FD119" s="302"/>
      <c r="FE119" s="302"/>
      <c r="FF119" s="302"/>
      <c r="FG119" s="302"/>
      <c r="FH119" s="302"/>
      <c r="FI119" s="302"/>
      <c r="FJ119" s="302"/>
      <c r="FK119" s="302"/>
      <c r="FL119" s="350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800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4"/>
      <c r="EU120" s="334"/>
      <c r="EV120" s="334"/>
      <c r="EW120" s="334"/>
      <c r="EX120" s="334"/>
      <c r="EY120" s="334"/>
      <c r="EZ120" s="334"/>
      <c r="FA120" s="334"/>
      <c r="FB120" s="334"/>
      <c r="FC120" s="334"/>
      <c r="FD120" s="302"/>
      <c r="FE120" s="302"/>
      <c r="FF120" s="302"/>
      <c r="FG120" s="302"/>
      <c r="FH120" s="302"/>
      <c r="FI120" s="302"/>
      <c r="FJ120" s="302"/>
      <c r="FK120" s="302"/>
      <c r="FL120" s="350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49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0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0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0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0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0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0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0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0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0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0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0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0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0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0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49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0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49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0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0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0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49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0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0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0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0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0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0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0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0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0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0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0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0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0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0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0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0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0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790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0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0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0"/>
      <c r="FF160" s="302"/>
      <c r="FG160" s="302"/>
      <c r="FH160" s="302"/>
      <c r="FI160" s="302"/>
      <c r="FJ160" s="302"/>
      <c r="FK160" s="302"/>
      <c r="FL160" s="350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0"/>
      <c r="FM161" s="302"/>
      <c r="FN161" s="302"/>
      <c r="FO161" s="302"/>
      <c r="FP161" s="302"/>
      <c r="FQ161" s="340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3"/>
      <c r="FE162" s="302"/>
      <c r="FF162" s="302"/>
      <c r="FG162" s="302"/>
      <c r="FH162" s="350"/>
      <c r="FI162" s="302"/>
      <c r="FJ162" s="302"/>
      <c r="FK162" s="302"/>
      <c r="FL162" s="350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0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0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0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0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0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0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0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49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0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0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0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0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0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0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0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49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49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0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0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0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49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49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39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684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4"/>
      <c r="EZ188" s="302"/>
      <c r="FA188" s="302"/>
      <c r="FB188" s="302"/>
      <c r="FC188" s="302"/>
      <c r="FD188" s="302"/>
      <c r="FE188" s="350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+Master!G30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+Master!G82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+Master!G220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0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1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37" t="s">
        <v>675</v>
      </c>
      <c r="F214" s="635">
        <v>2006</v>
      </c>
      <c r="G214" s="634"/>
      <c r="H214" s="634"/>
      <c r="I214" s="634"/>
      <c r="J214" s="634"/>
      <c r="K214" s="634"/>
      <c r="L214" s="634"/>
      <c r="M214" s="634"/>
      <c r="N214" s="634"/>
      <c r="O214" s="634"/>
      <c r="P214" s="634"/>
      <c r="Q214" s="636"/>
      <c r="R214" s="635">
        <v>2007</v>
      </c>
      <c r="S214" s="634"/>
      <c r="T214" s="634"/>
      <c r="U214" s="634"/>
      <c r="V214" s="634"/>
      <c r="W214" s="634"/>
      <c r="X214" s="634"/>
      <c r="Y214" s="634"/>
      <c r="Z214" s="634"/>
      <c r="AA214" s="634"/>
      <c r="AB214" s="634"/>
      <c r="AC214" s="636"/>
      <c r="AD214" s="635">
        <v>2008</v>
      </c>
      <c r="AE214" s="634"/>
      <c r="AF214" s="634"/>
      <c r="AG214" s="634"/>
      <c r="AH214" s="634"/>
      <c r="AI214" s="634"/>
      <c r="AJ214" s="634"/>
      <c r="AK214" s="634"/>
      <c r="AL214" s="634"/>
      <c r="AM214" s="634"/>
      <c r="AN214" s="634"/>
      <c r="AO214" s="636"/>
      <c r="AP214" s="635">
        <v>2009</v>
      </c>
      <c r="AQ214" s="634"/>
      <c r="AR214" s="634"/>
      <c r="AS214" s="634"/>
      <c r="AT214" s="634"/>
      <c r="AU214" s="634"/>
      <c r="AV214" s="634"/>
      <c r="AW214" s="634"/>
      <c r="AX214" s="634"/>
      <c r="AY214" s="634"/>
      <c r="AZ214" s="634"/>
      <c r="BA214" s="636"/>
      <c r="BB214" s="635">
        <v>2010</v>
      </c>
      <c r="BC214" s="634"/>
      <c r="BD214" s="634"/>
      <c r="BE214" s="634"/>
      <c r="BF214" s="634"/>
      <c r="BG214" s="634"/>
      <c r="BH214" s="634"/>
      <c r="BI214" s="634"/>
      <c r="BJ214" s="634"/>
      <c r="BK214" s="634"/>
      <c r="BL214" s="634"/>
      <c r="BM214" s="636"/>
      <c r="BN214" s="635">
        <v>2011</v>
      </c>
      <c r="BO214" s="634"/>
      <c r="BP214" s="634"/>
      <c r="BQ214" s="634"/>
      <c r="BR214" s="634"/>
      <c r="BS214" s="634"/>
      <c r="BT214" s="634"/>
      <c r="BU214" s="634"/>
      <c r="BV214" s="634"/>
      <c r="BW214" s="634"/>
      <c r="BX214" s="634"/>
      <c r="BY214" s="636"/>
      <c r="BZ214" s="634">
        <v>2012</v>
      </c>
      <c r="CA214" s="634"/>
      <c r="CB214" s="634"/>
      <c r="CC214" s="634"/>
      <c r="CD214" s="634"/>
      <c r="CE214" s="634"/>
      <c r="CF214" s="634"/>
      <c r="CG214" s="634"/>
      <c r="CH214" s="634"/>
      <c r="CI214" s="634"/>
      <c r="CJ214" s="634"/>
      <c r="CK214" s="634"/>
      <c r="CL214" s="635">
        <v>2013</v>
      </c>
      <c r="CM214" s="634"/>
      <c r="CN214" s="634"/>
      <c r="CO214" s="634"/>
      <c r="CP214" s="634"/>
      <c r="CQ214" s="634"/>
      <c r="CR214" s="634"/>
      <c r="CS214" s="634"/>
      <c r="CT214" s="634"/>
      <c r="CU214" s="634"/>
      <c r="CV214" s="634"/>
      <c r="CW214" s="636"/>
      <c r="CX214" s="635">
        <v>2014</v>
      </c>
      <c r="CY214" s="634"/>
      <c r="CZ214" s="634"/>
      <c r="DA214" s="634"/>
      <c r="DB214" s="634"/>
      <c r="DC214" s="634"/>
      <c r="DD214" s="634"/>
      <c r="DE214" s="634"/>
      <c r="DF214" s="634"/>
      <c r="DG214" s="634"/>
      <c r="DH214" s="634"/>
      <c r="DI214" s="636"/>
      <c r="DJ214" s="635">
        <v>2015</v>
      </c>
      <c r="DK214" s="634"/>
      <c r="DL214" s="634"/>
      <c r="DM214" s="634"/>
      <c r="DN214" s="634"/>
      <c r="DO214" s="634"/>
      <c r="DP214" s="634"/>
      <c r="DQ214" s="634"/>
      <c r="DR214" s="634"/>
      <c r="DS214" s="634"/>
      <c r="DT214" s="634"/>
      <c r="DU214" s="636"/>
    </row>
    <row r="215" spans="1:187">
      <c r="E215" s="637"/>
      <c r="F215" s="73" t="s">
        <v>555</v>
      </c>
      <c r="G215" s="74" t="s">
        <v>556</v>
      </c>
      <c r="H215" s="74" t="s">
        <v>557</v>
      </c>
      <c r="I215" s="74" t="s">
        <v>558</v>
      </c>
      <c r="J215" s="74" t="s">
        <v>559</v>
      </c>
      <c r="K215" s="74" t="s">
        <v>560</v>
      </c>
      <c r="L215" s="74" t="s">
        <v>561</v>
      </c>
      <c r="M215" s="74" t="s">
        <v>562</v>
      </c>
      <c r="N215" s="74" t="s">
        <v>563</v>
      </c>
      <c r="O215" s="74" t="s">
        <v>564</v>
      </c>
      <c r="P215" s="74" t="s">
        <v>565</v>
      </c>
      <c r="Q215" s="75" t="s">
        <v>566</v>
      </c>
      <c r="R215" s="73" t="s">
        <v>567</v>
      </c>
      <c r="S215" s="74" t="s">
        <v>568</v>
      </c>
      <c r="T215" s="74" t="s">
        <v>569</v>
      </c>
      <c r="U215" s="74" t="s">
        <v>570</v>
      </c>
      <c r="V215" s="74" t="s">
        <v>571</v>
      </c>
      <c r="W215" s="74" t="s">
        <v>572</v>
      </c>
      <c r="X215" s="74" t="s">
        <v>573</v>
      </c>
      <c r="Y215" s="74" t="s">
        <v>574</v>
      </c>
      <c r="Z215" s="74" t="s">
        <v>575</v>
      </c>
      <c r="AA215" s="74" t="s">
        <v>576</v>
      </c>
      <c r="AB215" s="74" t="s">
        <v>577</v>
      </c>
      <c r="AC215" s="75" t="s">
        <v>578</v>
      </c>
      <c r="AD215" s="73" t="s">
        <v>579</v>
      </c>
      <c r="AE215" s="74" t="s">
        <v>580</v>
      </c>
      <c r="AF215" s="74" t="s">
        <v>581</v>
      </c>
      <c r="AG215" s="74" t="s">
        <v>582</v>
      </c>
      <c r="AH215" s="74" t="s">
        <v>583</v>
      </c>
      <c r="AI215" s="74" t="s">
        <v>584</v>
      </c>
      <c r="AJ215" s="74" t="s">
        <v>585</v>
      </c>
      <c r="AK215" s="74" t="s">
        <v>586</v>
      </c>
      <c r="AL215" s="74" t="s">
        <v>587</v>
      </c>
      <c r="AM215" s="74" t="s">
        <v>588</v>
      </c>
      <c r="AN215" s="74" t="s">
        <v>589</v>
      </c>
      <c r="AO215" s="75" t="s">
        <v>590</v>
      </c>
      <c r="AP215" s="73" t="s">
        <v>591</v>
      </c>
      <c r="AQ215" s="74" t="s">
        <v>592</v>
      </c>
      <c r="AR215" s="74" t="s">
        <v>593</v>
      </c>
      <c r="AS215" s="74" t="s">
        <v>594</v>
      </c>
      <c r="AT215" s="74" t="s">
        <v>595</v>
      </c>
      <c r="AU215" s="74" t="s">
        <v>596</v>
      </c>
      <c r="AV215" s="74" t="s">
        <v>597</v>
      </c>
      <c r="AW215" s="74" t="s">
        <v>598</v>
      </c>
      <c r="AX215" s="74" t="s">
        <v>599</v>
      </c>
      <c r="AY215" s="74" t="s">
        <v>600</v>
      </c>
      <c r="AZ215" s="74" t="s">
        <v>601</v>
      </c>
      <c r="BA215" s="75" t="s">
        <v>602</v>
      </c>
      <c r="BB215" s="73" t="s">
        <v>603</v>
      </c>
      <c r="BC215" s="74" t="s">
        <v>604</v>
      </c>
      <c r="BD215" s="74" t="s">
        <v>605</v>
      </c>
      <c r="BE215" s="74" t="s">
        <v>606</v>
      </c>
      <c r="BF215" s="74" t="s">
        <v>607</v>
      </c>
      <c r="BG215" s="74" t="s">
        <v>608</v>
      </c>
      <c r="BH215" s="74" t="s">
        <v>609</v>
      </c>
      <c r="BI215" s="74" t="s">
        <v>610</v>
      </c>
      <c r="BJ215" s="74" t="s">
        <v>611</v>
      </c>
      <c r="BK215" s="74" t="s">
        <v>612</v>
      </c>
      <c r="BL215" s="74" t="s">
        <v>613</v>
      </c>
      <c r="BM215" s="75" t="s">
        <v>614</v>
      </c>
      <c r="BN215" s="73" t="s">
        <v>615</v>
      </c>
      <c r="BO215" s="74" t="s">
        <v>616</v>
      </c>
      <c r="BP215" s="74" t="s">
        <v>617</v>
      </c>
      <c r="BQ215" s="74" t="s">
        <v>618</v>
      </c>
      <c r="BR215" s="74" t="s">
        <v>619</v>
      </c>
      <c r="BS215" s="74" t="s">
        <v>620</v>
      </c>
      <c r="BT215" s="74" t="s">
        <v>621</v>
      </c>
      <c r="BU215" s="74" t="s">
        <v>622</v>
      </c>
      <c r="BV215" s="74" t="s">
        <v>623</v>
      </c>
      <c r="BW215" s="74" t="s">
        <v>624</v>
      </c>
      <c r="BX215" s="74" t="s">
        <v>625</v>
      </c>
      <c r="BY215" s="75" t="s">
        <v>626</v>
      </c>
      <c r="BZ215" s="74" t="s">
        <v>627</v>
      </c>
      <c r="CA215" s="74" t="s">
        <v>628</v>
      </c>
      <c r="CB215" s="74" t="s">
        <v>629</v>
      </c>
      <c r="CC215" s="74" t="s">
        <v>630</v>
      </c>
      <c r="CD215" s="74" t="s">
        <v>631</v>
      </c>
      <c r="CE215" s="74" t="s">
        <v>632</v>
      </c>
      <c r="CF215" s="74" t="s">
        <v>633</v>
      </c>
      <c r="CG215" s="74" t="s">
        <v>634</v>
      </c>
      <c r="CH215" s="74" t="s">
        <v>635</v>
      </c>
      <c r="CI215" s="74" t="s">
        <v>636</v>
      </c>
      <c r="CJ215" s="74" t="s">
        <v>637</v>
      </c>
      <c r="CK215" s="74" t="s">
        <v>638</v>
      </c>
      <c r="CL215" s="73" t="s">
        <v>639</v>
      </c>
      <c r="CM215" s="74" t="s">
        <v>640</v>
      </c>
      <c r="CN215" s="74" t="s">
        <v>641</v>
      </c>
      <c r="CO215" s="74" t="s">
        <v>642</v>
      </c>
      <c r="CP215" s="74" t="s">
        <v>643</v>
      </c>
      <c r="CQ215" s="74" t="s">
        <v>644</v>
      </c>
      <c r="CR215" s="74" t="s">
        <v>645</v>
      </c>
      <c r="CS215" s="74" t="s">
        <v>646</v>
      </c>
      <c r="CT215" s="74" t="s">
        <v>647</v>
      </c>
      <c r="CU215" s="74" t="s">
        <v>648</v>
      </c>
      <c r="CV215" s="74" t="s">
        <v>649</v>
      </c>
      <c r="CW215" s="75" t="s">
        <v>650</v>
      </c>
      <c r="CX215" s="73" t="s">
        <v>651</v>
      </c>
      <c r="CY215" s="74" t="s">
        <v>652</v>
      </c>
      <c r="CZ215" s="74" t="s">
        <v>653</v>
      </c>
      <c r="DA215" s="74" t="s">
        <v>654</v>
      </c>
      <c r="DB215" s="74" t="s">
        <v>655</v>
      </c>
      <c r="DC215" s="74" t="s">
        <v>656</v>
      </c>
      <c r="DD215" s="74" t="s">
        <v>657</v>
      </c>
      <c r="DE215" s="74" t="s">
        <v>658</v>
      </c>
      <c r="DF215" s="74" t="s">
        <v>659</v>
      </c>
      <c r="DG215" s="74" t="s">
        <v>660</v>
      </c>
      <c r="DH215" s="74" t="s">
        <v>661</v>
      </c>
      <c r="DI215" s="75" t="s">
        <v>662</v>
      </c>
      <c r="DJ215" s="73" t="s">
        <v>663</v>
      </c>
      <c r="DK215" s="74" t="s">
        <v>664</v>
      </c>
      <c r="DL215" s="74" t="s">
        <v>665</v>
      </c>
      <c r="DM215" s="74" t="s">
        <v>666</v>
      </c>
      <c r="DN215" s="74" t="s">
        <v>667</v>
      </c>
      <c r="DO215" s="74" t="s">
        <v>668</v>
      </c>
      <c r="DP215" s="74" t="s">
        <v>669</v>
      </c>
      <c r="DQ215" s="74" t="s">
        <v>670</v>
      </c>
      <c r="DR215" s="74" t="s">
        <v>671</v>
      </c>
      <c r="DS215" s="74" t="s">
        <v>672</v>
      </c>
      <c r="DT215" s="74" t="s">
        <v>673</v>
      </c>
      <c r="DU215" s="75" t="s">
        <v>674</v>
      </c>
      <c r="DV215" s="42" t="s">
        <v>704</v>
      </c>
      <c r="DW215" s="42" t="s">
        <v>705</v>
      </c>
      <c r="DX215" s="42" t="s">
        <v>706</v>
      </c>
      <c r="DY215" s="42" t="s">
        <v>707</v>
      </c>
      <c r="DZ215" s="42" t="s">
        <v>708</v>
      </c>
      <c r="EA215" s="42" t="s">
        <v>709</v>
      </c>
      <c r="EB215" s="42" t="s">
        <v>710</v>
      </c>
      <c r="EC215" s="42" t="s">
        <v>711</v>
      </c>
      <c r="ED215" s="42" t="s">
        <v>712</v>
      </c>
      <c r="EE215" s="42" t="s">
        <v>713</v>
      </c>
      <c r="EF215" s="42" t="s">
        <v>714</v>
      </c>
      <c r="EG215" s="42" t="s">
        <v>715</v>
      </c>
      <c r="EH215" s="316" t="s">
        <v>723</v>
      </c>
      <c r="EI215" s="316" t="s">
        <v>724</v>
      </c>
      <c r="EJ215" s="316" t="s">
        <v>725</v>
      </c>
      <c r="EK215" s="316" t="s">
        <v>726</v>
      </c>
      <c r="EL215" s="316" t="s">
        <v>727</v>
      </c>
      <c r="EM215" s="316" t="s">
        <v>728</v>
      </c>
      <c r="EN215" s="316" t="s">
        <v>729</v>
      </c>
      <c r="EO215" s="316" t="s">
        <v>730</v>
      </c>
      <c r="EP215" s="316" t="s">
        <v>731</v>
      </c>
      <c r="EQ215" s="316" t="s">
        <v>732</v>
      </c>
      <c r="ER215" s="316" t="s">
        <v>733</v>
      </c>
      <c r="ES215" s="316" t="s">
        <v>734</v>
      </c>
      <c r="ET215" s="316" t="s">
        <v>741</v>
      </c>
      <c r="EU215" s="316" t="s">
        <v>742</v>
      </c>
      <c r="EV215" s="316" t="s">
        <v>743</v>
      </c>
      <c r="EW215" s="316" t="s">
        <v>744</v>
      </c>
      <c r="EX215" s="316" t="s">
        <v>745</v>
      </c>
      <c r="EY215" s="316" t="s">
        <v>746</v>
      </c>
      <c r="EZ215" s="316" t="s">
        <v>747</v>
      </c>
      <c r="FA215" s="316" t="s">
        <v>748</v>
      </c>
      <c r="FB215" s="316" t="s">
        <v>749</v>
      </c>
      <c r="FC215" s="316" t="s">
        <v>750</v>
      </c>
      <c r="FD215" s="316" t="s">
        <v>751</v>
      </c>
      <c r="FE215" s="316" t="s">
        <v>752</v>
      </c>
      <c r="FF215" s="316" t="s">
        <v>757</v>
      </c>
      <c r="FG215" s="316" t="s">
        <v>758</v>
      </c>
      <c r="FH215" s="316" t="s">
        <v>759</v>
      </c>
      <c r="FI215" s="316" t="s">
        <v>760</v>
      </c>
      <c r="FJ215" s="316" t="s">
        <v>761</v>
      </c>
      <c r="FK215" s="316" t="s">
        <v>762</v>
      </c>
      <c r="FL215" s="316" t="s">
        <v>763</v>
      </c>
      <c r="FM215" s="316" t="s">
        <v>764</v>
      </c>
      <c r="FN215" s="316" t="s">
        <v>765</v>
      </c>
      <c r="FO215" s="316" t="s">
        <v>766</v>
      </c>
      <c r="FP215" s="316" t="s">
        <v>767</v>
      </c>
      <c r="FQ215" s="316" t="s">
        <v>768</v>
      </c>
      <c r="FR215" s="41" t="s">
        <v>776</v>
      </c>
      <c r="FS215" s="345" t="s">
        <v>777</v>
      </c>
      <c r="FT215" s="41" t="s">
        <v>778</v>
      </c>
      <c r="FU215" s="41" t="s">
        <v>779</v>
      </c>
      <c r="FV215" s="41" t="s">
        <v>780</v>
      </c>
      <c r="FW215" s="41" t="s">
        <v>781</v>
      </c>
      <c r="FX215" s="41" t="s">
        <v>782</v>
      </c>
      <c r="FY215" s="41" t="s">
        <v>783</v>
      </c>
      <c r="FZ215" s="41" t="s">
        <v>784</v>
      </c>
      <c r="GA215" s="41" t="s">
        <v>785</v>
      </c>
      <c r="GB215" s="41" t="s">
        <v>786</v>
      </c>
      <c r="GC215" s="41" t="s">
        <v>787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5">
        <v>60295851.510000005</v>
      </c>
      <c r="EU218" s="325">
        <v>64797597.330000006</v>
      </c>
      <c r="EV218" s="325">
        <v>89261850.609999985</v>
      </c>
      <c r="EW218" s="325">
        <v>97799793.080000013</v>
      </c>
      <c r="EX218" s="325">
        <v>90553351.069999993</v>
      </c>
      <c r="EY218" s="325">
        <v>87503254.430000007</v>
      </c>
      <c r="EZ218" s="325">
        <v>99397799.482830197</v>
      </c>
      <c r="FA218" s="325">
        <v>110357770.3498607</v>
      </c>
      <c r="FB218" s="325">
        <v>102093047.15872496</v>
      </c>
      <c r="FC218" s="325">
        <v>95698512.829288453</v>
      </c>
      <c r="FD218" s="325">
        <v>82424829.046484277</v>
      </c>
      <c r="FE218" s="325">
        <v>98213532.499999791</v>
      </c>
      <c r="FF218" s="346">
        <v>72429730.420000002</v>
      </c>
      <c r="FG218" s="346">
        <v>68470908.439999998</v>
      </c>
      <c r="FH218" s="346">
        <v>98709545.510000005</v>
      </c>
      <c r="FI218" s="346">
        <v>106791818.52</v>
      </c>
      <c r="FJ218" s="346">
        <v>94372185.030000001</v>
      </c>
      <c r="FK218" s="346">
        <v>89389439.689999998</v>
      </c>
      <c r="FL218" s="346">
        <v>106366803.00672032</v>
      </c>
      <c r="FM218" s="346">
        <v>110847613.63774106</v>
      </c>
      <c r="FN218" s="346">
        <f>105712748.66474-4000000</f>
        <v>101712748.66474</v>
      </c>
      <c r="FO218" s="346">
        <f>92295636.2285859+4000000</f>
        <v>96295636.228585899</v>
      </c>
      <c r="FP218" s="346">
        <v>84393107.743797168</v>
      </c>
      <c r="FQ218" s="346">
        <v>92890414.095145509</v>
      </c>
      <c r="FR218" s="432">
        <f>SUM(FR219:FR226)</f>
        <v>73320205.209999993</v>
      </c>
      <c r="FS218" s="432">
        <f t="shared" ref="FS218:FW218" si="24">SUM(FS219:FS226)</f>
        <v>69683087.399999991</v>
      </c>
      <c r="FT218" s="432">
        <f t="shared" si="24"/>
        <v>105613736.66000001</v>
      </c>
      <c r="FU218" s="432">
        <f t="shared" si="24"/>
        <v>83521974.920000002</v>
      </c>
      <c r="FV218" s="432">
        <f t="shared" si="24"/>
        <v>69752758.120000005</v>
      </c>
      <c r="FW218" s="432">
        <f t="shared" si="24"/>
        <v>82125472.672907159</v>
      </c>
      <c r="FX218" s="432">
        <f>SUM(FX219:FX226)</f>
        <v>97440527.99295114</v>
      </c>
      <c r="FY218" s="432">
        <f t="shared" ref="FY218" si="25">SUM(FY219:FY226)</f>
        <v>102835982.17822319</v>
      </c>
      <c r="FZ218" s="432">
        <f t="shared" ref="FZ218" si="26">SUM(FZ219:FZ226)</f>
        <v>99861898.573637322</v>
      </c>
      <c r="GA218" s="432">
        <f t="shared" ref="GA218" si="27">SUM(GA219:GA226)</f>
        <v>96098494.299763739</v>
      </c>
      <c r="GB218" s="432">
        <f t="shared" ref="GB218" si="28">SUM(GB219:GB226)</f>
        <v>81549422.466298312</v>
      </c>
      <c r="GC218" s="432">
        <f t="shared" ref="GC218" si="29">SUM(GC219:GC226)</f>
        <v>93633799.201363876</v>
      </c>
      <c r="GE218" s="425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6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6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6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6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6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6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6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6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5">
        <v>14572676.99</v>
      </c>
      <c r="EU227" s="325">
        <v>36938118.07</v>
      </c>
      <c r="EV227" s="325">
        <v>43053255.970000006</v>
      </c>
      <c r="EW227" s="325">
        <v>41029948.000000007</v>
      </c>
      <c r="EX227" s="325">
        <v>40388291.549999997</v>
      </c>
      <c r="EY227" s="325">
        <v>42077356.240000002</v>
      </c>
      <c r="EZ227" s="325">
        <v>46362054.926801726</v>
      </c>
      <c r="FA227" s="325">
        <v>45724084.253699668</v>
      </c>
      <c r="FB227" s="325">
        <v>41947258.969554022</v>
      </c>
      <c r="FC227" s="325">
        <v>44433442.802094914</v>
      </c>
      <c r="FD227" s="325">
        <v>45788790.684398532</v>
      </c>
      <c r="FE227" s="325">
        <v>79938550.463845864</v>
      </c>
      <c r="FF227" s="346">
        <v>16498881.48</v>
      </c>
      <c r="FG227" s="346">
        <v>41912269.38000001</v>
      </c>
      <c r="FH227" s="346">
        <v>41047599.18</v>
      </c>
      <c r="FI227" s="346">
        <v>50290988.940000005</v>
      </c>
      <c r="FJ227" s="346">
        <v>37496285.130000003</v>
      </c>
      <c r="FK227" s="346">
        <v>45280786.510000005</v>
      </c>
      <c r="FL227" s="346">
        <v>46250891.035691187</v>
      </c>
      <c r="FM227" s="346">
        <v>44632014.674295112</v>
      </c>
      <c r="FN227" s="346">
        <v>41120271.333377153</v>
      </c>
      <c r="FO227" s="346">
        <v>46928850.635902815</v>
      </c>
      <c r="FP227" s="346">
        <v>44128259.697538294</v>
      </c>
      <c r="FQ227" s="346">
        <v>78626416.07852602</v>
      </c>
      <c r="FR227" s="432">
        <f>SUM(FR228:FR231)</f>
        <v>15749286.220000001</v>
      </c>
      <c r="FS227" s="432">
        <f t="shared" ref="FS227:GC227" si="36">SUM(FS228:FS231)</f>
        <v>42574769.890000001</v>
      </c>
      <c r="FT227" s="432">
        <f t="shared" si="36"/>
        <v>44888756.57</v>
      </c>
      <c r="FU227" s="432">
        <f t="shared" si="36"/>
        <v>33882602.5</v>
      </c>
      <c r="FV227" s="432">
        <f t="shared" si="36"/>
        <v>40418289.450000003</v>
      </c>
      <c r="FW227" s="432">
        <f t="shared" si="36"/>
        <v>39209561.537363522</v>
      </c>
      <c r="FX227" s="432">
        <f t="shared" si="36"/>
        <v>39824401.286702745</v>
      </c>
      <c r="FY227" s="432">
        <f t="shared" si="36"/>
        <v>37466342.331191912</v>
      </c>
      <c r="FZ227" s="432">
        <f t="shared" si="36"/>
        <v>35714950.117071614</v>
      </c>
      <c r="GA227" s="432">
        <f t="shared" si="36"/>
        <v>56930028.965902433</v>
      </c>
      <c r="GB227" s="432">
        <f t="shared" si="36"/>
        <v>36060885.689019322</v>
      </c>
      <c r="GC227" s="432">
        <f t="shared" si="36"/>
        <v>69780505.759044364</v>
      </c>
      <c r="GE227" s="425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6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6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6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6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5">
        <v>785627.23999999987</v>
      </c>
      <c r="EU232" s="325">
        <v>993423.94</v>
      </c>
      <c r="EV232" s="325">
        <v>1089343.29</v>
      </c>
      <c r="EW232" s="325">
        <v>1198538.77</v>
      </c>
      <c r="EX232" s="325">
        <v>1382138.7799999998</v>
      </c>
      <c r="EY232" s="325">
        <v>1539773.02</v>
      </c>
      <c r="EZ232" s="325">
        <v>1993333.2050530105</v>
      </c>
      <c r="FA232" s="325">
        <v>2094009.8411112905</v>
      </c>
      <c r="FB232" s="325">
        <v>1758705.3100069393</v>
      </c>
      <c r="FC232" s="325">
        <v>1756312.8353634721</v>
      </c>
      <c r="FD232" s="325">
        <v>1538063.0039378535</v>
      </c>
      <c r="FE232" s="325">
        <v>1571199.152751297</v>
      </c>
      <c r="FF232" s="346">
        <v>851162.27</v>
      </c>
      <c r="FG232" s="346">
        <v>1041125.3899999999</v>
      </c>
      <c r="FH232" s="346">
        <v>1066481.8799999999</v>
      </c>
      <c r="FI232" s="346">
        <v>1290371.49</v>
      </c>
      <c r="FJ232" s="346">
        <v>1208813.17</v>
      </c>
      <c r="FK232" s="346">
        <v>1252534.6599999999</v>
      </c>
      <c r="FL232" s="346">
        <v>1795731.4641523927</v>
      </c>
      <c r="FM232" s="346">
        <v>1701456.5372229549</v>
      </c>
      <c r="FN232" s="346">
        <v>1388736.0694359436</v>
      </c>
      <c r="FO232" s="346">
        <v>1341528.8515351652</v>
      </c>
      <c r="FP232" s="346">
        <v>1134405.6022195939</v>
      </c>
      <c r="FQ232" s="346">
        <v>1246141.5409339513</v>
      </c>
      <c r="FR232" s="432">
        <f>SUM(FR233:FR236)</f>
        <v>669819.01</v>
      </c>
      <c r="FS232" s="432">
        <f t="shared" ref="FS232:GC232" si="39">SUM(FS233:FS236)</f>
        <v>845756.92</v>
      </c>
      <c r="FT232" s="432">
        <f t="shared" si="39"/>
        <v>720374.53</v>
      </c>
      <c r="FU232" s="432">
        <f t="shared" si="39"/>
        <v>316937.24</v>
      </c>
      <c r="FV232" s="432">
        <f t="shared" si="39"/>
        <v>469045.42</v>
      </c>
      <c r="FW232" s="432">
        <f t="shared" si="39"/>
        <v>1161870.8532355535</v>
      </c>
      <c r="FX232" s="432">
        <f t="shared" si="39"/>
        <v>1673430.2546007757</v>
      </c>
      <c r="FY232" s="432">
        <f t="shared" si="39"/>
        <v>1388372.9389781314</v>
      </c>
      <c r="FZ232" s="432">
        <f t="shared" si="39"/>
        <v>1416214.8034873675</v>
      </c>
      <c r="GA232" s="432">
        <f t="shared" si="39"/>
        <v>1276386.1061063381</v>
      </c>
      <c r="GB232" s="432">
        <f t="shared" si="39"/>
        <v>963348.80250703567</v>
      </c>
      <c r="GC232" s="432">
        <f t="shared" si="39"/>
        <v>1285597.5253147981</v>
      </c>
      <c r="GE232" s="425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6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6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6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6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5">
        <v>1774503.5699999998</v>
      </c>
      <c r="EU237" s="325">
        <v>1885893.46</v>
      </c>
      <c r="EV237" s="325">
        <v>2001213.06</v>
      </c>
      <c r="EW237" s="325">
        <v>2389766.7799999998</v>
      </c>
      <c r="EX237" s="325">
        <v>1530724.52</v>
      </c>
      <c r="EY237" s="325">
        <v>2860047.35</v>
      </c>
      <c r="EZ237" s="325">
        <v>2768982.89609381</v>
      </c>
      <c r="FA237" s="325">
        <v>1878964.846878767</v>
      </c>
      <c r="FB237" s="325">
        <v>2453431.0919642458</v>
      </c>
      <c r="FC237" s="325">
        <v>3062621.0292725526</v>
      </c>
      <c r="FD237" s="325">
        <v>2157522.0205821833</v>
      </c>
      <c r="FE237" s="325">
        <v>3364455.4723437326</v>
      </c>
      <c r="FF237" s="346">
        <v>2315003.25</v>
      </c>
      <c r="FG237" s="346">
        <v>1541397.86</v>
      </c>
      <c r="FH237" s="346">
        <v>2408517.5</v>
      </c>
      <c r="FI237" s="346">
        <v>3310133.38</v>
      </c>
      <c r="FJ237" s="346">
        <v>1792591.2</v>
      </c>
      <c r="FK237" s="346">
        <v>2081141.31</v>
      </c>
      <c r="FL237" s="346">
        <v>3811615.3822946725</v>
      </c>
      <c r="FM237" s="346">
        <v>2369139.8885664819</v>
      </c>
      <c r="FN237" s="346">
        <v>2509036.584840606</v>
      </c>
      <c r="FO237" s="346">
        <v>3286740.3746407013</v>
      </c>
      <c r="FP237" s="346">
        <v>2611990.4957672656</v>
      </c>
      <c r="FQ237" s="346">
        <v>3353537.6354902741</v>
      </c>
      <c r="FR237" s="432">
        <f>SUM(FR238:FR243)</f>
        <v>2226726.9299999997</v>
      </c>
      <c r="FS237" s="432">
        <f t="shared" ref="FS237:GC237" si="42">SUM(FS238:FS243)</f>
        <v>2200614.79</v>
      </c>
      <c r="FT237" s="432">
        <f t="shared" si="42"/>
        <v>1317967.9100000001</v>
      </c>
      <c r="FU237" s="432">
        <f t="shared" si="42"/>
        <v>1597851.3599999999</v>
      </c>
      <c r="FV237" s="432">
        <f t="shared" si="42"/>
        <v>1673853.74</v>
      </c>
      <c r="FW237" s="432">
        <f t="shared" si="42"/>
        <v>2179490.8743573632</v>
      </c>
      <c r="FX237" s="432">
        <f t="shared" si="42"/>
        <v>2571108.8359225746</v>
      </c>
      <c r="FY237" s="432">
        <f t="shared" si="42"/>
        <v>1825380.5890086682</v>
      </c>
      <c r="FZ237" s="432">
        <f t="shared" si="42"/>
        <v>2163813.0387331629</v>
      </c>
      <c r="GA237" s="432">
        <f t="shared" si="42"/>
        <v>1995229.2228867295</v>
      </c>
      <c r="GB237" s="432">
        <f t="shared" si="42"/>
        <v>1517691.0449207788</v>
      </c>
      <c r="GC237" s="432">
        <f t="shared" si="42"/>
        <v>3555523.5622207262</v>
      </c>
      <c r="GE237" s="425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6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6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6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6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6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6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5">
        <v>2425520.8099999996</v>
      </c>
      <c r="EU244" s="325">
        <v>1609741.96</v>
      </c>
      <c r="EV244" s="325">
        <v>2046839.3099999998</v>
      </c>
      <c r="EW244" s="325">
        <v>5482431.4299999997</v>
      </c>
      <c r="EX244" s="325">
        <v>2151437.83</v>
      </c>
      <c r="EY244" s="325">
        <v>2740294.16</v>
      </c>
      <c r="EZ244" s="325">
        <v>3610099.6149461018</v>
      </c>
      <c r="FA244" s="325">
        <v>2856432.7673175023</v>
      </c>
      <c r="FB244" s="325">
        <v>38693622.019299239</v>
      </c>
      <c r="FC244" s="325">
        <v>3080614.3453884441</v>
      </c>
      <c r="FD244" s="325">
        <v>2054798.3756645597</v>
      </c>
      <c r="FE244" s="325">
        <v>4981072.0471647922</v>
      </c>
      <c r="FF244" s="346">
        <v>1567288.04</v>
      </c>
      <c r="FG244" s="346">
        <v>2199531.1</v>
      </c>
      <c r="FH244" s="346">
        <v>3194097.81</v>
      </c>
      <c r="FI244" s="346">
        <v>2385711.15</v>
      </c>
      <c r="FJ244" s="346">
        <v>7159438.3900000006</v>
      </c>
      <c r="FK244" s="346">
        <v>3263135.44</v>
      </c>
      <c r="FL244" s="346">
        <v>3782335.0282840966</v>
      </c>
      <c r="FM244" s="346">
        <v>3340173.0404689522</v>
      </c>
      <c r="FN244" s="346">
        <f>37689732.0664406-35000000</f>
        <v>2689732.0664405972</v>
      </c>
      <c r="FO244" s="346">
        <f>2215962.80977053+35000000</f>
        <v>37215962.809770532</v>
      </c>
      <c r="FP244" s="346">
        <v>3512092.3071244648</v>
      </c>
      <c r="FQ244" s="346">
        <v>7138953.7303113183</v>
      </c>
      <c r="FR244" s="432">
        <f>SUM(FR245:FR248)</f>
        <v>1484714.27</v>
      </c>
      <c r="FS244" s="432">
        <f t="shared" ref="FS244:GC244" si="46">SUM(FS245:FS248)</f>
        <v>2100277.88</v>
      </c>
      <c r="FT244" s="432">
        <f t="shared" si="46"/>
        <v>4248499.3600000003</v>
      </c>
      <c r="FU244" s="432">
        <f t="shared" si="46"/>
        <v>1617752.3800000001</v>
      </c>
      <c r="FV244" s="432">
        <f t="shared" si="46"/>
        <v>1237245.3599999999</v>
      </c>
      <c r="FW244" s="432">
        <f t="shared" si="46"/>
        <v>2257816.068284105</v>
      </c>
      <c r="FX244" s="432">
        <f t="shared" si="46"/>
        <v>5692253.8149066633</v>
      </c>
      <c r="FY244" s="432">
        <f t="shared" si="46"/>
        <v>4621203.3620386366</v>
      </c>
      <c r="FZ244" s="432">
        <f t="shared" si="46"/>
        <v>17537126.915220708</v>
      </c>
      <c r="GA244" s="432">
        <f t="shared" si="46"/>
        <v>3831817.5735939299</v>
      </c>
      <c r="GB244" s="432">
        <f t="shared" si="46"/>
        <v>3619302.6260553906</v>
      </c>
      <c r="GC244" s="432">
        <f t="shared" si="46"/>
        <v>4678583.5639540665</v>
      </c>
      <c r="GE244" s="425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6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6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6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6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2">
        <v>62782.51</v>
      </c>
      <c r="FS249" s="432">
        <v>437988.22</v>
      </c>
      <c r="FT249" s="432">
        <v>603218.21</v>
      </c>
      <c r="FU249" s="432">
        <v>198578.39</v>
      </c>
      <c r="FV249" s="432">
        <v>270349.07</v>
      </c>
      <c r="FW249" s="432">
        <v>632440.5</v>
      </c>
      <c r="FX249" s="432">
        <v>632440.5</v>
      </c>
      <c r="FY249" s="432">
        <v>632440.5</v>
      </c>
      <c r="FZ249" s="432">
        <v>632440.5</v>
      </c>
      <c r="GA249" s="432">
        <v>632440.5</v>
      </c>
      <c r="GB249" s="432">
        <v>632440.5</v>
      </c>
      <c r="GC249" s="432">
        <v>632440.6</v>
      </c>
      <c r="GD249" s="348"/>
      <c r="GE249" s="425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2">
        <v>80819.179999999993</v>
      </c>
      <c r="FS252" s="432">
        <v>813727.89</v>
      </c>
      <c r="FT252" s="432">
        <v>794561.22</v>
      </c>
      <c r="FU252" s="432">
        <v>561040.23</v>
      </c>
      <c r="FV252" s="432">
        <v>218800.94</v>
      </c>
      <c r="FW252" s="432">
        <v>172752.84814830567</v>
      </c>
      <c r="FX252" s="432">
        <v>621585.63801238476</v>
      </c>
      <c r="FY252" s="432">
        <v>1170088.8491047423</v>
      </c>
      <c r="FZ252" s="432">
        <v>665799.08079606481</v>
      </c>
      <c r="GA252" s="432">
        <v>9201611.3215604126</v>
      </c>
      <c r="GB252" s="432">
        <v>1305018.6190754015</v>
      </c>
      <c r="GC252" s="432">
        <v>1507066.6233026888</v>
      </c>
      <c r="GE252" s="425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6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2">
        <v>754264.83</v>
      </c>
      <c r="FS255" s="432">
        <v>1636489.54</v>
      </c>
      <c r="FT255" s="432">
        <v>3512551.56</v>
      </c>
      <c r="FU255" s="432">
        <v>2957605.59</v>
      </c>
      <c r="FV255" s="432">
        <v>1856477.6183333334</v>
      </c>
      <c r="FW255" s="432">
        <v>2156477.6183333299</v>
      </c>
      <c r="FX255" s="432">
        <v>1856477.6183333334</v>
      </c>
      <c r="FY255" s="432">
        <v>1856477.6183333334</v>
      </c>
      <c r="FZ255" s="432">
        <v>25000000</v>
      </c>
      <c r="GA255" s="432">
        <v>1856477.6183333334</v>
      </c>
      <c r="GB255" s="432">
        <v>1856477.6183333334</v>
      </c>
      <c r="GC255" s="432">
        <v>4700000</v>
      </c>
      <c r="GE255" s="425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4">
        <f t="shared" si="48"/>
        <v>0</v>
      </c>
      <c r="CO259" s="324">
        <f t="shared" si="48"/>
        <v>200000000</v>
      </c>
      <c r="CP259" s="324">
        <f t="shared" si="48"/>
        <v>0</v>
      </c>
      <c r="CQ259" s="324">
        <f t="shared" si="48"/>
        <v>0</v>
      </c>
      <c r="CR259" s="324">
        <f t="shared" si="48"/>
        <v>0</v>
      </c>
      <c r="CS259" s="324">
        <f t="shared" si="48"/>
        <v>0</v>
      </c>
      <c r="CT259" s="324">
        <f t="shared" si="48"/>
        <v>0</v>
      </c>
      <c r="CU259" s="324">
        <f t="shared" si="48"/>
        <v>50000000</v>
      </c>
      <c r="CV259" s="324">
        <f t="shared" si="48"/>
        <v>0</v>
      </c>
      <c r="CW259" s="324">
        <f t="shared" si="48"/>
        <v>0</v>
      </c>
      <c r="CX259" s="324">
        <f t="shared" si="48"/>
        <v>18997964.655235786</v>
      </c>
      <c r="CY259" s="324">
        <f t="shared" ref="CY259:DI259" si="49">+SUM(CY260:CY261)</f>
        <v>18997964.655235786</v>
      </c>
      <c r="CZ259" s="324">
        <f t="shared" si="49"/>
        <v>18997964.655235786</v>
      </c>
      <c r="DA259" s="324">
        <f t="shared" si="49"/>
        <v>18997964.655235786</v>
      </c>
      <c r="DB259" s="324">
        <f t="shared" si="49"/>
        <v>18997964.655235786</v>
      </c>
      <c r="DC259" s="324">
        <f t="shared" si="49"/>
        <v>18997964.655235786</v>
      </c>
      <c r="DD259" s="324">
        <f t="shared" si="49"/>
        <v>18997964.655235786</v>
      </c>
      <c r="DE259" s="324">
        <f t="shared" si="49"/>
        <v>18997964.655235786</v>
      </c>
      <c r="DF259" s="324">
        <f t="shared" si="49"/>
        <v>18997964.655235786</v>
      </c>
      <c r="DG259" s="324">
        <f t="shared" si="49"/>
        <v>18997964.655235786</v>
      </c>
      <c r="DH259" s="324">
        <f t="shared" si="49"/>
        <v>18997964.655235786</v>
      </c>
      <c r="DI259" s="324">
        <f t="shared" si="49"/>
        <v>18997964.655235786</v>
      </c>
      <c r="DJ259" s="324">
        <f>+SUM(DJ260:DJ261)</f>
        <v>52840136.569718093</v>
      </c>
      <c r="DK259" s="324">
        <f t="shared" ref="DK259:DU259" si="50">+SUM(DK260:DK261)</f>
        <v>52840136.569718093</v>
      </c>
      <c r="DL259" s="324">
        <f t="shared" si="50"/>
        <v>52840136.569718093</v>
      </c>
      <c r="DM259" s="324">
        <f t="shared" si="50"/>
        <v>52840136.569718093</v>
      </c>
      <c r="DN259" s="324">
        <f t="shared" si="50"/>
        <v>52840136.569718093</v>
      </c>
      <c r="DO259" s="324">
        <f t="shared" si="50"/>
        <v>52840136.569718093</v>
      </c>
      <c r="DP259" s="324">
        <f t="shared" si="50"/>
        <v>52840136.569718093</v>
      </c>
      <c r="DQ259" s="324">
        <f t="shared" si="50"/>
        <v>52840136.569718093</v>
      </c>
      <c r="DR259" s="324">
        <f t="shared" si="50"/>
        <v>52840136.569718093</v>
      </c>
      <c r="DS259" s="324">
        <f t="shared" si="50"/>
        <v>52840136.569718093</v>
      </c>
      <c r="DT259" s="324">
        <f t="shared" si="50"/>
        <v>52840136.569718093</v>
      </c>
      <c r="DU259" s="324">
        <f t="shared" si="50"/>
        <v>52840136.569718093</v>
      </c>
      <c r="DV259" s="324">
        <f>SUM(DV260:DV261)</f>
        <v>55595756.08804667</v>
      </c>
      <c r="DW259" s="324">
        <f t="shared" ref="DW259:EF259" si="51">SUM(DW260:DW261)</f>
        <v>55595756.08804667</v>
      </c>
      <c r="DX259" s="324">
        <f t="shared" si="51"/>
        <v>55595756.08804667</v>
      </c>
      <c r="DY259" s="324">
        <f t="shared" si="51"/>
        <v>55595756.08804667</v>
      </c>
      <c r="DZ259" s="324">
        <f t="shared" si="51"/>
        <v>55595756.08804667</v>
      </c>
      <c r="EA259" s="324">
        <f t="shared" si="51"/>
        <v>55595756.08804667</v>
      </c>
      <c r="EB259" s="324">
        <f t="shared" si="51"/>
        <v>55595756.08804667</v>
      </c>
      <c r="EC259" s="324">
        <f t="shared" si="51"/>
        <v>55595756.08804667</v>
      </c>
      <c r="ED259" s="324">
        <f t="shared" si="51"/>
        <v>55595756.08804667</v>
      </c>
      <c r="EE259" s="324">
        <f t="shared" si="51"/>
        <v>55595756.08804667</v>
      </c>
      <c r="EF259" s="324">
        <f t="shared" si="51"/>
        <v>55595756.08804667</v>
      </c>
      <c r="EG259" s="324">
        <f>SUM(EG260:EG261)</f>
        <v>55595756.08804667</v>
      </c>
      <c r="EH259" s="324">
        <f t="shared" ref="EH259:ES259" si="52">SUM(EH260:EH261)</f>
        <v>37847818.636239164</v>
      </c>
      <c r="EI259" s="324">
        <f t="shared" si="52"/>
        <v>37847818.636239164</v>
      </c>
      <c r="EJ259" s="324">
        <f t="shared" si="52"/>
        <v>37847818.636239164</v>
      </c>
      <c r="EK259" s="324">
        <f t="shared" si="52"/>
        <v>37847818.636239164</v>
      </c>
      <c r="EL259" s="324">
        <f t="shared" si="52"/>
        <v>37847818.636239164</v>
      </c>
      <c r="EM259" s="324">
        <f t="shared" si="52"/>
        <v>37847818.636239164</v>
      </c>
      <c r="EN259" s="324">
        <f t="shared" si="52"/>
        <v>37847818.636239164</v>
      </c>
      <c r="EO259" s="324">
        <f t="shared" si="52"/>
        <v>37847818.636239164</v>
      </c>
      <c r="EP259" s="324">
        <f t="shared" si="52"/>
        <v>37847818.636239164</v>
      </c>
      <c r="EQ259" s="324">
        <f t="shared" si="52"/>
        <v>37847818.636239164</v>
      </c>
      <c r="ER259" s="324">
        <f t="shared" si="52"/>
        <v>37847818.636239164</v>
      </c>
      <c r="ES259" s="324">
        <f t="shared" si="52"/>
        <v>37847818.636239164</v>
      </c>
      <c r="ET259" s="324"/>
      <c r="EU259" s="324"/>
      <c r="EV259" s="324"/>
      <c r="EW259" s="324"/>
      <c r="EX259" s="324"/>
      <c r="EY259" s="324"/>
      <c r="EZ259" s="324"/>
      <c r="FA259" s="324"/>
      <c r="FB259" s="324"/>
      <c r="FC259" s="324"/>
      <c r="FD259" s="324"/>
      <c r="FE259" s="324"/>
      <c r="FF259" s="324">
        <v>24022843.850000001</v>
      </c>
      <c r="FG259" s="324">
        <v>0</v>
      </c>
      <c r="FH259" s="324">
        <v>107399337.39</v>
      </c>
      <c r="FI259" s="324">
        <v>15000000</v>
      </c>
      <c r="FJ259" s="324">
        <v>112000000</v>
      </c>
      <c r="FK259" s="324">
        <v>17000000</v>
      </c>
      <c r="FL259" s="324">
        <v>17000000</v>
      </c>
      <c r="FM259" s="324">
        <v>15000000</v>
      </c>
      <c r="FN259" s="324">
        <v>17000000</v>
      </c>
      <c r="FO259" s="324">
        <v>17000000</v>
      </c>
      <c r="FP259" s="324">
        <v>15000000</v>
      </c>
      <c r="FQ259" s="324">
        <v>13983087.501553783</v>
      </c>
      <c r="FR259" s="324">
        <f>SUM(FR260:FR261)</f>
        <v>316564.84000000003</v>
      </c>
      <c r="FS259" s="324">
        <f t="shared" ref="FS259:GC259" si="53">SUM(FS260:FS261)</f>
        <v>1511136.76</v>
      </c>
      <c r="FT259" s="324">
        <f t="shared" si="53"/>
        <v>3834054.75</v>
      </c>
      <c r="FU259" s="324">
        <f t="shared" si="53"/>
        <v>4493810.3600000003</v>
      </c>
      <c r="FV259" s="324">
        <f t="shared" si="53"/>
        <v>250307576.15000001</v>
      </c>
      <c r="FW259" s="324">
        <f t="shared" si="53"/>
        <v>10146635.998571429</v>
      </c>
      <c r="FX259" s="324">
        <f t="shared" si="53"/>
        <v>10146635.998571429</v>
      </c>
      <c r="FY259" s="324">
        <f t="shared" si="53"/>
        <v>10146635.998571429</v>
      </c>
      <c r="FZ259" s="324">
        <f t="shared" si="53"/>
        <v>10146635.998571429</v>
      </c>
      <c r="GA259" s="324">
        <f t="shared" si="53"/>
        <v>10146635.998571429</v>
      </c>
      <c r="GB259" s="324">
        <f t="shared" si="53"/>
        <v>10146635.998571429</v>
      </c>
      <c r="GC259" s="324">
        <f t="shared" si="53"/>
        <v>10146635.998571429</v>
      </c>
      <c r="GE259" s="425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5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4">
        <v>36581480.009166665</v>
      </c>
      <c r="EU264" s="324">
        <v>36581480.009166665</v>
      </c>
      <c r="EV264" s="324">
        <v>36581480.009166665</v>
      </c>
      <c r="EW264" s="324">
        <v>36581480.009166665</v>
      </c>
      <c r="EX264" s="324">
        <v>36581480.009166665</v>
      </c>
      <c r="EY264" s="324">
        <v>36581480.009166665</v>
      </c>
      <c r="EZ264" s="324">
        <v>36581480.009166665</v>
      </c>
      <c r="FA264" s="324">
        <v>36581480.009166665</v>
      </c>
      <c r="FB264" s="324">
        <v>42330489.099166654</v>
      </c>
      <c r="FC264" s="324">
        <v>42330489.099166654</v>
      </c>
      <c r="FD264" s="324">
        <v>42330489.099166654</v>
      </c>
      <c r="FE264" s="324">
        <v>42330489.099166654</v>
      </c>
      <c r="FF264" s="324">
        <v>39362332.101666681</v>
      </c>
      <c r="FG264" s="324">
        <v>39125646.701666676</v>
      </c>
      <c r="FH264" s="324">
        <v>39113380.221666679</v>
      </c>
      <c r="FI264" s="324">
        <v>39105431.161666669</v>
      </c>
      <c r="FJ264" s="324">
        <v>39107573.981666677</v>
      </c>
      <c r="FK264" s="324">
        <v>41935580.18166668</v>
      </c>
      <c r="FL264" s="324">
        <v>39107470.111666672</v>
      </c>
      <c r="FM264" s="324">
        <v>39093383.891666673</v>
      </c>
      <c r="FN264" s="324">
        <v>39030288.911666676</v>
      </c>
      <c r="FO264" s="324">
        <v>39107584.94166667</v>
      </c>
      <c r="FP264" s="324">
        <v>39107395.941666678</v>
      </c>
      <c r="FQ264" s="324">
        <v>38858179.001666702</v>
      </c>
      <c r="FR264" s="324">
        <v>40884882.280000001</v>
      </c>
      <c r="FS264" s="324">
        <v>41362850.270000003</v>
      </c>
      <c r="FT264" s="324">
        <v>41444412.079999998</v>
      </c>
      <c r="FU264" s="324">
        <v>41745440.189999998</v>
      </c>
      <c r="FV264" s="324">
        <v>40757623.899999999</v>
      </c>
      <c r="FW264" s="324">
        <v>41753797.367142849</v>
      </c>
      <c r="FX264" s="324">
        <v>41753797.367142849</v>
      </c>
      <c r="FY264" s="324">
        <v>41753797.367142849</v>
      </c>
      <c r="FZ264" s="324">
        <v>41753797.367142849</v>
      </c>
      <c r="GA264" s="324">
        <v>41753797.367142849</v>
      </c>
      <c r="GB264" s="324">
        <v>41753797.367142849</v>
      </c>
      <c r="GC264" s="324">
        <v>41753797.367142849</v>
      </c>
      <c r="GE264" s="425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6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6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6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6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6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4">
        <v>1045765.8483333333</v>
      </c>
      <c r="EU270" s="324">
        <v>1045765.8483333333</v>
      </c>
      <c r="EV270" s="324">
        <v>1045765.8483333333</v>
      </c>
      <c r="EW270" s="324">
        <v>1064654.7372222226</v>
      </c>
      <c r="EX270" s="324">
        <v>1064654.7372222226</v>
      </c>
      <c r="EY270" s="324">
        <v>1064654.7372222226</v>
      </c>
      <c r="EZ270" s="324">
        <v>1064654.7372222226</v>
      </c>
      <c r="FA270" s="324">
        <v>1064654.7372222226</v>
      </c>
      <c r="FB270" s="324">
        <v>1064654.7372222201</v>
      </c>
      <c r="FC270" s="324">
        <v>1064654.7372222201</v>
      </c>
      <c r="FD270" s="324">
        <v>1064654.7372222226</v>
      </c>
      <c r="FE270" s="324">
        <v>1608087.7372222189</v>
      </c>
      <c r="FF270" s="324">
        <v>1281057.9508333332</v>
      </c>
      <c r="FG270" s="324">
        <v>1323983.3608333331</v>
      </c>
      <c r="FH270" s="324">
        <v>1260740.2808333333</v>
      </c>
      <c r="FI270" s="324">
        <v>1247473.6108333331</v>
      </c>
      <c r="FJ270" s="324">
        <v>1248015.2908333333</v>
      </c>
      <c r="FK270" s="324">
        <v>1249948.9408333332</v>
      </c>
      <c r="FL270" s="324">
        <v>1249158.6208333333</v>
      </c>
      <c r="FM270" s="324">
        <v>1249158.6208333333</v>
      </c>
      <c r="FN270" s="324">
        <v>1249658.6108333331</v>
      </c>
      <c r="FO270" s="324">
        <v>1239658.6108333331</v>
      </c>
      <c r="FP270" s="324">
        <v>1238097.2408333332</v>
      </c>
      <c r="FQ270" s="324">
        <v>1240174.31083333</v>
      </c>
      <c r="FR270" s="324">
        <v>476603.42</v>
      </c>
      <c r="FS270" s="324">
        <v>1082169.6499999999</v>
      </c>
      <c r="FT270" s="324">
        <v>1109472.33</v>
      </c>
      <c r="FU270" s="324">
        <v>652598.81999999995</v>
      </c>
      <c r="FV270" s="324">
        <v>376000.24</v>
      </c>
      <c r="FW270" s="324">
        <v>1605574.7457142856</v>
      </c>
      <c r="FX270" s="324">
        <v>1605574.7457142856</v>
      </c>
      <c r="FY270" s="324">
        <v>1605574.7457142856</v>
      </c>
      <c r="FZ270" s="324">
        <v>1605574.7457142856</v>
      </c>
      <c r="GA270" s="324">
        <v>1605574.7457142856</v>
      </c>
      <c r="GB270" s="324">
        <v>1605574.7457142856</v>
      </c>
      <c r="GC270" s="324">
        <v>1605590.0757142901</v>
      </c>
      <c r="GE270" s="425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28"/>
      <c r="FS271" s="428"/>
      <c r="FT271" s="428"/>
      <c r="FU271" s="428"/>
      <c r="FV271" s="428"/>
      <c r="FW271" s="428"/>
      <c r="FX271" s="428"/>
      <c r="FY271" s="428"/>
      <c r="FZ271" s="428"/>
      <c r="GA271" s="428"/>
      <c r="GB271" s="428"/>
      <c r="GC271" s="428"/>
      <c r="GD271" s="42"/>
      <c r="GE271" s="426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28"/>
      <c r="FS272" s="428"/>
      <c r="FT272" s="428"/>
      <c r="FU272" s="428"/>
      <c r="FV272" s="428"/>
      <c r="FW272" s="428"/>
      <c r="FX272" s="428"/>
      <c r="FY272" s="428"/>
      <c r="FZ272" s="428"/>
      <c r="GA272" s="428"/>
      <c r="GB272" s="428"/>
      <c r="GC272" s="428"/>
      <c r="GD272" s="42"/>
      <c r="GE272" s="426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28"/>
      <c r="FS273" s="428"/>
      <c r="FT273" s="428"/>
      <c r="FU273" s="428"/>
      <c r="FV273" s="428"/>
      <c r="FW273" s="428"/>
      <c r="FX273" s="428"/>
      <c r="FY273" s="428"/>
      <c r="FZ273" s="428"/>
      <c r="GA273" s="428"/>
      <c r="GB273" s="428"/>
      <c r="GC273" s="428"/>
      <c r="GD273" s="42"/>
      <c r="GE273" s="426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28"/>
      <c r="FS274" s="428"/>
      <c r="FT274" s="428"/>
      <c r="FU274" s="428"/>
      <c r="FV274" s="428"/>
      <c r="FW274" s="428"/>
      <c r="FX274" s="428"/>
      <c r="FY274" s="428"/>
      <c r="FZ274" s="428"/>
      <c r="GA274" s="428"/>
      <c r="GB274" s="428"/>
      <c r="GC274" s="428"/>
      <c r="GD274" s="42"/>
      <c r="GE274" s="426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28"/>
      <c r="FS275" s="428"/>
      <c r="FT275" s="428"/>
      <c r="FU275" s="428"/>
      <c r="FV275" s="428"/>
      <c r="FW275" s="428"/>
      <c r="FX275" s="428"/>
      <c r="FY275" s="428"/>
      <c r="FZ275" s="428"/>
      <c r="GA275" s="428"/>
      <c r="GB275" s="428"/>
      <c r="GC275" s="428"/>
      <c r="GD275" s="42"/>
      <c r="GE275" s="426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6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28"/>
      <c r="FS277" s="428"/>
      <c r="FT277" s="428"/>
      <c r="FU277" s="428"/>
      <c r="FV277" s="428"/>
      <c r="FW277" s="428"/>
      <c r="FX277" s="428"/>
      <c r="FY277" s="428"/>
      <c r="FZ277" s="428"/>
      <c r="GA277" s="428"/>
      <c r="GB277" s="428"/>
      <c r="GC277" s="428"/>
      <c r="GD277" s="42"/>
      <c r="GE277" s="426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4">
        <v>2429373.3213333334</v>
      </c>
      <c r="EU278" s="324">
        <v>2429373.3213333334</v>
      </c>
      <c r="EV278" s="324">
        <v>2429373.3213333334</v>
      </c>
      <c r="EW278" s="324">
        <v>2429373.3213333334</v>
      </c>
      <c r="EX278" s="324">
        <v>2429373.3213333334</v>
      </c>
      <c r="EY278" s="324">
        <v>2429373.3213333334</v>
      </c>
      <c r="EZ278" s="324">
        <v>3644059.9819999994</v>
      </c>
      <c r="FA278" s="324">
        <v>3644059.9819999994</v>
      </c>
      <c r="FB278" s="324">
        <v>4454463.4019999988</v>
      </c>
      <c r="FC278" s="324">
        <v>4454463.4019999988</v>
      </c>
      <c r="FD278" s="324">
        <v>4454463.4019999988</v>
      </c>
      <c r="FE278" s="324">
        <v>4454463.4019999988</v>
      </c>
      <c r="FF278" s="324">
        <v>3067786.435833334</v>
      </c>
      <c r="FG278" s="324">
        <v>3019826.0658333339</v>
      </c>
      <c r="FH278" s="324">
        <v>3058309.8858333337</v>
      </c>
      <c r="FI278" s="324">
        <v>3046755.8058333341</v>
      </c>
      <c r="FJ278" s="324">
        <v>3057105.8058333341</v>
      </c>
      <c r="FK278" s="324">
        <v>3056755.8058333341</v>
      </c>
      <c r="FL278" s="324">
        <v>3059180.8058333341</v>
      </c>
      <c r="FM278" s="324">
        <v>3059180.8058333341</v>
      </c>
      <c r="FN278" s="324">
        <v>3059040.8058333341</v>
      </c>
      <c r="FO278" s="324">
        <v>3063161.8058333341</v>
      </c>
      <c r="FP278" s="324">
        <v>3060771.8058333341</v>
      </c>
      <c r="FQ278" s="324">
        <v>3044951.8258333337</v>
      </c>
      <c r="FR278" s="324">
        <v>845574.4</v>
      </c>
      <c r="FS278" s="324">
        <v>4271561.3099999996</v>
      </c>
      <c r="FT278" s="324">
        <v>2456800.5</v>
      </c>
      <c r="FU278" s="324">
        <v>3001224.56</v>
      </c>
      <c r="FV278" s="324">
        <v>1835726.56</v>
      </c>
      <c r="FW278" s="324">
        <v>3331584.2171428567</v>
      </c>
      <c r="FX278" s="324">
        <v>3331584.2171428567</v>
      </c>
      <c r="FY278" s="324">
        <v>2665267.3737142859</v>
      </c>
      <c r="FZ278" s="324">
        <v>3331584.2171428567</v>
      </c>
      <c r="GA278" s="324">
        <v>3331584.2171428567</v>
      </c>
      <c r="GB278" s="324">
        <v>3331584.2171428567</v>
      </c>
      <c r="GC278" s="324">
        <v>3997910.8964734701</v>
      </c>
      <c r="GE278" s="425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6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6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6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6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6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6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4">
        <v>3986420.5893333331</v>
      </c>
      <c r="EU285" s="324">
        <v>3986420.5893333331</v>
      </c>
      <c r="EV285" s="324">
        <v>3986420.5893333331</v>
      </c>
      <c r="EW285" s="324">
        <v>4097531.7004444432</v>
      </c>
      <c r="EX285" s="324">
        <v>4097531.7004444432</v>
      </c>
      <c r="EY285" s="324">
        <v>4097531.7004444432</v>
      </c>
      <c r="EZ285" s="324">
        <v>6090741.9951111097</v>
      </c>
      <c r="FA285" s="324">
        <v>6090741.9951111097</v>
      </c>
      <c r="FB285" s="324">
        <v>5577148.0201111175</v>
      </c>
      <c r="FC285" s="324">
        <v>5577148.0201111175</v>
      </c>
      <c r="FD285" s="324">
        <v>5577148.0201111175</v>
      </c>
      <c r="FE285" s="324">
        <v>5577148.0201111175</v>
      </c>
      <c r="FF285" s="324">
        <v>6120514.5875000004</v>
      </c>
      <c r="FG285" s="324">
        <v>5971668.0075000003</v>
      </c>
      <c r="FH285" s="324">
        <v>5177760.0175000001</v>
      </c>
      <c r="FI285" s="324">
        <v>5087042.1275000004</v>
      </c>
      <c r="FJ285" s="324">
        <v>5141875.5275000008</v>
      </c>
      <c r="FK285" s="324">
        <v>5197534.4975000005</v>
      </c>
      <c r="FL285" s="324">
        <v>5059087.2374999989</v>
      </c>
      <c r="FM285" s="324">
        <v>5071091.2374999989</v>
      </c>
      <c r="FN285" s="324">
        <v>5175886.7374999989</v>
      </c>
      <c r="FO285" s="324">
        <v>5062253.3274999987</v>
      </c>
      <c r="FP285" s="324">
        <v>5061881.6574999988</v>
      </c>
      <c r="FQ285" s="324">
        <v>5000451.0074999994</v>
      </c>
      <c r="FR285" s="324">
        <v>1526609.67</v>
      </c>
      <c r="FS285" s="324">
        <v>5800030.7699999996</v>
      </c>
      <c r="FT285" s="324">
        <v>6227024.2599999998</v>
      </c>
      <c r="FU285" s="324">
        <v>3735755.56</v>
      </c>
      <c r="FV285" s="324">
        <v>13077926.789999999</v>
      </c>
      <c r="FW285" s="324">
        <v>4490161.0014285715</v>
      </c>
      <c r="FX285" s="324">
        <v>4490161.0014285715</v>
      </c>
      <c r="FY285" s="324">
        <v>3592128.8011428574</v>
      </c>
      <c r="FZ285" s="324">
        <v>4490161.0014285715</v>
      </c>
      <c r="GA285" s="324">
        <v>4490161.0014285715</v>
      </c>
      <c r="GB285" s="324">
        <v>4490161.0014285715</v>
      </c>
      <c r="GC285" s="324">
        <v>5388158.5617142906</v>
      </c>
      <c r="GE285" s="425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6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6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6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6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6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6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6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6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6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4">
        <v>1860319.3983333334</v>
      </c>
      <c r="EU295" s="324">
        <v>1860319.3983333334</v>
      </c>
      <c r="EV295" s="324">
        <v>1860319.3983333334</v>
      </c>
      <c r="EW295" s="324">
        <v>1860319.3983333334</v>
      </c>
      <c r="EX295" s="324">
        <v>1860319.3983333334</v>
      </c>
      <c r="EY295" s="324">
        <v>1860319.3983333334</v>
      </c>
      <c r="EZ295" s="324">
        <v>1860319.3983333334</v>
      </c>
      <c r="FA295" s="324">
        <v>1860319.3983333334</v>
      </c>
      <c r="FB295" s="324">
        <v>1850732.9058333328</v>
      </c>
      <c r="FC295" s="324">
        <v>1850732.9058333328</v>
      </c>
      <c r="FD295" s="324">
        <v>1850732.9058333328</v>
      </c>
      <c r="FE295" s="324">
        <v>1850732.9058333328</v>
      </c>
      <c r="FF295" s="324">
        <v>1931829.4616666667</v>
      </c>
      <c r="FG295" s="324">
        <v>1929704.3816666668</v>
      </c>
      <c r="FH295" s="324">
        <v>1921162.7116666667</v>
      </c>
      <c r="FI295" s="324">
        <v>1920662.7116666667</v>
      </c>
      <c r="FJ295" s="324">
        <v>1927678.7016666669</v>
      </c>
      <c r="FK295" s="324">
        <v>1927612.7316666667</v>
      </c>
      <c r="FL295" s="324">
        <v>1934953.7116666667</v>
      </c>
      <c r="FM295" s="324">
        <v>1934887.7116666667</v>
      </c>
      <c r="FN295" s="324">
        <v>1926953.7016666669</v>
      </c>
      <c r="FO295" s="324">
        <v>1926887.7016666669</v>
      </c>
      <c r="FP295" s="324">
        <v>1926953.7016666669</v>
      </c>
      <c r="FQ295" s="324">
        <v>1908616.3716666668</v>
      </c>
      <c r="FR295" s="324">
        <v>108691.98</v>
      </c>
      <c r="FS295" s="324">
        <v>2265483.7400000002</v>
      </c>
      <c r="FT295" s="324">
        <v>1016574.39</v>
      </c>
      <c r="FU295" s="324">
        <v>2804355.68</v>
      </c>
      <c r="FV295" s="324">
        <v>1877727.17</v>
      </c>
      <c r="FW295" s="324">
        <v>2564587.1557142856</v>
      </c>
      <c r="FX295" s="324">
        <v>2564587.1557142856</v>
      </c>
      <c r="FY295" s="324">
        <v>2051669.7245714283</v>
      </c>
      <c r="FZ295" s="324">
        <v>2564587.1557142856</v>
      </c>
      <c r="GA295" s="324">
        <v>2564587.1557142856</v>
      </c>
      <c r="GB295" s="324">
        <v>2564587.1557142856</v>
      </c>
      <c r="GC295" s="324">
        <v>3077495.2968571493</v>
      </c>
      <c r="GE295" s="425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6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6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6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4">
        <v>7122725</v>
      </c>
      <c r="EU299" s="324">
        <v>7122725</v>
      </c>
      <c r="EV299" s="324">
        <v>7122725</v>
      </c>
      <c r="EW299" s="324">
        <v>7122725</v>
      </c>
      <c r="EX299" s="324">
        <v>7122725</v>
      </c>
      <c r="EY299" s="324">
        <v>7122725</v>
      </c>
      <c r="EZ299" s="324">
        <v>7122725</v>
      </c>
      <c r="FA299" s="324">
        <v>7122725</v>
      </c>
      <c r="FB299" s="324">
        <v>7615225</v>
      </c>
      <c r="FC299" s="324">
        <v>7615225</v>
      </c>
      <c r="FD299" s="324">
        <v>7615225</v>
      </c>
      <c r="FE299" s="324">
        <v>7615225</v>
      </c>
      <c r="FF299" s="324">
        <v>7980725.0000000009</v>
      </c>
      <c r="FG299" s="324">
        <v>986719.96000000054</v>
      </c>
      <c r="FH299" s="324">
        <v>28101499.100000001</v>
      </c>
      <c r="FI299" s="324">
        <v>18499732.100000001</v>
      </c>
      <c r="FJ299" s="324">
        <v>14045836.270000001</v>
      </c>
      <c r="FK299" s="324">
        <v>1973802.6600000008</v>
      </c>
      <c r="FL299" s="324">
        <v>8764475.7899999991</v>
      </c>
      <c r="FM299" s="324">
        <v>1297206.1400000008</v>
      </c>
      <c r="FN299" s="324">
        <v>3140325.8000000007</v>
      </c>
      <c r="FO299" s="324">
        <v>1321292.0800000008</v>
      </c>
      <c r="FP299" s="324">
        <v>7803737.330000001</v>
      </c>
      <c r="FQ299" s="324">
        <v>1837347.7700000007</v>
      </c>
      <c r="FR299" s="324">
        <v>7654845.3899999997</v>
      </c>
      <c r="FS299" s="324">
        <v>1839801.88</v>
      </c>
      <c r="FT299" s="324">
        <v>27475960.399999999</v>
      </c>
      <c r="FU299" s="324">
        <v>22559197.739999998</v>
      </c>
      <c r="FV299" s="324">
        <v>1656916.58</v>
      </c>
      <c r="FW299" s="324">
        <v>5198232.47</v>
      </c>
      <c r="FX299" s="324">
        <v>7583026.2800000003</v>
      </c>
      <c r="FY299" s="324">
        <v>786949.86</v>
      </c>
      <c r="FZ299" s="324">
        <v>2190986</v>
      </c>
      <c r="GA299" s="324">
        <v>17371477.57</v>
      </c>
      <c r="GB299" s="324">
        <v>3971191.03</v>
      </c>
      <c r="GC299" s="324">
        <v>5055431.2400000077</v>
      </c>
      <c r="GE299" s="425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6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6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4">
        <v>800010.93333333347</v>
      </c>
      <c r="EU302" s="324">
        <v>800010.93333333347</v>
      </c>
      <c r="EV302" s="324">
        <v>800010.93333333347</v>
      </c>
      <c r="EW302" s="324">
        <v>800010.93333333347</v>
      </c>
      <c r="EX302" s="324">
        <v>800010.93333333347</v>
      </c>
      <c r="EY302" s="324">
        <v>800010.93333333347</v>
      </c>
      <c r="EZ302" s="324">
        <v>800010.93333333347</v>
      </c>
      <c r="FA302" s="324">
        <v>800010.93333333347</v>
      </c>
      <c r="FB302" s="324">
        <v>986109.29833333322</v>
      </c>
      <c r="FC302" s="324">
        <v>986109.29833333322</v>
      </c>
      <c r="FD302" s="324">
        <v>986109.29833333322</v>
      </c>
      <c r="FE302" s="324">
        <v>986109.29833333322</v>
      </c>
      <c r="FF302" s="324">
        <v>832820.39</v>
      </c>
      <c r="FG302" s="324">
        <v>780840.39</v>
      </c>
      <c r="FH302" s="324">
        <v>793807.47</v>
      </c>
      <c r="FI302" s="324">
        <v>776070.39</v>
      </c>
      <c r="FJ302" s="324">
        <v>793070.39</v>
      </c>
      <c r="FK302" s="324">
        <v>826070.39</v>
      </c>
      <c r="FL302" s="324">
        <v>846570.39</v>
      </c>
      <c r="FM302" s="324">
        <v>846570.39</v>
      </c>
      <c r="FN302" s="324">
        <v>826570.39</v>
      </c>
      <c r="FO302" s="324">
        <v>826570.39</v>
      </c>
      <c r="FP302" s="324">
        <v>826570.39</v>
      </c>
      <c r="FQ302" s="324">
        <v>845570.39</v>
      </c>
      <c r="FR302" s="324">
        <v>616777.93000000005</v>
      </c>
      <c r="FS302" s="324">
        <v>930050.26</v>
      </c>
      <c r="FT302" s="324">
        <v>896586.65</v>
      </c>
      <c r="FU302" s="324">
        <v>972131.72</v>
      </c>
      <c r="FV302" s="324">
        <v>769427.2</v>
      </c>
      <c r="FW302" s="324">
        <v>991607.47714285715</v>
      </c>
      <c r="FX302" s="324">
        <v>991607.47714285715</v>
      </c>
      <c r="FY302" s="324">
        <v>991607.47714285715</v>
      </c>
      <c r="FZ302" s="324">
        <v>991607.47714285715</v>
      </c>
      <c r="GA302" s="324">
        <v>991607.47714285715</v>
      </c>
      <c r="GB302" s="324">
        <v>991607.47714285715</v>
      </c>
      <c r="GC302" s="324">
        <v>991620.63714285719</v>
      </c>
      <c r="GE302" s="425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6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6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6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4">
        <v>2250983.3333333335</v>
      </c>
      <c r="EU306" s="324">
        <v>2250983.3333333335</v>
      </c>
      <c r="EV306" s="324">
        <v>2250983.3333333335</v>
      </c>
      <c r="EW306" s="324">
        <v>2250983.3333333335</v>
      </c>
      <c r="EX306" s="324">
        <v>2250983.3333333335</v>
      </c>
      <c r="EY306" s="324">
        <v>2250983.3333333335</v>
      </c>
      <c r="EZ306" s="324">
        <v>2250983.3333333335</v>
      </c>
      <c r="FA306" s="324">
        <v>2250983.3333333335</v>
      </c>
      <c r="FB306" s="324">
        <v>2180983.3333333344</v>
      </c>
      <c r="FC306" s="324">
        <v>2180983.3333333344</v>
      </c>
      <c r="FD306" s="324">
        <v>2180983.3333333344</v>
      </c>
      <c r="FE306" s="324">
        <v>2180983.3333333344</v>
      </c>
      <c r="FF306" s="324">
        <v>2149037.4966666666</v>
      </c>
      <c r="FG306" s="324">
        <v>2320829.9566666665</v>
      </c>
      <c r="FH306" s="324">
        <v>4834564.4966666671</v>
      </c>
      <c r="FI306" s="324">
        <v>2443787.4966666666</v>
      </c>
      <c r="FJ306" s="324">
        <v>2190037.4966666666</v>
      </c>
      <c r="FK306" s="324">
        <v>1990037.4966666666</v>
      </c>
      <c r="FL306" s="324">
        <v>1956704.1566666667</v>
      </c>
      <c r="FM306" s="324">
        <v>2253357.6966666663</v>
      </c>
      <c r="FN306" s="324">
        <v>4447481.1566666672</v>
      </c>
      <c r="FO306" s="324">
        <v>2156704.1566666663</v>
      </c>
      <c r="FP306" s="324">
        <v>2056704.1966666668</v>
      </c>
      <c r="FQ306" s="324">
        <v>2015354.1966666668</v>
      </c>
      <c r="FR306" s="324">
        <v>186907.92</v>
      </c>
      <c r="FS306" s="324">
        <v>1211715.27</v>
      </c>
      <c r="FT306" s="324">
        <v>1425211.49</v>
      </c>
      <c r="FU306" s="324">
        <v>5065576.53</v>
      </c>
      <c r="FV306" s="324">
        <v>1512180.75</v>
      </c>
      <c r="FW306" s="324">
        <v>4240435.0014285715</v>
      </c>
      <c r="FX306" s="324">
        <v>4240435.0014285715</v>
      </c>
      <c r="FY306" s="324">
        <v>4240435.0014285715</v>
      </c>
      <c r="FZ306" s="324">
        <v>4240435.0014285715</v>
      </c>
      <c r="GA306" s="324">
        <v>4240435.0014285715</v>
      </c>
      <c r="GB306" s="324">
        <v>4240435.0014285715</v>
      </c>
      <c r="GC306" s="324">
        <v>4240435.0014285715</v>
      </c>
      <c r="GE306" s="425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6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6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6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4">
        <v>2581823.9339999999</v>
      </c>
      <c r="EU310" s="324">
        <v>2581823.9339999999</v>
      </c>
      <c r="EV310" s="324">
        <v>2581823.9339999999</v>
      </c>
      <c r="EW310" s="324">
        <v>2696268.3784444444</v>
      </c>
      <c r="EX310" s="324">
        <v>2696268.3784444444</v>
      </c>
      <c r="EY310" s="324">
        <v>2696268.3784444444</v>
      </c>
      <c r="EZ310" s="324">
        <v>3987180.345444445</v>
      </c>
      <c r="FA310" s="324">
        <v>3987180.345444445</v>
      </c>
      <c r="FB310" s="324">
        <v>3877323.0754444436</v>
      </c>
      <c r="FC310" s="324">
        <v>3877323.0754444436</v>
      </c>
      <c r="FD310" s="324">
        <v>3877323.0754444436</v>
      </c>
      <c r="FE310" s="324">
        <v>3877323.0754444436</v>
      </c>
      <c r="FF310" s="324">
        <v>3473855.870833334</v>
      </c>
      <c r="FG310" s="324">
        <v>4119817.790833334</v>
      </c>
      <c r="FH310" s="324">
        <v>5047234.1108333347</v>
      </c>
      <c r="FI310" s="324">
        <v>3132271.9408333339</v>
      </c>
      <c r="FJ310" s="324">
        <v>3070265.2508333339</v>
      </c>
      <c r="FK310" s="324">
        <v>3309652.560833334</v>
      </c>
      <c r="FL310" s="324">
        <v>4122049.5508333351</v>
      </c>
      <c r="FM310" s="324">
        <v>3027649.6708333334</v>
      </c>
      <c r="FN310" s="324">
        <v>2986649.6408333336</v>
      </c>
      <c r="FO310" s="324">
        <v>2977759.6208333336</v>
      </c>
      <c r="FP310" s="324">
        <v>3014504.6508333334</v>
      </c>
      <c r="FQ310" s="324">
        <v>2914612.7408333337</v>
      </c>
      <c r="FR310" s="324">
        <v>1397051.29</v>
      </c>
      <c r="FS310" s="324">
        <v>3848578.53</v>
      </c>
      <c r="FT310" s="324">
        <v>3215082.08</v>
      </c>
      <c r="FU310" s="324">
        <v>3945513.03</v>
      </c>
      <c r="FV310" s="324">
        <v>3372954.89</v>
      </c>
      <c r="FW310" s="324">
        <v>6200000</v>
      </c>
      <c r="FX310" s="324">
        <v>4599715.6983333342</v>
      </c>
      <c r="FY310" s="324">
        <v>3679772.5586666674</v>
      </c>
      <c r="FZ310" s="324">
        <v>4599715.6983333342</v>
      </c>
      <c r="GA310" s="324">
        <v>4599715.6983333342</v>
      </c>
      <c r="GB310" s="324">
        <v>4599715.6983333342</v>
      </c>
      <c r="GC310" s="324">
        <v>5519658.8379999958</v>
      </c>
      <c r="GE310" s="425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6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6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6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6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6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6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6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6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6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4">
        <v>45950724.162500009</v>
      </c>
      <c r="EU320" s="324">
        <v>45950724.162500009</v>
      </c>
      <c r="EV320" s="324">
        <v>45950724.162500009</v>
      </c>
      <c r="EW320" s="324">
        <v>45950724.162500009</v>
      </c>
      <c r="EX320" s="324">
        <v>45950724.162500009</v>
      </c>
      <c r="EY320" s="324">
        <v>45950724.162500009</v>
      </c>
      <c r="EZ320" s="324">
        <v>45950724.162500009</v>
      </c>
      <c r="FA320" s="324">
        <v>45950724.162500009</v>
      </c>
      <c r="FB320" s="324">
        <v>47831745.139999971</v>
      </c>
      <c r="FC320" s="324">
        <v>47831745.139999971</v>
      </c>
      <c r="FD320" s="324">
        <v>47831745.139999971</v>
      </c>
      <c r="FE320" s="324">
        <v>47831745.139999971</v>
      </c>
      <c r="FF320" s="324">
        <v>46204849.909999982</v>
      </c>
      <c r="FG320" s="324">
        <v>46206149.810000002</v>
      </c>
      <c r="FH320" s="324">
        <v>46206149.810000002</v>
      </c>
      <c r="FI320" s="324">
        <v>46206149.810000002</v>
      </c>
      <c r="FJ320" s="324">
        <v>46206149.810000002</v>
      </c>
      <c r="FK320" s="324">
        <v>46206149.810000002</v>
      </c>
      <c r="FL320" s="324">
        <v>46206149.810000002</v>
      </c>
      <c r="FM320" s="324">
        <v>46206149.810000002</v>
      </c>
      <c r="FN320" s="324">
        <v>46206149.810000002</v>
      </c>
      <c r="FO320" s="324">
        <v>47329512.010000005</v>
      </c>
      <c r="FP320" s="324">
        <v>47329512.010000005</v>
      </c>
      <c r="FQ320" s="324">
        <v>47329512.010000005</v>
      </c>
      <c r="FR320" s="324">
        <f>FR321+FR330+FR336+FR344+FR346</f>
        <v>43744418.239999995</v>
      </c>
      <c r="FS320" s="324">
        <f t="shared" ref="FS320:GC320" si="84">FS321+FS330+FS336+FS344+FS346</f>
        <v>46796687.629999995</v>
      </c>
      <c r="FT320" s="324">
        <f t="shared" si="84"/>
        <v>46377214.320000008</v>
      </c>
      <c r="FU320" s="324">
        <f t="shared" si="84"/>
        <v>46828214.329999998</v>
      </c>
      <c r="FV320" s="324">
        <f t="shared" si="84"/>
        <v>44861859.969999999</v>
      </c>
      <c r="FW320" s="324">
        <f t="shared" si="84"/>
        <v>49868571.824285723</v>
      </c>
      <c r="FX320" s="324">
        <f t="shared" si="84"/>
        <v>49868571.824285723</v>
      </c>
      <c r="FY320" s="324">
        <f t="shared" si="84"/>
        <v>49868571.824285723</v>
      </c>
      <c r="FZ320" s="324">
        <f t="shared" si="84"/>
        <v>49868571.824285723</v>
      </c>
      <c r="GA320" s="324">
        <f t="shared" si="84"/>
        <v>49868571.824285723</v>
      </c>
      <c r="GB320" s="324">
        <f t="shared" si="84"/>
        <v>49868571.824285723</v>
      </c>
      <c r="GC320" s="324">
        <f t="shared" si="84"/>
        <v>49868571.824285723</v>
      </c>
      <c r="GE320" s="425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4">
        <v>6651000</v>
      </c>
      <c r="EU321" s="324">
        <v>6651000</v>
      </c>
      <c r="EV321" s="324">
        <v>6651000</v>
      </c>
      <c r="EW321" s="324">
        <v>6651000</v>
      </c>
      <c r="EX321" s="324">
        <v>6651000</v>
      </c>
      <c r="EY321" s="324">
        <v>6651000</v>
      </c>
      <c r="EZ321" s="324">
        <v>6651000</v>
      </c>
      <c r="FA321" s="324">
        <v>6651000</v>
      </c>
      <c r="FB321" s="324">
        <v>7394520.9774999991</v>
      </c>
      <c r="FC321" s="324">
        <v>7394520.9774999991</v>
      </c>
      <c r="FD321" s="324">
        <v>7394520.9774999991</v>
      </c>
      <c r="FE321" s="324">
        <v>7394520.9774999991</v>
      </c>
      <c r="FF321" s="324">
        <v>6747975.0000000028</v>
      </c>
      <c r="FG321" s="324">
        <v>6749275.0000000028</v>
      </c>
      <c r="FH321" s="324">
        <v>6749275.0000000028</v>
      </c>
      <c r="FI321" s="324">
        <v>6749275.0000000028</v>
      </c>
      <c r="FJ321" s="324">
        <v>6749275.0000000028</v>
      </c>
      <c r="FK321" s="324">
        <v>6749275.0000000028</v>
      </c>
      <c r="FL321" s="324">
        <v>6749275.0000000028</v>
      </c>
      <c r="FM321" s="324">
        <v>6749275.0000000028</v>
      </c>
      <c r="FN321" s="324">
        <v>6749275.0000000028</v>
      </c>
      <c r="FO321" s="324">
        <v>6749275.0000000028</v>
      </c>
      <c r="FP321" s="324">
        <v>6749275.0000000028</v>
      </c>
      <c r="FQ321" s="324">
        <v>6749275.0000000028</v>
      </c>
      <c r="FR321" s="324">
        <v>6448137.3300000001</v>
      </c>
      <c r="FS321" s="324">
        <v>7174722.5199999996</v>
      </c>
      <c r="FT321" s="324">
        <v>6752335.3300000001</v>
      </c>
      <c r="FU321" s="324">
        <v>6378584.3399999999</v>
      </c>
      <c r="FV321" s="324">
        <v>5976072.2199999997</v>
      </c>
      <c r="FW321" s="324">
        <v>7400021.1800000006</v>
      </c>
      <c r="FX321" s="324">
        <v>7400021.1800000006</v>
      </c>
      <c r="FY321" s="324">
        <v>7400021.1800000006</v>
      </c>
      <c r="FZ321" s="324">
        <v>7400021.1800000006</v>
      </c>
      <c r="GA321" s="324">
        <v>7400021.1800000006</v>
      </c>
      <c r="GB321" s="324">
        <v>7400021.1800000006</v>
      </c>
      <c r="GC321" s="324">
        <v>7400021.1800000006</v>
      </c>
      <c r="GE321" s="425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6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6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6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6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6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6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6"/>
    </row>
    <row r="329" spans="1:187" s="349" customFormat="1" ht="30">
      <c r="A329" s="72"/>
      <c r="B329" s="72"/>
      <c r="C329" s="72"/>
      <c r="D329" s="72" t="s">
        <v>791</v>
      </c>
      <c r="E329" s="76" t="s">
        <v>718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6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4">
        <v>1699899.96</v>
      </c>
      <c r="EU330" s="324">
        <v>1699899.96</v>
      </c>
      <c r="EV330" s="324">
        <v>1699899.96</v>
      </c>
      <c r="EW330" s="324">
        <v>1699899.96</v>
      </c>
      <c r="EX330" s="324">
        <v>1699899.96</v>
      </c>
      <c r="EY330" s="324">
        <v>1699899.96</v>
      </c>
      <c r="EZ330" s="324">
        <v>1699899.96</v>
      </c>
      <c r="FA330" s="324">
        <v>1699899.96</v>
      </c>
      <c r="FB330" s="324">
        <v>924899.9599999981</v>
      </c>
      <c r="FC330" s="324">
        <v>924899.9599999981</v>
      </c>
      <c r="FD330" s="324">
        <v>924899.9599999981</v>
      </c>
      <c r="FE330" s="324">
        <v>924899.9599999981</v>
      </c>
      <c r="FF330" s="324">
        <v>1236031.8000000014</v>
      </c>
      <c r="FG330" s="324">
        <v>1236031.8699999999</v>
      </c>
      <c r="FH330" s="324">
        <v>1236031.8699999999</v>
      </c>
      <c r="FI330" s="324">
        <v>1236031.8699999999</v>
      </c>
      <c r="FJ330" s="324">
        <v>1236031.8699999999</v>
      </c>
      <c r="FK330" s="324">
        <v>1236031.8699999999</v>
      </c>
      <c r="FL330" s="324">
        <v>1236031.8699999999</v>
      </c>
      <c r="FM330" s="324">
        <v>1236031.8699999999</v>
      </c>
      <c r="FN330" s="324">
        <v>1236031.8699999999</v>
      </c>
      <c r="FO330" s="324">
        <v>2359394.0699999998</v>
      </c>
      <c r="FP330" s="324">
        <v>2359394.0699999998</v>
      </c>
      <c r="FQ330" s="324">
        <v>2359394.0699999998</v>
      </c>
      <c r="FR330" s="324">
        <v>54255.6</v>
      </c>
      <c r="FS330" s="324">
        <v>1607182</v>
      </c>
      <c r="FT330" s="324">
        <v>1602703.45</v>
      </c>
      <c r="FU330" s="324">
        <v>1448885.74</v>
      </c>
      <c r="FV330" s="324">
        <v>1413828.93</v>
      </c>
      <c r="FW330" s="324">
        <v>2033020.7142857143</v>
      </c>
      <c r="FX330" s="324">
        <v>2033020.7142857143</v>
      </c>
      <c r="FY330" s="324">
        <v>2033020.7142857143</v>
      </c>
      <c r="FZ330" s="324">
        <v>2033020.7142857143</v>
      </c>
      <c r="GA330" s="324">
        <v>2033020.7142857143</v>
      </c>
      <c r="GB330" s="324">
        <v>2033020.7142857143</v>
      </c>
      <c r="GC330" s="324">
        <v>2033020.7142857143</v>
      </c>
      <c r="GE330" s="425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6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6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6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6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6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4">
        <v>35472732.535833336</v>
      </c>
      <c r="EU336" s="324">
        <v>35472732.535833336</v>
      </c>
      <c r="EV336" s="324">
        <v>35472732.535833336</v>
      </c>
      <c r="EW336" s="324">
        <v>35472732.535833336</v>
      </c>
      <c r="EX336" s="324">
        <v>35472732.535833336</v>
      </c>
      <c r="EY336" s="324">
        <v>35472732.535833336</v>
      </c>
      <c r="EZ336" s="324">
        <v>35472732.535833336</v>
      </c>
      <c r="FA336" s="324">
        <v>35472732.535833336</v>
      </c>
      <c r="FB336" s="324">
        <v>35472732.535833336</v>
      </c>
      <c r="FC336" s="324">
        <v>35472732.535833336</v>
      </c>
      <c r="FD336" s="324">
        <v>35472732.535833336</v>
      </c>
      <c r="FE336" s="324">
        <v>35472732.535833336</v>
      </c>
      <c r="FF336" s="324">
        <v>35752084.619999975</v>
      </c>
      <c r="FG336" s="324">
        <v>35752084.530000001</v>
      </c>
      <c r="FH336" s="324">
        <v>35752084.530000001</v>
      </c>
      <c r="FI336" s="324">
        <v>35752084.530000001</v>
      </c>
      <c r="FJ336" s="324">
        <v>35752084.530000001</v>
      </c>
      <c r="FK336" s="324">
        <v>35752084.530000001</v>
      </c>
      <c r="FL336" s="324">
        <v>35752084.530000001</v>
      </c>
      <c r="FM336" s="324">
        <v>35752084.530000001</v>
      </c>
      <c r="FN336" s="324">
        <v>35752084.530000001</v>
      </c>
      <c r="FO336" s="324">
        <v>35752084.530000001</v>
      </c>
      <c r="FP336" s="324">
        <v>35752084.530000001</v>
      </c>
      <c r="FQ336" s="324">
        <v>35752084.530000001</v>
      </c>
      <c r="FR336" s="324">
        <v>34875207.159999996</v>
      </c>
      <c r="FS336" s="324">
        <v>35344644.090000004</v>
      </c>
      <c r="FT336" s="324">
        <v>35520020</v>
      </c>
      <c r="FU336" s="324">
        <v>36212765.539999999</v>
      </c>
      <c r="FV336" s="324">
        <v>35322836.950000003</v>
      </c>
      <c r="FW336" s="324">
        <v>37842845.828571431</v>
      </c>
      <c r="FX336" s="324">
        <v>37842845.828571431</v>
      </c>
      <c r="FY336" s="324">
        <v>37842845.828571431</v>
      </c>
      <c r="FZ336" s="324">
        <v>37842845.828571431</v>
      </c>
      <c r="GA336" s="324">
        <v>37842845.828571431</v>
      </c>
      <c r="GB336" s="324">
        <v>37842845.828571431</v>
      </c>
      <c r="GC336" s="324">
        <v>37842845.828571431</v>
      </c>
      <c r="GE336" s="425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6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6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6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6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6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6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6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4">
        <v>1375008.3333333333</v>
      </c>
      <c r="EU344" s="324">
        <v>1375008.3333333333</v>
      </c>
      <c r="EV344" s="324">
        <v>1375008.3333333333</v>
      </c>
      <c r="EW344" s="324">
        <v>1375008.3333333333</v>
      </c>
      <c r="EX344" s="324">
        <v>1375008.3333333333</v>
      </c>
      <c r="EY344" s="324">
        <v>1375008.3333333333</v>
      </c>
      <c r="EZ344" s="324">
        <v>1375008.3333333333</v>
      </c>
      <c r="FA344" s="324">
        <v>1375008.3333333333</v>
      </c>
      <c r="FB344" s="324">
        <v>2000008.3333333328</v>
      </c>
      <c r="FC344" s="324">
        <v>2000008.3333333328</v>
      </c>
      <c r="FD344" s="324">
        <v>2000008.3333333328</v>
      </c>
      <c r="FE344" s="324">
        <v>2000008.3333333328</v>
      </c>
      <c r="FF344" s="324">
        <v>1583341.7399999984</v>
      </c>
      <c r="FG344" s="324">
        <v>1583341.6600000001</v>
      </c>
      <c r="FH344" s="324">
        <v>1583341.6600000001</v>
      </c>
      <c r="FI344" s="324">
        <v>1583341.6600000001</v>
      </c>
      <c r="FJ344" s="324">
        <v>1583341.6600000001</v>
      </c>
      <c r="FK344" s="324">
        <v>1583341.6600000001</v>
      </c>
      <c r="FL344" s="324">
        <v>1583341.6600000001</v>
      </c>
      <c r="FM344" s="324">
        <v>1583341.6600000001</v>
      </c>
      <c r="FN344" s="324">
        <v>1583341.6600000001</v>
      </c>
      <c r="FO344" s="324">
        <v>1583341.6600000001</v>
      </c>
      <c r="FP344" s="324">
        <v>1583341.6600000001</v>
      </c>
      <c r="FQ344" s="324">
        <v>1583341.6600000001</v>
      </c>
      <c r="FR344" s="324">
        <v>1621388.9</v>
      </c>
      <c r="FS344" s="324">
        <v>1831428.58</v>
      </c>
      <c r="FT344" s="324">
        <v>1595368.45</v>
      </c>
      <c r="FU344" s="324">
        <v>2107330.88</v>
      </c>
      <c r="FV344" s="324">
        <v>1443795.73</v>
      </c>
      <c r="FW344" s="324">
        <v>1628669.78</v>
      </c>
      <c r="FX344" s="324">
        <v>1628669.78</v>
      </c>
      <c r="FY344" s="324">
        <v>1628669.78</v>
      </c>
      <c r="FZ344" s="324">
        <v>1628669.78</v>
      </c>
      <c r="GA344" s="324">
        <v>1628669.78</v>
      </c>
      <c r="GB344" s="324">
        <v>1628669.78</v>
      </c>
      <c r="GC344" s="324">
        <v>1628669.78</v>
      </c>
      <c r="GE344" s="425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6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4">
        <v>752083.33333333337</v>
      </c>
      <c r="EU346" s="324">
        <v>752083.33333333337</v>
      </c>
      <c r="EV346" s="324">
        <v>752083.33333333337</v>
      </c>
      <c r="EW346" s="324">
        <v>752083.33333333337</v>
      </c>
      <c r="EX346" s="324">
        <v>752083.33333333337</v>
      </c>
      <c r="EY346" s="324">
        <v>752083.33333333337</v>
      </c>
      <c r="EZ346" s="324">
        <v>752083.33333333337</v>
      </c>
      <c r="FA346" s="324">
        <v>752083.33333333337</v>
      </c>
      <c r="FB346" s="324">
        <v>2039583.333333334</v>
      </c>
      <c r="FC346" s="324">
        <v>2039583.333333334</v>
      </c>
      <c r="FD346" s="324">
        <v>2039583.333333334</v>
      </c>
      <c r="FE346" s="324">
        <v>2039583.333333334</v>
      </c>
      <c r="FF346" s="324">
        <v>885416.75</v>
      </c>
      <c r="FG346" s="324">
        <v>885416.75</v>
      </c>
      <c r="FH346" s="324">
        <v>885416.75</v>
      </c>
      <c r="FI346" s="324">
        <v>885416.75</v>
      </c>
      <c r="FJ346" s="324">
        <v>885416.75</v>
      </c>
      <c r="FK346" s="324">
        <v>885416.75</v>
      </c>
      <c r="FL346" s="324">
        <v>885416.75</v>
      </c>
      <c r="FM346" s="324">
        <v>885416.75</v>
      </c>
      <c r="FN346" s="324">
        <v>885416.75</v>
      </c>
      <c r="FO346" s="324">
        <v>885416.75</v>
      </c>
      <c r="FP346" s="324">
        <v>885416.75</v>
      </c>
      <c r="FQ346" s="324">
        <v>885416.75</v>
      </c>
      <c r="FR346" s="324">
        <v>745429.25</v>
      </c>
      <c r="FS346" s="324">
        <v>838710.44</v>
      </c>
      <c r="FT346" s="324">
        <v>906787.09</v>
      </c>
      <c r="FU346" s="324">
        <v>680647.83</v>
      </c>
      <c r="FV346" s="324">
        <v>705326.14</v>
      </c>
      <c r="FW346" s="324">
        <v>964014.32142857148</v>
      </c>
      <c r="FX346" s="324">
        <v>964014.32142857148</v>
      </c>
      <c r="FY346" s="324">
        <v>964014.32142857148</v>
      </c>
      <c r="FZ346" s="324">
        <v>964014.32142857148</v>
      </c>
      <c r="GA346" s="324">
        <v>964014.32142857148</v>
      </c>
      <c r="GB346" s="324">
        <v>964014.32142857148</v>
      </c>
      <c r="GC346" s="324">
        <v>964014.32142857101</v>
      </c>
      <c r="GE346" s="425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6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6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6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4">
        <v>15295211.558333334</v>
      </c>
      <c r="EU350" s="324">
        <v>15295211.558333334</v>
      </c>
      <c r="EV350" s="324">
        <v>15295211.558333334</v>
      </c>
      <c r="EW350" s="324">
        <v>18161878.224999998</v>
      </c>
      <c r="EX350" s="324">
        <v>18161878.224999998</v>
      </c>
      <c r="EY350" s="324">
        <v>18161878.224999998</v>
      </c>
      <c r="EZ350" s="324">
        <v>15295211.558333334</v>
      </c>
      <c r="FA350" s="324">
        <v>15295211.558333334</v>
      </c>
      <c r="FB350" s="324">
        <v>18930636.555833336</v>
      </c>
      <c r="FC350" s="324">
        <v>18930636.555833336</v>
      </c>
      <c r="FD350" s="324">
        <v>18930636.555833336</v>
      </c>
      <c r="FE350" s="324">
        <v>18930636.555833336</v>
      </c>
      <c r="FF350" s="324">
        <v>20338750.958333332</v>
      </c>
      <c r="FG350" s="324">
        <v>22018439.158333331</v>
      </c>
      <c r="FH350" s="324">
        <v>17975691.918333333</v>
      </c>
      <c r="FI350" s="324">
        <v>15972358.598333333</v>
      </c>
      <c r="FJ350" s="324">
        <v>15993608.598333333</v>
      </c>
      <c r="FK350" s="324">
        <v>16020602.668333333</v>
      </c>
      <c r="FL350" s="324">
        <v>22848909.595000003</v>
      </c>
      <c r="FM350" s="324">
        <v>17972208.524999999</v>
      </c>
      <c r="FN350" s="324">
        <v>17992208.524999999</v>
      </c>
      <c r="FO350" s="324">
        <v>17923875.184999999</v>
      </c>
      <c r="FP350" s="324">
        <v>17866375.204999998</v>
      </c>
      <c r="FQ350" s="324">
        <v>18024758.024999999</v>
      </c>
      <c r="FR350" s="324">
        <v>23631566.68</v>
      </c>
      <c r="FS350" s="324">
        <v>23914749.120000001</v>
      </c>
      <c r="FT350" s="324">
        <v>31910693.890000001</v>
      </c>
      <c r="FU350" s="324">
        <v>17331295.199999999</v>
      </c>
      <c r="FV350" s="324">
        <v>15552980.33</v>
      </c>
      <c r="FW350" s="324">
        <v>23483872.51285715</v>
      </c>
      <c r="FX350" s="324">
        <v>19317205.846190531</v>
      </c>
      <c r="FY350" s="324">
        <v>19317205.846190531</v>
      </c>
      <c r="FZ350" s="324">
        <v>19317205.846190531</v>
      </c>
      <c r="GA350" s="324">
        <v>44317205.846190527</v>
      </c>
      <c r="GB350" s="324">
        <v>19317205.846190531</v>
      </c>
      <c r="GC350" s="324">
        <v>19317205.846190531</v>
      </c>
      <c r="GE350" s="425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4">
        <v>14810545.166666666</v>
      </c>
      <c r="EU351" s="324">
        <v>14810545.166666666</v>
      </c>
      <c r="EV351" s="324">
        <v>14810545.166666666</v>
      </c>
      <c r="EW351" s="324">
        <v>17677211.833333332</v>
      </c>
      <c r="EX351" s="324">
        <v>17677211.833333332</v>
      </c>
      <c r="EY351" s="324">
        <v>17677211.833333332</v>
      </c>
      <c r="EZ351" s="324">
        <v>14810545.166666666</v>
      </c>
      <c r="FA351" s="324">
        <v>14810545.166666666</v>
      </c>
      <c r="FB351" s="324">
        <v>18469212.55916667</v>
      </c>
      <c r="FC351" s="324">
        <v>18469212.55916667</v>
      </c>
      <c r="FD351" s="324">
        <v>18469212.55916667</v>
      </c>
      <c r="FE351" s="324">
        <v>18469212.55916667</v>
      </c>
      <c r="FF351" s="324">
        <v>18445155.148333333</v>
      </c>
      <c r="FG351" s="324">
        <v>20224843.348333333</v>
      </c>
      <c r="FH351" s="324">
        <v>16273762.778333332</v>
      </c>
      <c r="FI351" s="324">
        <v>14270429.458333332</v>
      </c>
      <c r="FJ351" s="324">
        <v>14291679.458333332</v>
      </c>
      <c r="FK351" s="324">
        <v>14318673.528333332</v>
      </c>
      <c r="FL351" s="324">
        <v>19138771.788333334</v>
      </c>
      <c r="FM351" s="324">
        <v>14278737.378333332</v>
      </c>
      <c r="FN351" s="324">
        <v>14298737.378333332</v>
      </c>
      <c r="FO351" s="324">
        <v>14278737.378333332</v>
      </c>
      <c r="FP351" s="324">
        <v>14298737.388333332</v>
      </c>
      <c r="FQ351" s="324">
        <v>14457120.208333332</v>
      </c>
      <c r="FR351" s="324">
        <v>0</v>
      </c>
      <c r="FS351" s="324">
        <v>0</v>
      </c>
      <c r="FT351" s="324">
        <v>0</v>
      </c>
      <c r="FU351" s="324">
        <v>0</v>
      </c>
      <c r="FV351" s="324">
        <v>0</v>
      </c>
      <c r="FW351" s="324">
        <v>0</v>
      </c>
      <c r="FX351" s="324">
        <v>0</v>
      </c>
      <c r="FY351" s="324">
        <v>0</v>
      </c>
      <c r="FZ351" s="324">
        <v>0</v>
      </c>
      <c r="GA351" s="324">
        <v>0</v>
      </c>
      <c r="GB351" s="324">
        <v>0</v>
      </c>
      <c r="GC351" s="324">
        <v>0</v>
      </c>
      <c r="GE351" s="425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6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6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6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6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6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6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6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6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6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4">
        <v>484666.39166666666</v>
      </c>
      <c r="EU361" s="324">
        <v>484666.39166666666</v>
      </c>
      <c r="EV361" s="324">
        <v>484666.39166666666</v>
      </c>
      <c r="EW361" s="324">
        <v>484666.39166666666</v>
      </c>
      <c r="EX361" s="324">
        <v>484666.39166666666</v>
      </c>
      <c r="EY361" s="324">
        <v>484666.39166666666</v>
      </c>
      <c r="EZ361" s="324">
        <v>484666.39166666666</v>
      </c>
      <c r="FA361" s="324">
        <v>484666.39166666666</v>
      </c>
      <c r="FB361" s="324">
        <v>461423.99666666664</v>
      </c>
      <c r="FC361" s="324">
        <v>461423.99666666664</v>
      </c>
      <c r="FD361" s="324">
        <v>461423.99666666664</v>
      </c>
      <c r="FE361" s="324">
        <v>461423.99666666664</v>
      </c>
      <c r="FF361" s="324">
        <v>1893595.81</v>
      </c>
      <c r="FG361" s="324">
        <v>1793595.81</v>
      </c>
      <c r="FH361" s="324">
        <v>1701929.1400000001</v>
      </c>
      <c r="FI361" s="324">
        <v>1701929.1400000001</v>
      </c>
      <c r="FJ361" s="324">
        <v>1701929.1400000001</v>
      </c>
      <c r="FK361" s="324">
        <v>1701929.1400000001</v>
      </c>
      <c r="FL361" s="324">
        <v>1701929.1400000001</v>
      </c>
      <c r="FM361" s="324">
        <v>1685262.48</v>
      </c>
      <c r="FN361" s="324">
        <v>1685262.48</v>
      </c>
      <c r="FO361" s="324">
        <v>1636929.14</v>
      </c>
      <c r="FP361" s="324">
        <v>1559429.15</v>
      </c>
      <c r="FQ361" s="324">
        <v>1559429.15</v>
      </c>
      <c r="FR361" s="324">
        <v>0</v>
      </c>
      <c r="FS361" s="324">
        <v>0</v>
      </c>
      <c r="FT361" s="324">
        <v>0</v>
      </c>
      <c r="FU361" s="324">
        <v>0</v>
      </c>
      <c r="FV361" s="324">
        <v>0</v>
      </c>
      <c r="FW361" s="324">
        <v>0</v>
      </c>
      <c r="FX361" s="324">
        <v>0</v>
      </c>
      <c r="FY361" s="324">
        <v>0</v>
      </c>
      <c r="FZ361" s="324">
        <v>0</v>
      </c>
      <c r="GA361" s="324">
        <v>0</v>
      </c>
      <c r="GB361" s="324">
        <v>0</v>
      </c>
      <c r="GC361" s="324">
        <v>0</v>
      </c>
      <c r="GE361" s="425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6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6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6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6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6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6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29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4">
        <v>21472083.333333332</v>
      </c>
      <c r="EU368" s="324">
        <v>21472083.333333332</v>
      </c>
      <c r="EV368" s="324">
        <v>21472083.333333332</v>
      </c>
      <c r="EW368" s="324">
        <v>21472083.333333332</v>
      </c>
      <c r="EX368" s="324">
        <v>21472083.333333332</v>
      </c>
      <c r="EY368" s="324">
        <v>21472083.333333332</v>
      </c>
      <c r="EZ368" s="324">
        <v>26990416.666666664</v>
      </c>
      <c r="FA368" s="324">
        <v>26990416.666666664</v>
      </c>
      <c r="FB368" s="324">
        <v>26315416.666666701</v>
      </c>
      <c r="FC368" s="324">
        <v>26315416.666666701</v>
      </c>
      <c r="FD368" s="324">
        <v>26815416.670000002</v>
      </c>
      <c r="FE368" s="324">
        <v>26815416.66</v>
      </c>
      <c r="FF368" s="324">
        <v>26743749.989999995</v>
      </c>
      <c r="FG368" s="324">
        <v>26743749.989999995</v>
      </c>
      <c r="FH368" s="324">
        <v>26743749.989999995</v>
      </c>
      <c r="FI368" s="324">
        <v>26743749.989999995</v>
      </c>
      <c r="FJ368" s="324">
        <v>26743749.989999995</v>
      </c>
      <c r="FK368" s="324">
        <v>26743749.989999995</v>
      </c>
      <c r="FL368" s="324">
        <v>26743749.989999995</v>
      </c>
      <c r="FM368" s="324">
        <v>26743749.989999995</v>
      </c>
      <c r="FN368" s="324">
        <v>26743749.989999995</v>
      </c>
      <c r="FO368" s="324">
        <v>26743749.989999995</v>
      </c>
      <c r="FP368" s="324">
        <v>14243749.989999998</v>
      </c>
      <c r="FQ368" s="324">
        <v>14243750.109999999</v>
      </c>
      <c r="FR368" s="324">
        <v>4153095.62</v>
      </c>
      <c r="FS368" s="324">
        <v>8919354.2899999991</v>
      </c>
      <c r="FT368" s="324">
        <v>13085415.970000001</v>
      </c>
      <c r="FU368" s="324">
        <v>17943688.25</v>
      </c>
      <c r="FV368" s="324">
        <v>15872563.539999999</v>
      </c>
      <c r="FW368" s="324">
        <v>25000000</v>
      </c>
      <c r="FX368" s="324">
        <v>20000000</v>
      </c>
      <c r="FY368" s="324">
        <v>20000000</v>
      </c>
      <c r="FZ368" s="324">
        <v>20000000</v>
      </c>
      <c r="GA368" s="324">
        <v>17295648.326666653</v>
      </c>
      <c r="GB368" s="324">
        <v>17295648.326666653</v>
      </c>
      <c r="GC368" s="324">
        <v>17295648.326666653</v>
      </c>
      <c r="GE368" s="425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6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6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6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6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6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6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6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4">
        <v>70000000</v>
      </c>
      <c r="FF376" s="347">
        <v>26666.67</v>
      </c>
      <c r="FG376" s="347">
        <v>26666.67</v>
      </c>
      <c r="FH376" s="347">
        <v>26666.67</v>
      </c>
      <c r="FI376" s="347">
        <v>39926666.670000002</v>
      </c>
      <c r="FJ376" s="347">
        <v>26666.67</v>
      </c>
      <c r="FK376" s="347">
        <v>26666.67</v>
      </c>
      <c r="FL376" s="347">
        <v>26666.67</v>
      </c>
      <c r="FM376" s="347">
        <v>26666.67</v>
      </c>
      <c r="FN376" s="347">
        <v>26666.67</v>
      </c>
      <c r="FO376" s="347">
        <v>26666.67</v>
      </c>
      <c r="FP376" s="347">
        <v>26666.67</v>
      </c>
      <c r="FQ376" s="347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6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6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4">
        <v>239583.41666666666</v>
      </c>
      <c r="EU378" s="324">
        <v>239583.41666666666</v>
      </c>
      <c r="EV378" s="324">
        <v>239583.41666666666</v>
      </c>
      <c r="EW378" s="324">
        <v>239583.41666666666</v>
      </c>
      <c r="EX378" s="324">
        <v>239583.41666666666</v>
      </c>
      <c r="EY378" s="324">
        <v>239583.41666666666</v>
      </c>
      <c r="EZ378" s="324">
        <v>239583.41666666666</v>
      </c>
      <c r="FA378" s="324">
        <v>239583.41666666666</v>
      </c>
      <c r="FB378" s="324">
        <v>239583.41666666666</v>
      </c>
      <c r="FC378" s="324">
        <v>239583.41666666666</v>
      </c>
      <c r="FD378" s="324">
        <v>239583.41666666666</v>
      </c>
      <c r="FE378" s="324">
        <v>239583.41666666666</v>
      </c>
      <c r="FF378" s="324">
        <v>190000.08333333334</v>
      </c>
      <c r="FG378" s="324">
        <v>190000.08333333334</v>
      </c>
      <c r="FH378" s="324">
        <v>190000.08333333334</v>
      </c>
      <c r="FI378" s="324">
        <v>190000.08333333334</v>
      </c>
      <c r="FJ378" s="324">
        <v>190000.08333333334</v>
      </c>
      <c r="FK378" s="324">
        <v>190000.08333333334</v>
      </c>
      <c r="FL378" s="324">
        <v>190000.08333333334</v>
      </c>
      <c r="FM378" s="324">
        <v>190000.08333333334</v>
      </c>
      <c r="FN378" s="324">
        <v>190000.08333333334</v>
      </c>
      <c r="FO378" s="324">
        <v>190000.08333333334</v>
      </c>
      <c r="FP378" s="324">
        <v>190000.08333333334</v>
      </c>
      <c r="FQ378" s="324">
        <v>190000.08333333334</v>
      </c>
      <c r="FR378" s="324">
        <v>0</v>
      </c>
      <c r="FS378" s="324">
        <v>277634</v>
      </c>
      <c r="FT378" s="324">
        <v>0</v>
      </c>
      <c r="FU378" s="324">
        <v>268014</v>
      </c>
      <c r="FV378" s="324">
        <v>5000</v>
      </c>
      <c r="FW378" s="324">
        <v>147050.57142857142</v>
      </c>
      <c r="FX378" s="324">
        <v>147050.57142857142</v>
      </c>
      <c r="FY378" s="324">
        <v>147050.57142857142</v>
      </c>
      <c r="FZ378" s="324">
        <v>147050.57142857142</v>
      </c>
      <c r="GA378" s="324">
        <v>147050.57142857142</v>
      </c>
      <c r="GB378" s="324">
        <v>147050.57142857142</v>
      </c>
      <c r="GC378" s="324">
        <v>147050.57142857142</v>
      </c>
      <c r="GE378" s="425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1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6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6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6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6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6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5">
        <f>DV386+DV389+DV392</f>
        <v>32768615.2925</v>
      </c>
      <c r="DW385" s="315">
        <f t="shared" ref="DW385:ES385" si="119">DW386+DW389+DW392</f>
        <v>32768615.2925</v>
      </c>
      <c r="DX385" s="315">
        <f t="shared" si="119"/>
        <v>32768615.2925</v>
      </c>
      <c r="DY385" s="315">
        <f t="shared" si="119"/>
        <v>32768615.2925</v>
      </c>
      <c r="DZ385" s="315">
        <f t="shared" si="119"/>
        <v>32768615.2925</v>
      </c>
      <c r="EA385" s="315">
        <f t="shared" si="119"/>
        <v>32768615.2925</v>
      </c>
      <c r="EB385" s="315">
        <f t="shared" si="119"/>
        <v>32768615.2925</v>
      </c>
      <c r="EC385" s="315">
        <f t="shared" si="119"/>
        <v>32768615.2925</v>
      </c>
      <c r="ED385" s="315">
        <f t="shared" si="119"/>
        <v>32768615.2925</v>
      </c>
      <c r="EE385" s="315">
        <f t="shared" si="119"/>
        <v>32768615.2925</v>
      </c>
      <c r="EF385" s="315">
        <f t="shared" si="119"/>
        <v>32768615.2925</v>
      </c>
      <c r="EG385" s="315">
        <f t="shared" si="119"/>
        <v>32768615.2925</v>
      </c>
      <c r="EH385" s="315">
        <f t="shared" si="119"/>
        <v>4617467.5633333325</v>
      </c>
      <c r="EI385" s="315">
        <f t="shared" si="119"/>
        <v>5248180.4533333331</v>
      </c>
      <c r="EJ385" s="315">
        <f t="shared" si="119"/>
        <v>18465645.143333334</v>
      </c>
      <c r="EK385" s="315">
        <f t="shared" si="119"/>
        <v>67460865.603333324</v>
      </c>
      <c r="EL385" s="315">
        <f t="shared" si="119"/>
        <v>10247541.783333333</v>
      </c>
      <c r="EM385" s="315">
        <f t="shared" si="119"/>
        <v>16046343.563333331</v>
      </c>
      <c r="EN385" s="315">
        <f t="shared" si="119"/>
        <v>23103608.363333337</v>
      </c>
      <c r="EO385" s="315">
        <f t="shared" si="119"/>
        <v>16877006.883333333</v>
      </c>
      <c r="EP385" s="315">
        <f t="shared" si="119"/>
        <v>17318908.093333334</v>
      </c>
      <c r="EQ385" s="315">
        <f t="shared" si="119"/>
        <v>9686739.4033333324</v>
      </c>
      <c r="ER385" s="315">
        <f t="shared" si="119"/>
        <v>11714826.133333333</v>
      </c>
      <c r="ES385" s="315">
        <f t="shared" si="119"/>
        <v>19628370.163333334</v>
      </c>
      <c r="FF385" s="324">
        <v>1718363.6600000001</v>
      </c>
      <c r="FG385" s="324">
        <v>3362692.9499999997</v>
      </c>
      <c r="FH385" s="324">
        <v>17620925.690000001</v>
      </c>
      <c r="FI385" s="324">
        <v>21217195.289999999</v>
      </c>
      <c r="FJ385" s="324">
        <v>181489557.88</v>
      </c>
      <c r="FK385" s="324">
        <v>16844785.800000001</v>
      </c>
      <c r="FL385" s="324">
        <v>61721044.270000003</v>
      </c>
      <c r="FM385" s="324">
        <v>13754741.09</v>
      </c>
      <c r="FN385" s="324">
        <v>17831317.309999999</v>
      </c>
      <c r="FO385" s="324">
        <v>6151156.2299999995</v>
      </c>
      <c r="FP385" s="324">
        <v>10176505.869999999</v>
      </c>
      <c r="FQ385" s="324">
        <v>21711713.960000001</v>
      </c>
      <c r="FR385" s="324">
        <v>1725839.0999999999</v>
      </c>
      <c r="FS385" s="324">
        <v>3305317.26</v>
      </c>
      <c r="FT385" s="324">
        <v>339468444.25999999</v>
      </c>
      <c r="FU385" s="324">
        <v>17477408.559999999</v>
      </c>
      <c r="FV385" s="324">
        <v>15441444.539999999</v>
      </c>
      <c r="FW385" s="324">
        <v>12046825.949999999</v>
      </c>
      <c r="FX385" s="324">
        <v>11726652.870000001</v>
      </c>
      <c r="FY385" s="324">
        <v>8624889.1799999997</v>
      </c>
      <c r="FZ385" s="324">
        <v>18011093.800000001</v>
      </c>
      <c r="GA385" s="324">
        <v>9855652.5999999996</v>
      </c>
      <c r="GB385" s="324">
        <v>89792355.439999998</v>
      </c>
      <c r="GC385" s="324">
        <v>12114076.439999999</v>
      </c>
      <c r="GE385" s="425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4">
        <v>1718363.6600000001</v>
      </c>
      <c r="FG386" s="324">
        <v>3362692.9499999997</v>
      </c>
      <c r="FH386" s="324">
        <v>17620925.690000001</v>
      </c>
      <c r="FI386" s="324">
        <v>21217195.289999999</v>
      </c>
      <c r="FJ386" s="324">
        <v>181489557.88</v>
      </c>
      <c r="FK386" s="324">
        <v>16844785.800000001</v>
      </c>
      <c r="FL386" s="324">
        <v>61721044.270000003</v>
      </c>
      <c r="FM386" s="324">
        <v>13754741.09</v>
      </c>
      <c r="FN386" s="324">
        <v>17831317.309999999</v>
      </c>
      <c r="FO386" s="324">
        <v>6151156.2299999995</v>
      </c>
      <c r="FP386" s="324">
        <v>10176505.869999999</v>
      </c>
      <c r="FQ386" s="324">
        <v>21711713.960000001</v>
      </c>
      <c r="FR386" s="324">
        <v>1725839.0999999999</v>
      </c>
      <c r="FS386" s="324">
        <v>3305317.26</v>
      </c>
      <c r="FT386" s="324">
        <v>339468444.25999999</v>
      </c>
      <c r="FU386" s="324">
        <v>17477408.559999999</v>
      </c>
      <c r="FV386" s="324">
        <v>15441444.539999999</v>
      </c>
      <c r="FW386" s="324">
        <v>12046825.949999999</v>
      </c>
      <c r="FX386" s="324">
        <v>11726652.870000001</v>
      </c>
      <c r="FY386" s="324">
        <v>8624889.1799999997</v>
      </c>
      <c r="FZ386" s="324">
        <v>18011093.800000001</v>
      </c>
      <c r="GA386" s="324">
        <v>9855652.5999999996</v>
      </c>
      <c r="GB386" s="324">
        <v>89792355.439999998</v>
      </c>
      <c r="GC386" s="324">
        <v>12114076.439999999</v>
      </c>
      <c r="GE386" s="425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7">
        <v>1983333.3333333333</v>
      </c>
      <c r="CS387" s="327">
        <v>1983333.3333333333</v>
      </c>
      <c r="CT387" s="327">
        <v>1983333.3333333333</v>
      </c>
      <c r="CU387" s="327">
        <v>1983333.3333333333</v>
      </c>
      <c r="CV387" s="327">
        <v>1983333.3333333333</v>
      </c>
      <c r="CW387" s="328">
        <v>1983333.3333333333</v>
      </c>
      <c r="CX387" s="329">
        <v>2500695.4391666665</v>
      </c>
      <c r="CY387" s="330">
        <v>2500695.4391666665</v>
      </c>
      <c r="CZ387" s="330">
        <v>2500695.4391666665</v>
      </c>
      <c r="DA387" s="330">
        <v>2500695.4391666665</v>
      </c>
      <c r="DB387" s="330">
        <v>2500695.4391666665</v>
      </c>
      <c r="DC387" s="330">
        <v>2500695.4391666665</v>
      </c>
      <c r="DD387" s="330">
        <v>2500695.4391666665</v>
      </c>
      <c r="DE387" s="330">
        <v>2500695.4391666665</v>
      </c>
      <c r="DF387" s="330">
        <v>2500695.4391666665</v>
      </c>
      <c r="DG387" s="330">
        <v>2500695.4391666665</v>
      </c>
      <c r="DH387" s="330">
        <v>2500695.4391666665</v>
      </c>
      <c r="DI387" s="331">
        <v>2500695.4391666665</v>
      </c>
      <c r="DJ387" s="332">
        <v>3892510.16</v>
      </c>
      <c r="DK387" s="327">
        <v>3892510.16</v>
      </c>
      <c r="DL387" s="327">
        <v>3892510.16</v>
      </c>
      <c r="DM387" s="327">
        <v>3892510.16</v>
      </c>
      <c r="DN387" s="327">
        <v>3892510.16</v>
      </c>
      <c r="DO387" s="327">
        <v>3892510.16</v>
      </c>
      <c r="DP387" s="327">
        <v>3892510.16</v>
      </c>
      <c r="DQ387" s="327">
        <v>3892510.16</v>
      </c>
      <c r="DR387" s="327">
        <v>3892510.16</v>
      </c>
      <c r="DS387" s="327">
        <v>3892510.16</v>
      </c>
      <c r="DT387" s="327">
        <v>3892510.16</v>
      </c>
      <c r="DU387" s="328">
        <v>3892510.16</v>
      </c>
      <c r="DV387" s="333">
        <v>3722931.8866666667</v>
      </c>
      <c r="DW387" s="333">
        <v>3722931.8866666667</v>
      </c>
      <c r="DX387" s="333">
        <v>3722931.8866666667</v>
      </c>
      <c r="DY387" s="333">
        <v>3722931.8866666667</v>
      </c>
      <c r="DZ387" s="333">
        <v>3722931.8866666667</v>
      </c>
      <c r="EA387" s="333">
        <v>3722931.8866666667</v>
      </c>
      <c r="EB387" s="333">
        <v>3722931.8866666667</v>
      </c>
      <c r="EC387" s="333">
        <v>3722931.8866666667</v>
      </c>
      <c r="ED387" s="333">
        <v>3722931.8866666667</v>
      </c>
      <c r="EE387" s="333">
        <v>3722931.8866666667</v>
      </c>
      <c r="EF387" s="333">
        <v>3722931.8866666667</v>
      </c>
      <c r="EG387" s="333">
        <v>3722931.8866666667</v>
      </c>
      <c r="EH387" s="333">
        <v>174340.51</v>
      </c>
      <c r="EI387" s="333">
        <v>177326.85</v>
      </c>
      <c r="EJ387" s="333">
        <v>7687779.1100000003</v>
      </c>
      <c r="EK387" s="333">
        <v>191127.48</v>
      </c>
      <c r="EL387" s="333">
        <v>949797.77</v>
      </c>
      <c r="EM387" s="333">
        <v>2019268.13</v>
      </c>
      <c r="EN387" s="333">
        <v>10660481.32</v>
      </c>
      <c r="EO387" s="333">
        <v>11526152.189999999</v>
      </c>
      <c r="EP387" s="333">
        <v>10016017.119999999</v>
      </c>
      <c r="EQ387" s="333">
        <v>1834828.67</v>
      </c>
      <c r="ER387" s="333">
        <v>2345417.37</v>
      </c>
      <c r="ES387" s="333">
        <v>4329305.63</v>
      </c>
      <c r="ET387" s="342">
        <v>116701.86</v>
      </c>
      <c r="EU387" s="343">
        <v>867332.36</v>
      </c>
      <c r="EV387" s="343">
        <v>7801367.0199999996</v>
      </c>
      <c r="EW387" s="343">
        <v>4481623.79</v>
      </c>
      <c r="EX387" s="343">
        <v>2831467.37</v>
      </c>
      <c r="EY387" s="343">
        <v>7170000.0800000001</v>
      </c>
      <c r="EZ387" s="343">
        <v>82322.3</v>
      </c>
      <c r="FA387" s="343">
        <v>10832753.109999999</v>
      </c>
      <c r="FB387" s="343">
        <v>1958366.01</v>
      </c>
      <c r="FC387" s="343">
        <v>1510132.11</v>
      </c>
      <c r="FD387" s="343">
        <v>834059.15</v>
      </c>
      <c r="FE387" s="343">
        <v>12202154.65</v>
      </c>
      <c r="FF387" s="347">
        <v>84944.84</v>
      </c>
      <c r="FG387" s="347">
        <v>835385.84</v>
      </c>
      <c r="FH387" s="347">
        <v>1812259.88</v>
      </c>
      <c r="FI387" s="347">
        <v>4541832.53</v>
      </c>
      <c r="FJ387" s="347">
        <v>2836722.65</v>
      </c>
      <c r="FK387" s="347">
        <v>7054086.1200000001</v>
      </c>
      <c r="FL387" s="347">
        <v>87625.45</v>
      </c>
      <c r="FM387" s="347">
        <v>10838080.380000001</v>
      </c>
      <c r="FN387" s="347">
        <v>1831359.63</v>
      </c>
      <c r="FO387" s="347">
        <v>1571862.21</v>
      </c>
      <c r="FP387" s="347">
        <v>839459.36</v>
      </c>
      <c r="FQ387" s="347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6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2">
        <v>2071825.5645770216</v>
      </c>
      <c r="EU388" s="343">
        <v>2862393.2253735214</v>
      </c>
      <c r="EV388" s="343">
        <v>12467636.918240691</v>
      </c>
      <c r="EW388" s="343">
        <v>17326274.372907523</v>
      </c>
      <c r="EX388" s="343">
        <v>15150457.606090657</v>
      </c>
      <c r="EY388" s="343">
        <v>8947929.7645770218</v>
      </c>
      <c r="EZ388" s="343">
        <v>2071825.5545770216</v>
      </c>
      <c r="FA388" s="343">
        <v>2989936.9753735219</v>
      </c>
      <c r="FB388" s="343">
        <v>16625761.232895471</v>
      </c>
      <c r="FC388" s="343">
        <v>4165314.0029075216</v>
      </c>
      <c r="FD388" s="343">
        <v>6972714.957903021</v>
      </c>
      <c r="FE388" s="343">
        <v>369847929.82457697</v>
      </c>
      <c r="FF388" s="347">
        <v>1633418.82</v>
      </c>
      <c r="FG388" s="347">
        <v>2527307.11</v>
      </c>
      <c r="FH388" s="347">
        <v>15808665.810000001</v>
      </c>
      <c r="FI388" s="347">
        <v>16675362.76</v>
      </c>
      <c r="FJ388" s="347">
        <v>178652835.22999999</v>
      </c>
      <c r="FK388" s="347">
        <v>9790699.6799999997</v>
      </c>
      <c r="FL388" s="347">
        <v>61633418.82</v>
      </c>
      <c r="FM388" s="347">
        <v>2916660.71</v>
      </c>
      <c r="FN388" s="347">
        <v>15999957.68</v>
      </c>
      <c r="FO388" s="347">
        <v>4579294.0199999996</v>
      </c>
      <c r="FP388" s="347">
        <v>9337046.5099999998</v>
      </c>
      <c r="FQ388" s="347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6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4">
        <v>0</v>
      </c>
      <c r="FS389" s="324">
        <v>0</v>
      </c>
      <c r="FT389" s="324">
        <v>0</v>
      </c>
      <c r="FU389" s="324">
        <v>0</v>
      </c>
      <c r="FV389" s="324">
        <v>0</v>
      </c>
      <c r="FW389" s="324">
        <v>0</v>
      </c>
      <c r="FX389" s="324">
        <v>0</v>
      </c>
      <c r="FY389" s="324">
        <v>0</v>
      </c>
      <c r="FZ389" s="324">
        <v>0</v>
      </c>
      <c r="GA389" s="324">
        <v>0</v>
      </c>
      <c r="GB389" s="324">
        <v>0</v>
      </c>
      <c r="GC389" s="324">
        <v>0</v>
      </c>
      <c r="GE389" s="425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6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6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4">
        <v>2681427.6666666665</v>
      </c>
      <c r="CS392" s="324">
        <v>2681427.6666666665</v>
      </c>
      <c r="CT392" s="324">
        <v>2681427.6666666665</v>
      </c>
      <c r="CU392" s="324">
        <v>2681427.6666666665</v>
      </c>
      <c r="CV392" s="324">
        <v>2681427.6666666665</v>
      </c>
      <c r="CW392" s="324">
        <v>2681427.6666666665</v>
      </c>
      <c r="CX392" s="324">
        <v>2778179.9974999996</v>
      </c>
      <c r="CY392" s="324">
        <v>2778179.9974999996</v>
      </c>
      <c r="CZ392" s="324">
        <v>2778179.9974999996</v>
      </c>
      <c r="DA392" s="324">
        <v>2778179.9974999996</v>
      </c>
      <c r="DB392" s="324">
        <v>2778179.9974999996</v>
      </c>
      <c r="DC392" s="324">
        <v>2778179.9974999996</v>
      </c>
      <c r="DD392" s="324">
        <v>2778179.9974999996</v>
      </c>
      <c r="DE392" s="324">
        <v>2778179.9974999996</v>
      </c>
      <c r="DF392" s="324">
        <v>2778179.9974999996</v>
      </c>
      <c r="DG392" s="324">
        <v>2778179.9974999996</v>
      </c>
      <c r="DH392" s="324">
        <v>2778179.9974999996</v>
      </c>
      <c r="DI392" s="324">
        <v>2778179.9974999996</v>
      </c>
      <c r="DJ392" s="324">
        <v>2817590</v>
      </c>
      <c r="DK392" s="324">
        <v>2817590</v>
      </c>
      <c r="DL392" s="324">
        <v>2817590</v>
      </c>
      <c r="DM392" s="324">
        <v>2817590</v>
      </c>
      <c r="DN392" s="324">
        <v>2817590</v>
      </c>
      <c r="DO392" s="324">
        <v>2817590</v>
      </c>
      <c r="DP392" s="324">
        <v>2817590</v>
      </c>
      <c r="DQ392" s="324">
        <v>2817590</v>
      </c>
      <c r="DR392" s="324">
        <v>2817590</v>
      </c>
      <c r="DS392" s="324">
        <v>2817590</v>
      </c>
      <c r="DT392" s="324">
        <v>2817590</v>
      </c>
      <c r="DU392" s="324">
        <v>2817590</v>
      </c>
      <c r="DV392" s="324">
        <v>3281229.6141666663</v>
      </c>
      <c r="DW392" s="324">
        <v>3281229.6141666663</v>
      </c>
      <c r="DX392" s="324">
        <v>3281229.6141666663</v>
      </c>
      <c r="DY392" s="324">
        <v>3281229.6141666663</v>
      </c>
      <c r="DZ392" s="324">
        <v>3281229.6141666663</v>
      </c>
      <c r="EA392" s="324">
        <v>3281229.6141666663</v>
      </c>
      <c r="EB392" s="324">
        <v>3281229.6141666663</v>
      </c>
      <c r="EC392" s="324">
        <v>3281229.6141666663</v>
      </c>
      <c r="ED392" s="324">
        <v>3281229.6141666663</v>
      </c>
      <c r="EE392" s="324">
        <v>3281229.6141666663</v>
      </c>
      <c r="EF392" s="324">
        <v>3281229.6141666663</v>
      </c>
      <c r="EG392" s="324">
        <v>3281229.6141666663</v>
      </c>
      <c r="EH392" s="324">
        <v>2809708.2333333329</v>
      </c>
      <c r="EI392" s="324">
        <v>2809708.2333333329</v>
      </c>
      <c r="EJ392" s="324">
        <v>2809708.2333333329</v>
      </c>
      <c r="EK392" s="324">
        <v>2809708.2333333329</v>
      </c>
      <c r="EL392" s="324">
        <v>2809708.2333333329</v>
      </c>
      <c r="EM392" s="324">
        <v>2809708.2333333329</v>
      </c>
      <c r="EN392" s="324">
        <v>2809708.2333333329</v>
      </c>
      <c r="EO392" s="324">
        <v>2809708.2333333329</v>
      </c>
      <c r="EP392" s="324">
        <v>2809708.2333333329</v>
      </c>
      <c r="EQ392" s="324">
        <v>2809708.2333333329</v>
      </c>
      <c r="ER392" s="324">
        <v>2809708.2333333329</v>
      </c>
      <c r="ES392" s="324">
        <v>2809708.2333333329</v>
      </c>
      <c r="ET392" s="324">
        <v>1807457.9166666667</v>
      </c>
      <c r="EU392" s="324">
        <v>1882457.9166666667</v>
      </c>
      <c r="EV392" s="324">
        <v>1937457.9166666667</v>
      </c>
      <c r="EW392" s="324">
        <v>1912457.9166666667</v>
      </c>
      <c r="EX392" s="324">
        <v>1967457.9166666667</v>
      </c>
      <c r="EY392" s="324">
        <v>1907457.9166666667</v>
      </c>
      <c r="EZ392" s="324">
        <v>3852457.9166666665</v>
      </c>
      <c r="FA392" s="324">
        <v>3337457.9166666665</v>
      </c>
      <c r="FB392" s="324">
        <v>2702457.9166666698</v>
      </c>
      <c r="FC392" s="324">
        <v>2797457.9166666698</v>
      </c>
      <c r="FD392" s="324">
        <v>2792457.9166666698</v>
      </c>
      <c r="FE392" s="324">
        <v>3347457.9166666698</v>
      </c>
      <c r="FF392" s="324">
        <v>1281814.4500000002</v>
      </c>
      <c r="FG392" s="324">
        <v>1266814.4500000002</v>
      </c>
      <c r="FH392" s="324">
        <v>1451704.4</v>
      </c>
      <c r="FI392" s="324">
        <v>1544149.3599999999</v>
      </c>
      <c r="FJ392" s="324">
        <v>1677270.12</v>
      </c>
      <c r="FK392" s="324">
        <v>1669874.52</v>
      </c>
      <c r="FL392" s="324">
        <v>1839973.2600000002</v>
      </c>
      <c r="FM392" s="324">
        <v>1832577.67</v>
      </c>
      <c r="FN392" s="324">
        <v>1610709.73</v>
      </c>
      <c r="FO392" s="324">
        <v>1374050.6099999999</v>
      </c>
      <c r="FP392" s="324">
        <v>1448006.5899999999</v>
      </c>
      <c r="FQ392" s="324">
        <v>1533053.84</v>
      </c>
      <c r="FR392" s="348">
        <v>1234088.2</v>
      </c>
      <c r="FS392" s="348">
        <v>1922034.51</v>
      </c>
      <c r="FT392" s="348">
        <v>1368605.81</v>
      </c>
      <c r="FU392" s="348">
        <v>1039845.76</v>
      </c>
      <c r="FV392" s="348">
        <v>1116425.95</v>
      </c>
      <c r="FW392" s="348">
        <v>1374921.7142857143</v>
      </c>
      <c r="FX392" s="348">
        <v>1374921.7142857143</v>
      </c>
      <c r="FY392" s="348">
        <v>1374921.7142857143</v>
      </c>
      <c r="FZ392" s="348">
        <v>1374921.7142857143</v>
      </c>
      <c r="GA392" s="348">
        <v>1374921.7142857143</v>
      </c>
      <c r="GB392" s="348">
        <v>1374921.7142857143</v>
      </c>
      <c r="GC392" s="348">
        <v>1374921.7142857143</v>
      </c>
      <c r="GE392" s="425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4">
        <v>830846.24800000002</v>
      </c>
      <c r="EU393" s="324">
        <v>830846.24800000002</v>
      </c>
      <c r="EV393" s="324">
        <v>830846.24800000002</v>
      </c>
      <c r="EW393" s="324">
        <v>949846.13199999998</v>
      </c>
      <c r="EX393" s="324">
        <v>1306845.784</v>
      </c>
      <c r="EY393" s="324">
        <v>830846.24800000002</v>
      </c>
      <c r="EZ393" s="324">
        <v>1246269.3720000002</v>
      </c>
      <c r="FA393" s="324">
        <v>1246269.3720000002</v>
      </c>
      <c r="FB393" s="324">
        <v>5393218.1470000008</v>
      </c>
      <c r="FC393" s="324">
        <v>5393218.1470000008</v>
      </c>
      <c r="FD393" s="324">
        <v>5393218.1470000008</v>
      </c>
      <c r="FE393" s="324">
        <v>5393218.1470000008</v>
      </c>
      <c r="FF393" s="324">
        <v>1650583.3333333333</v>
      </c>
      <c r="FG393" s="324">
        <v>1843583.3333333333</v>
      </c>
      <c r="FH393" s="324">
        <v>1650583.3333333333</v>
      </c>
      <c r="FI393" s="324">
        <v>1650583.3333333333</v>
      </c>
      <c r="FJ393" s="324">
        <v>1650583.3333333333</v>
      </c>
      <c r="FK393" s="324">
        <v>1650583.3333333333</v>
      </c>
      <c r="FL393" s="324">
        <v>4650583.3333333302</v>
      </c>
      <c r="FM393" s="324">
        <v>1650583.3333333333</v>
      </c>
      <c r="FN393" s="324">
        <v>1650583.3333333333</v>
      </c>
      <c r="FO393" s="324">
        <v>2317250</v>
      </c>
      <c r="FP393" s="324">
        <v>2317250</v>
      </c>
      <c r="FQ393" s="324">
        <v>2317250</v>
      </c>
      <c r="FR393" s="324">
        <v>1941194</v>
      </c>
      <c r="FS393" s="324">
        <v>720000</v>
      </c>
      <c r="FT393" s="324">
        <v>117020</v>
      </c>
      <c r="FU393" s="324">
        <v>3138464.05</v>
      </c>
      <c r="FV393" s="324">
        <v>16941995.850000001</v>
      </c>
      <c r="FW393" s="324">
        <v>19000000</v>
      </c>
      <c r="FX393" s="324">
        <v>13000000</v>
      </c>
      <c r="FY393" s="324">
        <v>13000000</v>
      </c>
      <c r="FZ393" s="324">
        <v>13000000</v>
      </c>
      <c r="GA393" s="324">
        <v>38000000</v>
      </c>
      <c r="GB393" s="324">
        <v>7385913.0500000007</v>
      </c>
      <c r="GC393" s="324">
        <v>7385913.0500000007</v>
      </c>
      <c r="GE393" s="425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4">
        <v>830846.24800000002</v>
      </c>
      <c r="EU394" s="324">
        <v>830846.24800000002</v>
      </c>
      <c r="EV394" s="324">
        <v>830846.24800000002</v>
      </c>
      <c r="EW394" s="324">
        <v>830846.24800000002</v>
      </c>
      <c r="EX394" s="324">
        <v>830846.24800000002</v>
      </c>
      <c r="EY394" s="324">
        <v>830846.24800000002</v>
      </c>
      <c r="EZ394" s="324">
        <v>1246269.3720000002</v>
      </c>
      <c r="FA394" s="324">
        <v>1246269.3720000002</v>
      </c>
      <c r="FB394" s="324">
        <v>2223304.53675</v>
      </c>
      <c r="FC394" s="324">
        <v>3116522.6837499999</v>
      </c>
      <c r="FD394" s="324">
        <v>8116522.6837499999</v>
      </c>
      <c r="FE394" s="324">
        <v>8116522.6837499999</v>
      </c>
      <c r="FF394" s="347">
        <v>1650583.3333333333</v>
      </c>
      <c r="FG394" s="347">
        <v>1843583.3333333333</v>
      </c>
      <c r="FH394" s="347">
        <v>1650583.3333333333</v>
      </c>
      <c r="FI394" s="347">
        <v>1650583.3333333333</v>
      </c>
      <c r="FJ394" s="347">
        <v>1650583.3333333333</v>
      </c>
      <c r="FK394" s="347">
        <v>1650583.3333333333</v>
      </c>
      <c r="FL394" s="347">
        <f>1650583.33333333+3000000</f>
        <v>4650583.3333333302</v>
      </c>
      <c r="FM394" s="347">
        <v>1650583.3333333333</v>
      </c>
      <c r="FN394" s="347">
        <v>1650583.3333333333</v>
      </c>
      <c r="FO394" s="347">
        <f>3317250-1000000</f>
        <v>2317250</v>
      </c>
      <c r="FP394" s="347">
        <f>3317250-1000000</f>
        <v>2317250</v>
      </c>
      <c r="FQ394" s="347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6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4">
        <v>0</v>
      </c>
      <c r="EU395" s="324">
        <v>0</v>
      </c>
      <c r="EV395" s="324">
        <v>0</v>
      </c>
      <c r="EW395" s="324">
        <v>118999.88400000001</v>
      </c>
      <c r="EX395" s="324">
        <v>475999.53600000002</v>
      </c>
      <c r="EY395" s="324">
        <v>0</v>
      </c>
      <c r="EZ395" s="324">
        <v>0</v>
      </c>
      <c r="FA395" s="324">
        <v>0</v>
      </c>
      <c r="FB395" s="324">
        <v>0</v>
      </c>
      <c r="FC395" s="324">
        <v>0</v>
      </c>
      <c r="FD395" s="324">
        <v>0</v>
      </c>
      <c r="FE395" s="324">
        <v>0</v>
      </c>
      <c r="FF395" s="347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6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6"/>
    </row>
    <row r="397" spans="1:187">
      <c r="D397" s="72">
        <v>1005</v>
      </c>
      <c r="E397" s="76" t="s">
        <v>684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6"/>
      <c r="GE399" s="427"/>
    </row>
    <row r="400" spans="1:187">
      <c r="GE400" s="430"/>
    </row>
    <row r="401" spans="187:187">
      <c r="GE401" s="427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"/>
  <dimension ref="B1:G286"/>
  <sheetViews>
    <sheetView zoomScaleNormal="100" workbookViewId="0">
      <pane ySplit="4" topLeftCell="A269" activePane="bottomLeft" state="frozen"/>
      <selection pane="bottomLeft" activeCell="G274" sqref="G27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1</v>
      </c>
      <c r="C2" s="56" t="s">
        <v>0</v>
      </c>
    </row>
    <row r="3" spans="2:7" ht="15.75" thickBot="1">
      <c r="B3" s="260">
        <v>2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0">
        <v>2023</v>
      </c>
      <c r="C4" s="56" t="s">
        <v>679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6" si="0">+IF(ISBLANK(IF($B$2=1,E6,F6)),"",IF($B$2=1,E6,F6))</f>
        <v>Crna Gora</v>
      </c>
    </row>
    <row r="7" spans="2:7">
      <c r="E7" s="11" t="s">
        <v>805</v>
      </c>
      <c r="F7" s="12" t="s">
        <v>837</v>
      </c>
      <c r="G7" s="52" t="str">
        <f t="shared" si="0"/>
        <v>Ministarstvo finansija</v>
      </c>
    </row>
    <row r="8" spans="2:7">
      <c r="D8" s="43"/>
      <c r="E8" s="33" t="s">
        <v>770</v>
      </c>
      <c r="F8" s="34" t="s">
        <v>804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Analitika</v>
      </c>
    </row>
    <row r="11" spans="2:7">
      <c r="D11" s="349"/>
      <c r="E11" s="11" t="s">
        <v>839</v>
      </c>
      <c r="F11" s="12" t="s">
        <v>840</v>
      </c>
      <c r="G11" s="52" t="str">
        <f>+IF(ISBLANK(IF($B$2=1,E11,F11)),"",IF($B$2=1,E11,F11))</f>
        <v>Mjesečni podaci 2022</v>
      </c>
    </row>
    <row r="12" spans="2:7">
      <c r="D12" s="349"/>
      <c r="E12" s="11" t="s">
        <v>823</v>
      </c>
      <c r="F12" s="12" t="s">
        <v>824</v>
      </c>
      <c r="G12" s="52" t="str">
        <f>+IF(ISBLANK(IF($B$2=1,E12,F12)),"",IF($B$2=1,E12,F12))</f>
        <v>Mjesečni podaci 2021</v>
      </c>
    </row>
    <row r="13" spans="2:7">
      <c r="D13" s="349"/>
      <c r="E13" s="11" t="s">
        <v>788</v>
      </c>
      <c r="F13" s="12" t="s">
        <v>789</v>
      </c>
      <c r="G13" s="52" t="str">
        <f t="shared" si="0"/>
        <v>Mjesečni podaci 2020</v>
      </c>
    </row>
    <row r="14" spans="2:7">
      <c r="D14" s="41"/>
      <c r="E14" s="11" t="s">
        <v>755</v>
      </c>
      <c r="F14" s="12" t="s">
        <v>756</v>
      </c>
      <c r="G14" s="52" t="str">
        <f t="shared" si="0"/>
        <v>Mjesečni podaci 2019</v>
      </c>
    </row>
    <row r="15" spans="2:7">
      <c r="D15" s="41"/>
      <c r="E15" s="11" t="s">
        <v>753</v>
      </c>
      <c r="F15" s="12" t="s">
        <v>754</v>
      </c>
      <c r="G15" s="52" t="str">
        <f t="shared" si="0"/>
        <v>Mjesečni podaci 2018</v>
      </c>
    </row>
    <row r="16" spans="2:7">
      <c r="D16" s="41"/>
      <c r="E16" s="11" t="s">
        <v>735</v>
      </c>
      <c r="F16" s="12" t="s">
        <v>736</v>
      </c>
      <c r="G16" s="52" t="str">
        <f t="shared" si="0"/>
        <v>Mjesečni podaci 2017</v>
      </c>
    </row>
    <row r="17" spans="2:7">
      <c r="D17" s="41"/>
      <c r="E17" s="11" t="s">
        <v>716</v>
      </c>
      <c r="F17" s="12" t="s">
        <v>717</v>
      </c>
      <c r="G17" s="52" t="str">
        <f t="shared" si="0"/>
        <v>Mjesečni podaci 2016</v>
      </c>
    </row>
    <row r="18" spans="2:7">
      <c r="E18" s="11" t="s">
        <v>688</v>
      </c>
      <c r="F18" s="12" t="s">
        <v>689</v>
      </c>
      <c r="G18" s="52" t="str">
        <f t="shared" si="0"/>
        <v>Mjesečni podaci 2015</v>
      </c>
    </row>
    <row r="19" spans="2:7">
      <c r="E19" s="11" t="s">
        <v>10</v>
      </c>
      <c r="F19" s="12" t="s">
        <v>11</v>
      </c>
      <c r="G19" s="52" t="str">
        <f t="shared" si="0"/>
        <v>Mjesečni podaci 2014</v>
      </c>
    </row>
    <row r="20" spans="2:7">
      <c r="E20" s="11" t="s">
        <v>12</v>
      </c>
      <c r="F20" s="12" t="s">
        <v>13</v>
      </c>
      <c r="G20" s="52" t="str">
        <f t="shared" si="0"/>
        <v>Mjesečni podaci 2013</v>
      </c>
    </row>
    <row r="21" spans="2:7">
      <c r="E21" s="11" t="s">
        <v>737</v>
      </c>
      <c r="F21" s="12" t="s">
        <v>738</v>
      </c>
      <c r="G21" s="52" t="str">
        <f t="shared" si="0"/>
        <v>Mjesečni podaci 2012</v>
      </c>
    </row>
    <row r="22" spans="2:7">
      <c r="E22" s="11" t="s">
        <v>739</v>
      </c>
      <c r="F22" s="12" t="s">
        <v>740</v>
      </c>
      <c r="G22" s="52" t="str">
        <f t="shared" si="0"/>
        <v>Mjesečni podaci 2011</v>
      </c>
    </row>
    <row r="23" spans="2:7">
      <c r="E23" s="11" t="s">
        <v>14</v>
      </c>
      <c r="F23" s="12" t="s">
        <v>404</v>
      </c>
      <c r="G23" s="52" t="str">
        <f t="shared" si="0"/>
        <v>Istorijski podaci, od 2006</v>
      </c>
    </row>
    <row r="24" spans="2:7">
      <c r="E24" s="11" t="s">
        <v>15</v>
      </c>
      <c r="F24" s="12" t="s">
        <v>16</v>
      </c>
      <c r="G24" s="52" t="str">
        <f t="shared" si="0"/>
        <v>Javni dug</v>
      </c>
    </row>
    <row r="25" spans="2:7">
      <c r="E25" s="11" t="s">
        <v>411</v>
      </c>
      <c r="F25" s="12" t="s">
        <v>411</v>
      </c>
      <c r="G25" s="52" t="str">
        <f t="shared" si="0"/>
        <v>Plan</v>
      </c>
    </row>
    <row r="26" spans="2:7">
      <c r="E26" s="11" t="s">
        <v>412</v>
      </c>
      <c r="F26" s="12" t="s">
        <v>841</v>
      </c>
      <c r="G26" s="52" t="str">
        <f t="shared" si="0"/>
        <v>Ostvarenje</v>
      </c>
    </row>
    <row r="27" spans="2:7">
      <c r="D27" s="43"/>
      <c r="E27" s="33" t="s">
        <v>414</v>
      </c>
      <c r="F27" s="34" t="s">
        <v>415</v>
      </c>
      <c r="G27" s="53" t="str">
        <f t="shared" si="0"/>
        <v>Početak</v>
      </c>
    </row>
    <row r="28" spans="2:7">
      <c r="D28" s="39"/>
      <c r="E28" s="40"/>
      <c r="F28" s="40"/>
      <c r="G28" s="54" t="str">
        <f t="shared" si="0"/>
        <v/>
      </c>
    </row>
    <row r="29" spans="2:7">
      <c r="E29" s="11"/>
      <c r="F29" s="12"/>
      <c r="G29" s="52" t="str">
        <f t="shared" si="0"/>
        <v/>
      </c>
    </row>
    <row r="30" spans="2:7">
      <c r="B30" s="13"/>
      <c r="C30" s="44"/>
      <c r="D30" s="44">
        <v>7</v>
      </c>
      <c r="E30" s="15" t="s">
        <v>680</v>
      </c>
      <c r="F30" s="16" t="s">
        <v>18</v>
      </c>
      <c r="G30" s="52" t="str">
        <f t="shared" si="0"/>
        <v>Prihodi budžeta</v>
      </c>
    </row>
    <row r="31" spans="2:7">
      <c r="B31" s="13"/>
      <c r="C31" s="45"/>
      <c r="D31" s="45">
        <v>71</v>
      </c>
      <c r="E31" s="15" t="s">
        <v>19</v>
      </c>
      <c r="F31" s="16" t="s">
        <v>20</v>
      </c>
      <c r="G31" s="52" t="str">
        <f t="shared" si="0"/>
        <v>Tekući prihodi</v>
      </c>
    </row>
    <row r="32" spans="2:7">
      <c r="B32" s="17"/>
      <c r="C32" s="46"/>
      <c r="D32" s="45">
        <v>711</v>
      </c>
      <c r="E32" s="18" t="s">
        <v>21</v>
      </c>
      <c r="F32" s="19" t="s">
        <v>22</v>
      </c>
      <c r="G32" s="52" t="str">
        <f t="shared" si="0"/>
        <v>Porezi</v>
      </c>
    </row>
    <row r="33" spans="2:7">
      <c r="B33" s="17"/>
      <c r="C33" s="47"/>
      <c r="D33" s="47">
        <v>7111</v>
      </c>
      <c r="E33" s="21" t="s">
        <v>23</v>
      </c>
      <c r="F33" s="22" t="s">
        <v>24</v>
      </c>
      <c r="G33" s="52" t="str">
        <f t="shared" si="0"/>
        <v>Porez na dohodak fizičkih lica</v>
      </c>
    </row>
    <row r="34" spans="2:7">
      <c r="B34" s="20"/>
      <c r="C34" s="47"/>
      <c r="D34" s="47">
        <v>7112</v>
      </c>
      <c r="E34" s="21" t="s">
        <v>25</v>
      </c>
      <c r="F34" s="22" t="s">
        <v>26</v>
      </c>
      <c r="G34" s="52" t="str">
        <f t="shared" si="0"/>
        <v>Porez na dobit pravnih lica</v>
      </c>
    </row>
    <row r="35" spans="2:7">
      <c r="B35" s="20"/>
      <c r="C35" s="47"/>
      <c r="D35" s="47">
        <v>7113</v>
      </c>
      <c r="E35" s="21" t="s">
        <v>27</v>
      </c>
      <c r="F35" s="22" t="s">
        <v>28</v>
      </c>
      <c r="G35" s="52" t="str">
        <f t="shared" si="0"/>
        <v>Porez na promet nepokretnosti</v>
      </c>
    </row>
    <row r="36" spans="2:7">
      <c r="B36" s="20"/>
      <c r="C36" s="47"/>
      <c r="D36" s="47">
        <v>7114</v>
      </c>
      <c r="E36" s="21" t="s">
        <v>29</v>
      </c>
      <c r="F36" s="22" t="s">
        <v>30</v>
      </c>
      <c r="G36" s="52" t="str">
        <f t="shared" si="0"/>
        <v>Porez na dodatu vrijednost</v>
      </c>
    </row>
    <row r="37" spans="2:7">
      <c r="B37" s="20"/>
      <c r="C37" s="47"/>
      <c r="D37" s="47">
        <v>7115</v>
      </c>
      <c r="E37" s="21" t="s">
        <v>31</v>
      </c>
      <c r="F37" s="22" t="s">
        <v>32</v>
      </c>
      <c r="G37" s="52" t="str">
        <f t="shared" si="0"/>
        <v>Akcize</v>
      </c>
    </row>
    <row r="38" spans="2:7">
      <c r="B38" s="20"/>
      <c r="C38" s="47"/>
      <c r="D38" s="47">
        <v>7116</v>
      </c>
      <c r="E38" s="21" t="s">
        <v>33</v>
      </c>
      <c r="F38" s="22" t="s">
        <v>34</v>
      </c>
      <c r="G38" s="52" t="str">
        <f t="shared" si="0"/>
        <v>Porez na međunarodnu trgovinu i transakcije</v>
      </c>
    </row>
    <row r="39" spans="2:7">
      <c r="B39" s="20"/>
      <c r="C39" s="47"/>
      <c r="D39" s="47"/>
      <c r="E39" s="21"/>
      <c r="F39" s="22"/>
    </row>
    <row r="40" spans="2:7">
      <c r="B40" s="20"/>
      <c r="C40" s="47"/>
      <c r="D40" s="47">
        <v>7118</v>
      </c>
      <c r="E40" s="21" t="s">
        <v>721</v>
      </c>
      <c r="F40" s="22" t="s">
        <v>36</v>
      </c>
      <c r="G40" s="52" t="str">
        <f t="shared" si="0"/>
        <v>Ostali državni porezi</v>
      </c>
    </row>
    <row r="41" spans="2:7">
      <c r="B41" s="20"/>
      <c r="C41" s="46"/>
      <c r="D41" s="45">
        <v>712</v>
      </c>
      <c r="E41" s="18" t="s">
        <v>37</v>
      </c>
      <c r="F41" s="19" t="s">
        <v>38</v>
      </c>
      <c r="G41" s="52" t="str">
        <f t="shared" si="0"/>
        <v>Doprinosi</v>
      </c>
    </row>
    <row r="42" spans="2:7">
      <c r="B42" s="17"/>
      <c r="C42" s="47"/>
      <c r="D42" s="47">
        <v>7121</v>
      </c>
      <c r="E42" s="21" t="s">
        <v>39</v>
      </c>
      <c r="F42" s="22" t="s">
        <v>40</v>
      </c>
      <c r="G42" s="52" t="str">
        <f t="shared" si="0"/>
        <v>Doprinosi za penzijsko i invalidsko osiguranje</v>
      </c>
    </row>
    <row r="43" spans="2:7">
      <c r="B43" s="20"/>
      <c r="C43" s="47"/>
      <c r="D43" s="47">
        <v>7122</v>
      </c>
      <c r="E43" s="21" t="s">
        <v>41</v>
      </c>
      <c r="F43" s="22" t="s">
        <v>42</v>
      </c>
      <c r="G43" s="52" t="str">
        <f t="shared" si="0"/>
        <v>Doprinosi za zdravstveno osiguranje</v>
      </c>
    </row>
    <row r="44" spans="2:7">
      <c r="B44" s="20"/>
      <c r="C44" s="47"/>
      <c r="D44" s="47">
        <v>7123</v>
      </c>
      <c r="E44" s="21" t="s">
        <v>43</v>
      </c>
      <c r="F44" s="22" t="s">
        <v>44</v>
      </c>
      <c r="G44" s="52" t="str">
        <f t="shared" si="0"/>
        <v>Doprinosi za osiguranje od nezaposlenosti</v>
      </c>
    </row>
    <row r="45" spans="2:7">
      <c r="B45" s="20"/>
      <c r="C45" s="47"/>
      <c r="D45" s="47">
        <v>7124</v>
      </c>
      <c r="E45" s="21" t="s">
        <v>45</v>
      </c>
      <c r="F45" s="22" t="s">
        <v>46</v>
      </c>
      <c r="G45" s="52" t="str">
        <f t="shared" si="0"/>
        <v>Ostali doprinosi</v>
      </c>
    </row>
    <row r="46" spans="2:7">
      <c r="B46" s="20"/>
      <c r="C46" s="46"/>
      <c r="D46" s="45">
        <v>713</v>
      </c>
      <c r="E46" s="18" t="s">
        <v>47</v>
      </c>
      <c r="F46" s="19" t="s">
        <v>48</v>
      </c>
      <c r="G46" s="52" t="str">
        <f t="shared" si="0"/>
        <v>Takse</v>
      </c>
    </row>
    <row r="47" spans="2:7">
      <c r="B47" s="17"/>
      <c r="C47" s="47"/>
      <c r="D47" s="47">
        <v>7131</v>
      </c>
      <c r="E47" s="21" t="s">
        <v>49</v>
      </c>
      <c r="F47" s="22" t="s">
        <v>50</v>
      </c>
      <c r="G47" s="52" t="str">
        <f t="shared" si="0"/>
        <v>Administrativne takse</v>
      </c>
    </row>
    <row r="48" spans="2:7">
      <c r="B48" s="20"/>
      <c r="C48" s="47"/>
      <c r="D48" s="47">
        <v>7132</v>
      </c>
      <c r="E48" s="21" t="s">
        <v>51</v>
      </c>
      <c r="F48" s="22" t="s">
        <v>52</v>
      </c>
      <c r="G48" s="52" t="str">
        <f t="shared" si="0"/>
        <v>Sudske takse</v>
      </c>
    </row>
    <row r="49" spans="2:7">
      <c r="B49" s="20"/>
      <c r="C49" s="47"/>
      <c r="D49" s="47">
        <v>7133</v>
      </c>
      <c r="E49" s="21" t="s">
        <v>53</v>
      </c>
      <c r="F49" s="22" t="s">
        <v>54</v>
      </c>
      <c r="G49" s="52" t="str">
        <f t="shared" si="0"/>
        <v>Boravišne takse</v>
      </c>
    </row>
    <row r="50" spans="2:7">
      <c r="B50" s="20"/>
      <c r="C50" s="47"/>
      <c r="D50" s="47">
        <v>7134</v>
      </c>
      <c r="E50" s="21" t="s">
        <v>55</v>
      </c>
      <c r="F50" s="22" t="s">
        <v>56</v>
      </c>
      <c r="G50" s="52" t="str">
        <f t="shared" si="0"/>
        <v>Registracione takse</v>
      </c>
    </row>
    <row r="51" spans="2:7">
      <c r="B51" s="20"/>
      <c r="C51" s="47"/>
      <c r="D51" s="47">
        <v>7135</v>
      </c>
      <c r="E51" s="21" t="s">
        <v>57</v>
      </c>
      <c r="F51" s="22" t="s">
        <v>58</v>
      </c>
      <c r="G51" s="52" t="str">
        <f t="shared" si="0"/>
        <v>Lokalne komunalne takse</v>
      </c>
    </row>
    <row r="52" spans="2:7">
      <c r="B52" s="20"/>
      <c r="C52" s="47"/>
      <c r="D52" s="47">
        <v>7136</v>
      </c>
      <c r="E52" s="21" t="s">
        <v>59</v>
      </c>
      <c r="F52" s="22" t="s">
        <v>60</v>
      </c>
      <c r="G52" s="52" t="str">
        <f t="shared" si="0"/>
        <v>Ostale takse</v>
      </c>
    </row>
    <row r="53" spans="2:7">
      <c r="B53" s="20"/>
      <c r="C53" s="46"/>
      <c r="D53" s="45">
        <v>714</v>
      </c>
      <c r="E53" s="18" t="s">
        <v>61</v>
      </c>
      <c r="F53" s="19" t="s">
        <v>62</v>
      </c>
      <c r="G53" s="52" t="str">
        <f t="shared" si="0"/>
        <v>Naknade</v>
      </c>
    </row>
    <row r="54" spans="2:7" ht="23.25">
      <c r="B54" s="17"/>
      <c r="C54" s="47"/>
      <c r="D54" s="47">
        <v>7141</v>
      </c>
      <c r="E54" s="21" t="s">
        <v>63</v>
      </c>
      <c r="F54" s="22" t="s">
        <v>64</v>
      </c>
      <c r="G54" s="52" t="str">
        <f t="shared" si="0"/>
        <v>Naknade za korišćenje dobara od opšteg interesa</v>
      </c>
    </row>
    <row r="55" spans="2:7">
      <c r="B55" s="20"/>
      <c r="C55" s="47"/>
      <c r="D55" s="47">
        <v>7142</v>
      </c>
      <c r="E55" s="21" t="s">
        <v>65</v>
      </c>
      <c r="F55" s="22" t="s">
        <v>66</v>
      </c>
      <c r="G55" s="52" t="str">
        <f t="shared" si="0"/>
        <v>Naknade za korišćenje prirodnih dobara</v>
      </c>
    </row>
    <row r="56" spans="2:7">
      <c r="B56" s="20"/>
      <c r="C56" s="47"/>
      <c r="D56" s="47">
        <v>7143</v>
      </c>
      <c r="E56" s="21" t="s">
        <v>67</v>
      </c>
      <c r="F56" s="22" t="s">
        <v>68</v>
      </c>
      <c r="G56" s="52" t="str">
        <f t="shared" si="0"/>
        <v>Ekološke naknade</v>
      </c>
    </row>
    <row r="57" spans="2:7">
      <c r="B57" s="20"/>
      <c r="C57" s="47"/>
      <c r="D57" s="47">
        <v>7144</v>
      </c>
      <c r="E57" s="21" t="s">
        <v>69</v>
      </c>
      <c r="F57" s="22" t="s">
        <v>70</v>
      </c>
      <c r="G57" s="52" t="str">
        <f t="shared" si="0"/>
        <v>Naknade za priređivanje igara na sreću</v>
      </c>
    </row>
    <row r="58" spans="2:7">
      <c r="B58" s="20"/>
      <c r="C58" s="47"/>
      <c r="D58" s="47">
        <v>7145</v>
      </c>
      <c r="E58" s="21" t="s">
        <v>71</v>
      </c>
      <c r="F58" s="22" t="s">
        <v>72</v>
      </c>
      <c r="G58" s="52" t="str">
        <f t="shared" si="0"/>
        <v>Naknade za korišćenje građevinskog zemljišta</v>
      </c>
    </row>
    <row r="59" spans="2:7" ht="23.25">
      <c r="B59" s="20"/>
      <c r="C59" s="47"/>
      <c r="D59" s="47">
        <v>7146</v>
      </c>
      <c r="E59" s="21" t="s">
        <v>73</v>
      </c>
      <c r="F59" s="22" t="s">
        <v>74</v>
      </c>
      <c r="G59" s="52" t="str">
        <f t="shared" si="0"/>
        <v xml:space="preserve">Naknade za uređivanje i izgradnju građevinskog zemljišta </v>
      </c>
    </row>
    <row r="60" spans="2:7" ht="34.5">
      <c r="B60" s="20"/>
      <c r="C60" s="47"/>
      <c r="D60" s="47">
        <v>7147</v>
      </c>
      <c r="E60" s="21" t="s">
        <v>75</v>
      </c>
      <c r="F60" s="22" t="s">
        <v>76</v>
      </c>
      <c r="G60" s="52" t="str">
        <f t="shared" si="0"/>
        <v xml:space="preserve">Naknade za izgradnju i održavanje lokalnih puteva i drugih javnih objekata od opštinskog značaja </v>
      </c>
    </row>
    <row r="61" spans="2:7">
      <c r="B61" s="20"/>
      <c r="C61" s="47"/>
      <c r="D61" s="47">
        <v>7148</v>
      </c>
      <c r="E61" s="21" t="s">
        <v>77</v>
      </c>
      <c r="F61" s="22" t="s">
        <v>78</v>
      </c>
      <c r="G61" s="52" t="str">
        <f t="shared" si="0"/>
        <v>Naknada za puteve</v>
      </c>
    </row>
    <row r="62" spans="2:7">
      <c r="B62" s="20"/>
      <c r="C62" s="47"/>
      <c r="D62" s="47">
        <v>7149</v>
      </c>
      <c r="E62" s="21" t="s">
        <v>79</v>
      </c>
      <c r="F62" s="22" t="s">
        <v>80</v>
      </c>
      <c r="G62" s="52" t="str">
        <f t="shared" si="0"/>
        <v>Ostale naknade</v>
      </c>
    </row>
    <row r="63" spans="2:7">
      <c r="B63" s="20"/>
      <c r="C63" s="46"/>
      <c r="D63" s="45">
        <v>715</v>
      </c>
      <c r="E63" s="18" t="s">
        <v>81</v>
      </c>
      <c r="F63" s="19" t="s">
        <v>82</v>
      </c>
      <c r="G63" s="52" t="str">
        <f t="shared" si="0"/>
        <v>Ostali prihodi</v>
      </c>
    </row>
    <row r="64" spans="2:7">
      <c r="B64" s="17"/>
      <c r="C64" s="47"/>
      <c r="D64" s="47">
        <v>7151</v>
      </c>
      <c r="E64" s="21" t="s">
        <v>83</v>
      </c>
      <c r="F64" s="22" t="s">
        <v>84</v>
      </c>
      <c r="G64" s="52" t="str">
        <f t="shared" si="0"/>
        <v>Prihodi od kapitala</v>
      </c>
    </row>
    <row r="65" spans="2:7">
      <c r="B65" s="20"/>
      <c r="C65" s="47"/>
      <c r="D65" s="47">
        <v>7152</v>
      </c>
      <c r="E65" s="21" t="s">
        <v>85</v>
      </c>
      <c r="F65" s="22" t="s">
        <v>86</v>
      </c>
      <c r="G65" s="52" t="str">
        <f t="shared" si="0"/>
        <v>Novčane kazne i oduzete imovinske koristi</v>
      </c>
    </row>
    <row r="66" spans="2:7" ht="23.25">
      <c r="B66" s="20"/>
      <c r="C66" s="47"/>
      <c r="D66" s="47">
        <v>7153</v>
      </c>
      <c r="E66" s="21" t="s">
        <v>87</v>
      </c>
      <c r="F66" s="22" t="s">
        <v>88</v>
      </c>
      <c r="G66" s="52" t="str">
        <f t="shared" si="0"/>
        <v>Prihodi koje organi ostvaruju vršenjem svoje djelatnosti</v>
      </c>
    </row>
    <row r="67" spans="2:7">
      <c r="B67" s="20"/>
      <c r="C67" s="47"/>
      <c r="D67" s="47">
        <v>7154</v>
      </c>
      <c r="E67" s="21" t="s">
        <v>89</v>
      </c>
      <c r="F67" s="22" t="s">
        <v>90</v>
      </c>
      <c r="G67" s="52" t="str">
        <f t="shared" si="0"/>
        <v>Samodoprinosi</v>
      </c>
    </row>
    <row r="68" spans="2:7">
      <c r="B68" s="20"/>
      <c r="C68" s="47"/>
      <c r="D68" s="47">
        <v>7155</v>
      </c>
      <c r="E68" s="21" t="s">
        <v>81</v>
      </c>
      <c r="F68" s="22" t="s">
        <v>91</v>
      </c>
      <c r="G68" s="52" t="str">
        <f t="shared" si="0"/>
        <v>Ostali prihodi</v>
      </c>
    </row>
    <row r="69" spans="2:7">
      <c r="B69" s="20"/>
      <c r="C69" s="45" t="s">
        <v>92</v>
      </c>
      <c r="D69" s="45">
        <v>72</v>
      </c>
      <c r="E69" s="23" t="s">
        <v>93</v>
      </c>
      <c r="F69" s="16" t="s">
        <v>94</v>
      </c>
      <c r="G69" s="52" t="str">
        <f t="shared" si="0"/>
        <v>Primici od prodaje imovine</v>
      </c>
    </row>
    <row r="70" spans="2:7">
      <c r="B70" s="17"/>
      <c r="C70" s="47">
        <v>721</v>
      </c>
      <c r="D70" s="47">
        <v>7212</v>
      </c>
      <c r="E70" s="21" t="s">
        <v>95</v>
      </c>
      <c r="F70" s="22" t="s">
        <v>96</v>
      </c>
      <c r="G70" s="52" t="str">
        <f t="shared" si="0"/>
        <v>Primici od prodaje nefinansijske imovine</v>
      </c>
    </row>
    <row r="71" spans="2:7">
      <c r="B71" s="20"/>
      <c r="C71" s="47">
        <v>722</v>
      </c>
      <c r="D71" s="47">
        <v>7222</v>
      </c>
      <c r="E71" s="21" t="s">
        <v>97</v>
      </c>
      <c r="F71" s="22" t="s">
        <v>98</v>
      </c>
      <c r="G71" s="52" t="str">
        <f t="shared" si="0"/>
        <v>Primici od prodaje finansijske imovine</v>
      </c>
    </row>
    <row r="72" spans="2:7" ht="23.25">
      <c r="B72" s="20"/>
      <c r="C72" s="45"/>
      <c r="D72" s="45">
        <v>73</v>
      </c>
      <c r="E72" s="23" t="s">
        <v>99</v>
      </c>
      <c r="F72" s="16" t="s">
        <v>100</v>
      </c>
      <c r="G72" s="52" t="str">
        <f t="shared" si="0"/>
        <v>Primici od otplate kredita i sredstva prenesena iz prethodne godine</v>
      </c>
    </row>
    <row r="73" spans="2:7">
      <c r="B73" s="17"/>
      <c r="C73" s="47">
        <v>731</v>
      </c>
      <c r="D73" s="47">
        <v>7311</v>
      </c>
      <c r="E73" s="21" t="s">
        <v>101</v>
      </c>
      <c r="F73" s="22" t="s">
        <v>102</v>
      </c>
      <c r="G73" s="52" t="str">
        <f t="shared" si="0"/>
        <v>Primici od otplate kredita</v>
      </c>
    </row>
    <row r="74" spans="2:7">
      <c r="B74" s="20"/>
      <c r="C74" s="47">
        <v>732</v>
      </c>
      <c r="D74" s="47">
        <v>7321</v>
      </c>
      <c r="E74" s="21" t="s">
        <v>103</v>
      </c>
      <c r="F74" s="22" t="s">
        <v>104</v>
      </c>
      <c r="G74" s="52" t="str">
        <f t="shared" si="0"/>
        <v>Sredstva prenesena iz prethodne godine</v>
      </c>
    </row>
    <row r="75" spans="2:7">
      <c r="B75" s="20"/>
      <c r="C75" s="45" t="s">
        <v>92</v>
      </c>
      <c r="D75" s="45">
        <v>74</v>
      </c>
      <c r="E75" s="23" t="s">
        <v>105</v>
      </c>
      <c r="F75" s="16" t="s">
        <v>106</v>
      </c>
      <c r="G75" s="52" t="str">
        <f t="shared" si="0"/>
        <v>Donacije i transferi</v>
      </c>
    </row>
    <row r="76" spans="2:7">
      <c r="B76" s="17"/>
      <c r="C76" s="47">
        <v>741</v>
      </c>
      <c r="D76" s="47">
        <v>7411</v>
      </c>
      <c r="E76" s="21" t="s">
        <v>107</v>
      </c>
      <c r="F76" s="22" t="s">
        <v>108</v>
      </c>
      <c r="G76" s="52" t="str">
        <f t="shared" si="0"/>
        <v>Donacije</v>
      </c>
    </row>
    <row r="77" spans="2:7">
      <c r="B77" s="20"/>
      <c r="C77" s="47">
        <v>742</v>
      </c>
      <c r="D77" s="47">
        <v>7421</v>
      </c>
      <c r="E77" s="21" t="s">
        <v>109</v>
      </c>
      <c r="F77" s="22" t="s">
        <v>110</v>
      </c>
      <c r="G77" s="52" t="str">
        <f t="shared" ref="G77:G142" si="1">+IF(ISBLANK(IF($B$2=1,E77,F77)),"",IF($B$2=1,E77,F77))</f>
        <v>Transferi</v>
      </c>
    </row>
    <row r="78" spans="2:7">
      <c r="B78" s="20"/>
      <c r="C78" s="46"/>
      <c r="D78" s="45">
        <v>75</v>
      </c>
      <c r="E78" s="23" t="s">
        <v>111</v>
      </c>
      <c r="F78" s="16" t="s">
        <v>112</v>
      </c>
      <c r="G78" s="52" t="str">
        <f t="shared" si="1"/>
        <v xml:space="preserve">Pozajmice i krediti </v>
      </c>
    </row>
    <row r="79" spans="2:7">
      <c r="B79" s="17"/>
      <c r="C79" s="45"/>
      <c r="D79" s="45">
        <v>751</v>
      </c>
      <c r="E79" s="18" t="s">
        <v>113</v>
      </c>
      <c r="F79" s="19" t="s">
        <v>112</v>
      </c>
      <c r="G79" s="52" t="str">
        <f t="shared" si="1"/>
        <v>Pozajmice i krediti</v>
      </c>
    </row>
    <row r="80" spans="2:7">
      <c r="B80" s="17"/>
      <c r="C80" s="47"/>
      <c r="D80" s="47">
        <v>7511</v>
      </c>
      <c r="E80" s="21" t="s">
        <v>114</v>
      </c>
      <c r="F80" s="22" t="s">
        <v>115</v>
      </c>
      <c r="G80" s="52" t="str">
        <f t="shared" si="1"/>
        <v>Pozajmice i krediti od domaćih izvora</v>
      </c>
    </row>
    <row r="81" spans="2:7">
      <c r="B81" s="20"/>
      <c r="C81" s="48"/>
      <c r="D81" s="48">
        <v>7512</v>
      </c>
      <c r="E81" s="24" t="s">
        <v>116</v>
      </c>
      <c r="F81" s="62" t="s">
        <v>117</v>
      </c>
      <c r="G81" s="53" t="str">
        <f t="shared" si="1"/>
        <v>Pozajmice i krediti od inostranih izvora</v>
      </c>
    </row>
    <row r="82" spans="2:7">
      <c r="B82" s="20"/>
      <c r="C82" s="44"/>
      <c r="D82" s="44">
        <v>4</v>
      </c>
      <c r="E82" s="15" t="s">
        <v>801</v>
      </c>
      <c r="F82" s="16" t="s">
        <v>119</v>
      </c>
      <c r="G82" s="52" t="str">
        <f t="shared" si="1"/>
        <v>Izdaci budžeta</v>
      </c>
    </row>
    <row r="83" spans="2:7">
      <c r="B83" s="20"/>
      <c r="C83" s="44"/>
      <c r="D83" s="44">
        <v>40</v>
      </c>
      <c r="E83" s="15" t="s">
        <v>773</v>
      </c>
      <c r="F83" s="16" t="s">
        <v>774</v>
      </c>
      <c r="G83" s="52" t="str">
        <f t="shared" si="1"/>
        <v>Tekuća budžetska potrošnja</v>
      </c>
    </row>
    <row r="84" spans="2:7">
      <c r="B84" s="13"/>
      <c r="C84" s="44"/>
      <c r="D84" s="44">
        <v>41</v>
      </c>
      <c r="E84" s="15" t="s">
        <v>120</v>
      </c>
      <c r="F84" s="16" t="s">
        <v>121</v>
      </c>
      <c r="G84" s="52" t="str">
        <f t="shared" si="1"/>
        <v>Tekući izdaci</v>
      </c>
    </row>
    <row r="85" spans="2:7">
      <c r="B85" s="14" t="s">
        <v>92</v>
      </c>
      <c r="C85" s="46"/>
      <c r="D85" s="44">
        <v>411</v>
      </c>
      <c r="E85" s="18" t="s">
        <v>122</v>
      </c>
      <c r="F85" s="19" t="s">
        <v>123</v>
      </c>
      <c r="G85" s="52" t="str">
        <f t="shared" si="1"/>
        <v>Bruto zarade i doprinosi na teret poslodavca</v>
      </c>
    </row>
    <row r="86" spans="2:7">
      <c r="B86" s="14"/>
      <c r="C86" s="49"/>
      <c r="D86" s="49">
        <v>4111</v>
      </c>
      <c r="E86" s="21" t="s">
        <v>124</v>
      </c>
      <c r="F86" s="22" t="s">
        <v>125</v>
      </c>
      <c r="G86" s="52" t="str">
        <f t="shared" si="1"/>
        <v>Neto zarade</v>
      </c>
    </row>
    <row r="87" spans="2:7">
      <c r="B87" s="25"/>
      <c r="C87" s="49"/>
      <c r="D87" s="49">
        <v>4112</v>
      </c>
      <c r="E87" s="21" t="s">
        <v>126</v>
      </c>
      <c r="F87" s="22" t="s">
        <v>24</v>
      </c>
      <c r="G87" s="52" t="str">
        <f t="shared" si="1"/>
        <v>Porez na zarade</v>
      </c>
    </row>
    <row r="88" spans="2:7">
      <c r="B88" s="25"/>
      <c r="C88" s="49"/>
      <c r="D88" s="49">
        <v>4113</v>
      </c>
      <c r="E88" s="21" t="s">
        <v>127</v>
      </c>
      <c r="F88" s="22" t="s">
        <v>128</v>
      </c>
      <c r="G88" s="52" t="str">
        <f t="shared" si="1"/>
        <v>Doprinosi na teret zaposlenog</v>
      </c>
    </row>
    <row r="89" spans="2:7" ht="15.75">
      <c r="B89" s="25"/>
      <c r="C89" s="50"/>
      <c r="D89" s="49">
        <v>4114</v>
      </c>
      <c r="E89" s="21" t="s">
        <v>129</v>
      </c>
      <c r="F89" s="22" t="s">
        <v>130</v>
      </c>
      <c r="G89" s="52" t="str">
        <f t="shared" si="1"/>
        <v>Doprinosi na teret poslodavca</v>
      </c>
    </row>
    <row r="90" spans="2:7" ht="15.75">
      <c r="B90" s="26"/>
      <c r="C90" s="49"/>
      <c r="D90" s="49">
        <v>4115</v>
      </c>
      <c r="E90" s="21" t="s">
        <v>131</v>
      </c>
      <c r="F90" s="22" t="s">
        <v>132</v>
      </c>
      <c r="G90" s="52" t="str">
        <f t="shared" si="1"/>
        <v>Opštinski prirez</v>
      </c>
    </row>
    <row r="91" spans="2:7">
      <c r="B91" s="25"/>
      <c r="C91" s="46"/>
      <c r="D91" s="44">
        <v>412</v>
      </c>
      <c r="E91" s="18" t="s">
        <v>133</v>
      </c>
      <c r="F91" s="19" t="s">
        <v>134</v>
      </c>
      <c r="G91" s="52" t="str">
        <f t="shared" si="1"/>
        <v>Ostala lična primanja</v>
      </c>
    </row>
    <row r="92" spans="2:7">
      <c r="B92" s="14"/>
      <c r="C92" s="49"/>
      <c r="D92" s="49">
        <v>4121</v>
      </c>
      <c r="E92" s="21" t="s">
        <v>135</v>
      </c>
      <c r="F92" s="22" t="s">
        <v>136</v>
      </c>
      <c r="G92" s="52" t="str">
        <f t="shared" si="1"/>
        <v>Naknada za zimnicu</v>
      </c>
    </row>
    <row r="93" spans="2:7">
      <c r="B93" s="25"/>
      <c r="C93" s="49"/>
      <c r="D93" s="49">
        <v>4122</v>
      </c>
      <c r="E93" s="21" t="s">
        <v>137</v>
      </c>
      <c r="F93" s="22" t="s">
        <v>138</v>
      </c>
      <c r="G93" s="52" t="str">
        <f t="shared" si="1"/>
        <v>Naknada za stanovanje i odvojen život</v>
      </c>
    </row>
    <row r="94" spans="2:7">
      <c r="B94" s="25"/>
      <c r="C94" s="49"/>
      <c r="D94" s="49">
        <v>4123</v>
      </c>
      <c r="E94" s="21" t="s">
        <v>139</v>
      </c>
      <c r="F94" s="22" t="s">
        <v>140</v>
      </c>
      <c r="G94" s="52" t="str">
        <f t="shared" si="1"/>
        <v>Naknada za prevoz</v>
      </c>
    </row>
    <row r="95" spans="2:7">
      <c r="B95" s="25"/>
      <c r="C95" s="49"/>
      <c r="D95" s="49">
        <v>4124</v>
      </c>
      <c r="E95" s="21" t="s">
        <v>141</v>
      </c>
      <c r="F95" s="22" t="s">
        <v>142</v>
      </c>
      <c r="G95" s="52" t="str">
        <f t="shared" si="1"/>
        <v>Jubilarne nagrade</v>
      </c>
    </row>
    <row r="96" spans="2:7">
      <c r="B96" s="25"/>
      <c r="C96" s="49"/>
      <c r="D96" s="49">
        <v>4125</v>
      </c>
      <c r="E96" s="21" t="s">
        <v>143</v>
      </c>
      <c r="F96" s="22" t="s">
        <v>144</v>
      </c>
      <c r="G96" s="52" t="str">
        <f t="shared" si="1"/>
        <v>Otpremnine</v>
      </c>
    </row>
    <row r="97" spans="2:7">
      <c r="B97" s="25"/>
      <c r="C97" s="49"/>
      <c r="D97" s="49">
        <v>4126</v>
      </c>
      <c r="E97" s="21" t="s">
        <v>145</v>
      </c>
      <c r="F97" s="22" t="s">
        <v>146</v>
      </c>
      <c r="G97" s="52" t="str">
        <f t="shared" si="1"/>
        <v>Naknada skupstinskim poslanicima</v>
      </c>
    </row>
    <row r="98" spans="2:7">
      <c r="B98" s="25"/>
      <c r="C98" s="49"/>
      <c r="D98" s="49">
        <v>4127</v>
      </c>
      <c r="E98" s="21" t="s">
        <v>79</v>
      </c>
      <c r="F98" s="22" t="s">
        <v>147</v>
      </c>
      <c r="G98" s="52" t="str">
        <f t="shared" si="1"/>
        <v>Ostale naknade</v>
      </c>
    </row>
    <row r="99" spans="2:7">
      <c r="B99" s="25"/>
      <c r="C99" s="49"/>
      <c r="D99" s="49">
        <v>4128</v>
      </c>
      <c r="E99" s="21" t="s">
        <v>718</v>
      </c>
      <c r="F99" s="22" t="s">
        <v>720</v>
      </c>
      <c r="G99" s="52" t="str">
        <f t="shared" si="1"/>
        <v>Ostala prava iz oblasti socijalne zaštite</v>
      </c>
    </row>
    <row r="100" spans="2:7">
      <c r="B100" s="25"/>
      <c r="C100" s="46"/>
      <c r="D100" s="44">
        <v>413</v>
      </c>
      <c r="E100" s="18" t="s">
        <v>148</v>
      </c>
      <c r="F100" s="19" t="s">
        <v>149</v>
      </c>
      <c r="G100" s="52" t="str">
        <f t="shared" si="1"/>
        <v>Rashodi za materijal</v>
      </c>
    </row>
    <row r="101" spans="2:7">
      <c r="B101" s="14"/>
      <c r="C101" s="49"/>
      <c r="D101" s="49">
        <v>4131</v>
      </c>
      <c r="E101" s="21" t="s">
        <v>150</v>
      </c>
      <c r="F101" s="22" t="s">
        <v>151</v>
      </c>
      <c r="G101" s="52" t="str">
        <f t="shared" si="1"/>
        <v>Administrativni materijal</v>
      </c>
    </row>
    <row r="102" spans="2:7">
      <c r="B102" s="25"/>
      <c r="C102" s="49"/>
      <c r="D102" s="49">
        <v>4132</v>
      </c>
      <c r="E102" s="21" t="s">
        <v>152</v>
      </c>
      <c r="F102" s="22" t="s">
        <v>153</v>
      </c>
      <c r="G102" s="52" t="str">
        <f t="shared" si="1"/>
        <v>Materijal za zdravstvenu zaštitu</v>
      </c>
    </row>
    <row r="103" spans="2:7">
      <c r="B103" s="25"/>
      <c r="C103" s="49"/>
      <c r="D103" s="49">
        <v>4133</v>
      </c>
      <c r="E103" s="21" t="s">
        <v>154</v>
      </c>
      <c r="F103" s="22" t="s">
        <v>155</v>
      </c>
      <c r="G103" s="52" t="str">
        <f t="shared" si="1"/>
        <v>Materijal za posebne namjene</v>
      </c>
    </row>
    <row r="104" spans="2:7">
      <c r="B104" s="25"/>
      <c r="C104" s="49"/>
      <c r="D104" s="49">
        <v>4134</v>
      </c>
      <c r="E104" s="21" t="s">
        <v>156</v>
      </c>
      <c r="F104" s="22" t="s">
        <v>157</v>
      </c>
      <c r="G104" s="52" t="str">
        <f t="shared" si="1"/>
        <v>Rashodi za energiju</v>
      </c>
    </row>
    <row r="105" spans="2:7">
      <c r="B105" s="25"/>
      <c r="C105" s="49"/>
      <c r="D105" s="49">
        <v>4135</v>
      </c>
      <c r="E105" s="21" t="s">
        <v>158</v>
      </c>
      <c r="F105" s="22" t="s">
        <v>159</v>
      </c>
      <c r="G105" s="52" t="str">
        <f t="shared" si="1"/>
        <v>Rashodi za gorivo</v>
      </c>
    </row>
    <row r="106" spans="2:7">
      <c r="B106" s="25"/>
      <c r="C106" s="49"/>
      <c r="D106" s="49">
        <v>4139</v>
      </c>
      <c r="E106" s="21" t="s">
        <v>160</v>
      </c>
      <c r="F106" s="22" t="s">
        <v>161</v>
      </c>
      <c r="G106" s="52" t="str">
        <f t="shared" si="1"/>
        <v>Ostali rashodi za materijal</v>
      </c>
    </row>
    <row r="107" spans="2:7">
      <c r="B107" s="25"/>
      <c r="C107" s="46"/>
      <c r="D107" s="44">
        <v>414</v>
      </c>
      <c r="E107" s="18" t="s">
        <v>162</v>
      </c>
      <c r="F107" s="19" t="s">
        <v>163</v>
      </c>
      <c r="G107" s="52" t="str">
        <f t="shared" si="1"/>
        <v>Rashodi za usluge</v>
      </c>
    </row>
    <row r="108" spans="2:7">
      <c r="B108" s="14"/>
      <c r="C108" s="49"/>
      <c r="D108" s="49">
        <v>4141</v>
      </c>
      <c r="E108" s="21" t="s">
        <v>164</v>
      </c>
      <c r="F108" s="22" t="s">
        <v>165</v>
      </c>
      <c r="G108" s="52" t="str">
        <f t="shared" si="1"/>
        <v>Službena putovanja</v>
      </c>
    </row>
    <row r="109" spans="2:7">
      <c r="B109" s="25"/>
      <c r="C109" s="49"/>
      <c r="D109" s="49">
        <v>4142</v>
      </c>
      <c r="E109" s="21" t="s">
        <v>166</v>
      </c>
      <c r="F109" s="22" t="s">
        <v>167</v>
      </c>
      <c r="G109" s="52" t="str">
        <f t="shared" si="1"/>
        <v>Reprezentacija</v>
      </c>
    </row>
    <row r="110" spans="2:7">
      <c r="B110" s="25"/>
      <c r="C110" s="49"/>
      <c r="D110" s="49">
        <v>4143</v>
      </c>
      <c r="E110" s="21" t="s">
        <v>168</v>
      </c>
      <c r="F110" s="22" t="s">
        <v>169</v>
      </c>
      <c r="G110" s="52" t="str">
        <f t="shared" si="1"/>
        <v>Komunikacione usluge</v>
      </c>
    </row>
    <row r="111" spans="2:7">
      <c r="B111" s="25"/>
      <c r="C111" s="49"/>
      <c r="D111" s="49">
        <v>4144</v>
      </c>
      <c r="E111" s="21" t="s">
        <v>170</v>
      </c>
      <c r="F111" s="22" t="s">
        <v>171</v>
      </c>
      <c r="G111" s="52" t="str">
        <f t="shared" si="1"/>
        <v>Bankarske usluge i negativne kursne razlike</v>
      </c>
    </row>
    <row r="112" spans="2:7">
      <c r="B112" s="25"/>
      <c r="C112" s="49"/>
      <c r="D112" s="49">
        <v>4145</v>
      </c>
      <c r="E112" s="21" t="s">
        <v>172</v>
      </c>
      <c r="F112" s="22" t="s">
        <v>173</v>
      </c>
      <c r="G112" s="52" t="str">
        <f t="shared" si="1"/>
        <v>Usluge prevoza</v>
      </c>
    </row>
    <row r="113" spans="2:7">
      <c r="B113" s="25"/>
      <c r="C113" s="49"/>
      <c r="D113" s="49">
        <v>4146</v>
      </c>
      <c r="E113" s="21" t="s">
        <v>174</v>
      </c>
      <c r="F113" s="22" t="s">
        <v>175</v>
      </c>
      <c r="G113" s="52" t="str">
        <f t="shared" si="1"/>
        <v>Advokatske, notarske i pravne usluge</v>
      </c>
    </row>
    <row r="114" spans="2:7">
      <c r="B114" s="25"/>
      <c r="C114" s="49"/>
      <c r="D114" s="49">
        <v>4147</v>
      </c>
      <c r="E114" s="21" t="s">
        <v>176</v>
      </c>
      <c r="F114" s="22" t="s">
        <v>177</v>
      </c>
      <c r="G114" s="52" t="str">
        <f t="shared" si="1"/>
        <v>Konsultantske usluge, projekti i studije</v>
      </c>
    </row>
    <row r="115" spans="2:7">
      <c r="B115" s="25"/>
      <c r="C115" s="49"/>
      <c r="D115" s="49">
        <v>4148</v>
      </c>
      <c r="E115" s="21" t="s">
        <v>178</v>
      </c>
      <c r="F115" s="22" t="s">
        <v>179</v>
      </c>
      <c r="G115" s="52" t="str">
        <f t="shared" si="1"/>
        <v>Usluge stručnog usavršavanja</v>
      </c>
    </row>
    <row r="116" spans="2:7">
      <c r="B116" s="25"/>
      <c r="C116" s="49"/>
      <c r="D116" s="49">
        <v>4149</v>
      </c>
      <c r="E116" s="21" t="s">
        <v>180</v>
      </c>
      <c r="F116" s="22" t="s">
        <v>181</v>
      </c>
      <c r="G116" s="52" t="str">
        <f t="shared" si="1"/>
        <v>Ostale usluge</v>
      </c>
    </row>
    <row r="117" spans="2:7">
      <c r="B117" s="25"/>
      <c r="C117" s="46"/>
      <c r="D117" s="44">
        <v>415</v>
      </c>
      <c r="E117" s="18" t="s">
        <v>182</v>
      </c>
      <c r="F117" s="19" t="s">
        <v>183</v>
      </c>
      <c r="G117" s="52" t="str">
        <f t="shared" si="1"/>
        <v>Rashodi za tekuće održavanje</v>
      </c>
    </row>
    <row r="118" spans="2:7">
      <c r="B118" s="14"/>
      <c r="C118" s="49"/>
      <c r="D118" s="49">
        <v>4151</v>
      </c>
      <c r="E118" s="21" t="s">
        <v>184</v>
      </c>
      <c r="F118" s="22" t="s">
        <v>185</v>
      </c>
      <c r="G118" s="52" t="str">
        <f t="shared" si="1"/>
        <v>Tekuće održavanje javne infrastrukture</v>
      </c>
    </row>
    <row r="119" spans="2:7">
      <c r="B119" s="25"/>
      <c r="C119" s="49"/>
      <c r="D119" s="49">
        <v>4152</v>
      </c>
      <c r="E119" s="21" t="s">
        <v>186</v>
      </c>
      <c r="F119" s="22" t="s">
        <v>187</v>
      </c>
      <c r="G119" s="52" t="str">
        <f t="shared" si="1"/>
        <v>Tekuće održavanje građevinskih objekata</v>
      </c>
    </row>
    <row r="120" spans="2:7">
      <c r="B120" s="25"/>
      <c r="C120" s="49"/>
      <c r="D120" s="49">
        <v>4153</v>
      </c>
      <c r="E120" s="21" t="s">
        <v>188</v>
      </c>
      <c r="F120" s="22" t="s">
        <v>189</v>
      </c>
      <c r="G120" s="52" t="str">
        <f t="shared" si="1"/>
        <v>Tekuće održavanje opreme</v>
      </c>
    </row>
    <row r="121" spans="2:7">
      <c r="B121" s="25"/>
      <c r="C121" s="46"/>
      <c r="D121" s="44">
        <v>416</v>
      </c>
      <c r="E121" s="18" t="s">
        <v>190</v>
      </c>
      <c r="F121" s="19" t="s">
        <v>191</v>
      </c>
      <c r="G121" s="52" t="str">
        <f t="shared" si="1"/>
        <v>Kamate</v>
      </c>
    </row>
    <row r="122" spans="2:7">
      <c r="B122" s="14"/>
      <c r="C122" s="49"/>
      <c r="D122" s="49">
        <v>4161</v>
      </c>
      <c r="E122" s="21" t="s">
        <v>192</v>
      </c>
      <c r="F122" s="22" t="s">
        <v>193</v>
      </c>
      <c r="G122" s="52" t="str">
        <f t="shared" si="1"/>
        <v>Kamate rezidentima</v>
      </c>
    </row>
    <row r="123" spans="2:7">
      <c r="B123" s="25"/>
      <c r="C123" s="49"/>
      <c r="D123" s="49">
        <v>4162</v>
      </c>
      <c r="E123" s="21" t="s">
        <v>194</v>
      </c>
      <c r="F123" s="22" t="s">
        <v>195</v>
      </c>
      <c r="G123" s="52" t="str">
        <f t="shared" si="1"/>
        <v>Kamate nerezidentima</v>
      </c>
    </row>
    <row r="124" spans="2:7">
      <c r="B124" s="25"/>
      <c r="C124" s="46"/>
      <c r="D124" s="44">
        <v>417</v>
      </c>
      <c r="E124" s="18" t="s">
        <v>196</v>
      </c>
      <c r="F124" s="19" t="s">
        <v>197</v>
      </c>
      <c r="G124" s="52" t="str">
        <f t="shared" si="1"/>
        <v>Renta</v>
      </c>
    </row>
    <row r="125" spans="2:7">
      <c r="B125" s="14"/>
      <c r="C125" s="49"/>
      <c r="D125" s="49">
        <v>4171</v>
      </c>
      <c r="E125" s="21" t="s">
        <v>198</v>
      </c>
      <c r="F125" s="22" t="s">
        <v>199</v>
      </c>
      <c r="G125" s="52" t="str">
        <f t="shared" si="1"/>
        <v>Zakup objekata</v>
      </c>
    </row>
    <row r="126" spans="2:7">
      <c r="B126" s="25"/>
      <c r="C126" s="49"/>
      <c r="D126" s="49">
        <v>4172</v>
      </c>
      <c r="E126" s="21" t="s">
        <v>200</v>
      </c>
      <c r="F126" s="22" t="s">
        <v>201</v>
      </c>
      <c r="G126" s="52" t="str">
        <f t="shared" si="1"/>
        <v>Zakup opreme</v>
      </c>
    </row>
    <row r="127" spans="2:7">
      <c r="B127" s="25"/>
      <c r="C127" s="49"/>
      <c r="D127" s="49">
        <v>4173</v>
      </c>
      <c r="E127" s="21" t="s">
        <v>202</v>
      </c>
      <c r="F127" s="22" t="s">
        <v>203</v>
      </c>
      <c r="G127" s="52" t="str">
        <f t="shared" si="1"/>
        <v>Zakup zemljišta</v>
      </c>
    </row>
    <row r="128" spans="2:7">
      <c r="B128" s="25"/>
      <c r="C128" s="46"/>
      <c r="D128" s="44">
        <v>418</v>
      </c>
      <c r="E128" s="18" t="s">
        <v>204</v>
      </c>
      <c r="F128" s="19" t="s">
        <v>205</v>
      </c>
      <c r="G128" s="52" t="str">
        <f t="shared" si="1"/>
        <v>Subvencije</v>
      </c>
    </row>
    <row r="129" spans="2:7">
      <c r="B129" s="14"/>
      <c r="C129" s="49"/>
      <c r="D129" s="49">
        <v>4181</v>
      </c>
      <c r="E129" s="21" t="s">
        <v>206</v>
      </c>
      <c r="F129" s="22" t="s">
        <v>207</v>
      </c>
      <c r="G129" s="52" t="str">
        <f t="shared" si="1"/>
        <v>Subvencije za proizvodnju i pružanje usluga</v>
      </c>
    </row>
    <row r="130" spans="2:7">
      <c r="B130" s="25"/>
      <c r="C130" s="49"/>
      <c r="D130" s="49">
        <v>4182</v>
      </c>
      <c r="E130" s="21" t="s">
        <v>208</v>
      </c>
      <c r="F130" s="22" t="s">
        <v>209</v>
      </c>
      <c r="G130" s="52" t="str">
        <f t="shared" si="1"/>
        <v>Izvozne subvencije</v>
      </c>
    </row>
    <row r="131" spans="2:7">
      <c r="B131" s="25"/>
      <c r="C131" s="49"/>
      <c r="D131" s="49">
        <v>4183</v>
      </c>
      <c r="E131" s="21" t="s">
        <v>210</v>
      </c>
      <c r="F131" s="22" t="s">
        <v>211</v>
      </c>
      <c r="G131" s="52" t="str">
        <f t="shared" si="1"/>
        <v>Uvozne subvencije</v>
      </c>
    </row>
    <row r="132" spans="2:7">
      <c r="B132" s="25"/>
      <c r="C132" s="46"/>
      <c r="D132" s="44">
        <v>419</v>
      </c>
      <c r="E132" s="18" t="s">
        <v>212</v>
      </c>
      <c r="F132" s="19" t="s">
        <v>213</v>
      </c>
      <c r="G132" s="52" t="str">
        <f t="shared" si="1"/>
        <v>Ostali izdaci</v>
      </c>
    </row>
    <row r="133" spans="2:7">
      <c r="B133" s="14"/>
      <c r="C133" s="49"/>
      <c r="D133" s="49">
        <v>4191</v>
      </c>
      <c r="E133" s="21" t="s">
        <v>214</v>
      </c>
      <c r="F133" s="22" t="s">
        <v>215</v>
      </c>
      <c r="G133" s="52" t="str">
        <f t="shared" si="1"/>
        <v>Izdaci po osnovu isplate ugovora o djelu</v>
      </c>
    </row>
    <row r="134" spans="2:7">
      <c r="B134" s="25"/>
      <c r="C134" s="49"/>
      <c r="D134" s="49">
        <v>4192</v>
      </c>
      <c r="E134" s="21" t="s">
        <v>216</v>
      </c>
      <c r="F134" s="22" t="s">
        <v>217</v>
      </c>
      <c r="G134" s="52" t="str">
        <f t="shared" si="1"/>
        <v>Izdaci po osnovu troškova sudskih postupaka</v>
      </c>
    </row>
    <row r="135" spans="2:7">
      <c r="B135" s="25"/>
      <c r="C135" s="49"/>
      <c r="D135" s="49">
        <v>4193</v>
      </c>
      <c r="E135" s="21" t="s">
        <v>218</v>
      </c>
      <c r="F135" s="22" t="s">
        <v>219</v>
      </c>
      <c r="G135" s="52" t="str">
        <f t="shared" si="1"/>
        <v>Izrada i održavanje softvera</v>
      </c>
    </row>
    <row r="136" spans="2:7">
      <c r="B136" s="25"/>
      <c r="C136" s="49"/>
      <c r="D136" s="49">
        <v>4194</v>
      </c>
      <c r="E136" s="21" t="s">
        <v>220</v>
      </c>
      <c r="F136" s="22" t="s">
        <v>221</v>
      </c>
      <c r="G136" s="52" t="str">
        <f t="shared" si="1"/>
        <v>Osiguranje</v>
      </c>
    </row>
    <row r="137" spans="2:7" ht="23.25">
      <c r="B137" s="25"/>
      <c r="C137" s="47"/>
      <c r="D137" s="47">
        <v>4195</v>
      </c>
      <c r="E137" s="27" t="s">
        <v>222</v>
      </c>
      <c r="F137" s="22" t="s">
        <v>223</v>
      </c>
      <c r="G137" s="52" t="str">
        <f t="shared" si="1"/>
        <v>Kontribucije za članstvo u domaćim i međunarodnim organizacijama</v>
      </c>
    </row>
    <row r="138" spans="2:7">
      <c r="B138" s="20"/>
      <c r="C138" s="49"/>
      <c r="D138" s="49">
        <v>4196</v>
      </c>
      <c r="E138" s="21" t="s">
        <v>224</v>
      </c>
      <c r="F138" s="22" t="s">
        <v>225</v>
      </c>
      <c r="G138" s="52" t="str">
        <f t="shared" si="1"/>
        <v>Komunalne naknade</v>
      </c>
    </row>
    <row r="139" spans="2:7">
      <c r="B139" s="25"/>
      <c r="C139" s="49"/>
      <c r="D139" s="47">
        <v>4197</v>
      </c>
      <c r="E139" s="21" t="s">
        <v>226</v>
      </c>
      <c r="F139" s="22" t="s">
        <v>227</v>
      </c>
      <c r="G139" s="52" t="str">
        <f t="shared" si="1"/>
        <v>Kazne</v>
      </c>
    </row>
    <row r="140" spans="2:7">
      <c r="B140" s="25"/>
      <c r="C140" s="49"/>
      <c r="D140" s="49">
        <v>4198</v>
      </c>
      <c r="E140" s="21" t="s">
        <v>47</v>
      </c>
      <c r="F140" s="22" t="s">
        <v>62</v>
      </c>
      <c r="G140" s="52" t="str">
        <f t="shared" si="1"/>
        <v>Takse</v>
      </c>
    </row>
    <row r="141" spans="2:7">
      <c r="B141" s="25"/>
      <c r="C141" s="49"/>
      <c r="D141" s="47">
        <v>4199</v>
      </c>
      <c r="E141" s="21" t="s">
        <v>228</v>
      </c>
      <c r="F141" s="22" t="s">
        <v>229</v>
      </c>
      <c r="G141" s="52" t="str">
        <f t="shared" si="1"/>
        <v>Ostalo</v>
      </c>
    </row>
    <row r="142" spans="2:7">
      <c r="B142" s="25"/>
      <c r="C142" s="44" t="s">
        <v>92</v>
      </c>
      <c r="D142" s="44">
        <v>42</v>
      </c>
      <c r="E142" s="15" t="s">
        <v>230</v>
      </c>
      <c r="F142" s="16" t="s">
        <v>231</v>
      </c>
      <c r="G142" s="52" t="str">
        <f t="shared" si="1"/>
        <v>Transferi za socijalnu zaštitu</v>
      </c>
    </row>
    <row r="143" spans="2:7">
      <c r="B143" s="14"/>
      <c r="C143" s="46"/>
      <c r="D143" s="44">
        <v>421</v>
      </c>
      <c r="E143" s="18" t="s">
        <v>232</v>
      </c>
      <c r="F143" s="19" t="s">
        <v>233</v>
      </c>
      <c r="G143" s="52" t="str">
        <f t="shared" ref="G143:G206" si="2">+IF(ISBLANK(IF($B$2=1,E143,F143)),"",IF($B$2=1,E143,F143))</f>
        <v>Prava iz oblasti socijalne zaštite</v>
      </c>
    </row>
    <row r="144" spans="2:7">
      <c r="B144" s="14"/>
      <c r="C144" s="49" t="s">
        <v>92</v>
      </c>
      <c r="D144" s="49">
        <v>4211</v>
      </c>
      <c r="E144" s="21" t="s">
        <v>234</v>
      </c>
      <c r="F144" s="22" t="s">
        <v>235</v>
      </c>
      <c r="G144" s="52" t="str">
        <f t="shared" si="2"/>
        <v>Dječiji dodaci</v>
      </c>
    </row>
    <row r="145" spans="2:7">
      <c r="B145" s="25"/>
      <c r="C145" s="49"/>
      <c r="D145" s="49">
        <v>4212</v>
      </c>
      <c r="E145" s="21" t="s">
        <v>236</v>
      </c>
      <c r="F145" s="22" t="s">
        <v>237</v>
      </c>
      <c r="G145" s="52" t="str">
        <f t="shared" si="2"/>
        <v>Boračko invalidska zaštita</v>
      </c>
    </row>
    <row r="146" spans="2:7">
      <c r="B146" s="25"/>
      <c r="C146" s="49"/>
      <c r="D146" s="49">
        <v>4213</v>
      </c>
      <c r="E146" s="21" t="s">
        <v>238</v>
      </c>
      <c r="F146" s="22" t="s">
        <v>239</v>
      </c>
      <c r="G146" s="52" t="str">
        <f t="shared" si="2"/>
        <v>Materijalno obezbjeđenje porodice</v>
      </c>
    </row>
    <row r="147" spans="2:7">
      <c r="B147" s="25"/>
      <c r="C147" s="49"/>
      <c r="D147" s="49">
        <v>4214</v>
      </c>
      <c r="E147" s="21" t="s">
        <v>240</v>
      </c>
      <c r="F147" s="22" t="s">
        <v>241</v>
      </c>
      <c r="G147" s="52" t="str">
        <f t="shared" si="2"/>
        <v>Porodiljska odsustva</v>
      </c>
    </row>
    <row r="148" spans="2:7">
      <c r="B148" s="25"/>
      <c r="C148" s="49"/>
      <c r="D148" s="49">
        <v>4215</v>
      </c>
      <c r="E148" s="21" t="s">
        <v>242</v>
      </c>
      <c r="F148" s="22" t="s">
        <v>243</v>
      </c>
      <c r="G148" s="52" t="str">
        <f t="shared" si="2"/>
        <v>Tuđa njega i pomoć</v>
      </c>
    </row>
    <row r="149" spans="2:7">
      <c r="B149" s="25"/>
      <c r="C149" s="49"/>
      <c r="D149" s="49">
        <v>4216</v>
      </c>
      <c r="E149" s="21" t="s">
        <v>244</v>
      </c>
      <c r="F149" s="22" t="s">
        <v>245</v>
      </c>
      <c r="G149" s="52" t="str">
        <f t="shared" si="2"/>
        <v>Ishrana djece u predškolskim ustanovama</v>
      </c>
    </row>
    <row r="150" spans="2:7">
      <c r="B150" s="25"/>
      <c r="C150" s="49"/>
      <c r="D150" s="49">
        <v>4217</v>
      </c>
      <c r="E150" s="21" t="s">
        <v>246</v>
      </c>
      <c r="F150" s="22" t="s">
        <v>247</v>
      </c>
      <c r="G150" s="52" t="str">
        <f t="shared" si="2"/>
        <v>Izdržavanje štićenika u domovima</v>
      </c>
    </row>
    <row r="151" spans="2:7">
      <c r="B151" s="25"/>
      <c r="C151" s="49"/>
      <c r="D151" s="49">
        <v>4218</v>
      </c>
      <c r="E151" s="21" t="s">
        <v>718</v>
      </c>
      <c r="F151" s="22" t="s">
        <v>719</v>
      </c>
      <c r="G151" s="52" t="str">
        <f t="shared" si="2"/>
        <v>Ostala prava iz oblasti socijalne zaštite</v>
      </c>
    </row>
    <row r="152" spans="2:7">
      <c r="B152" s="25"/>
      <c r="C152" s="46"/>
      <c r="D152" s="44">
        <v>422</v>
      </c>
      <c r="E152" s="18" t="s">
        <v>248</v>
      </c>
      <c r="F152" s="19" t="s">
        <v>249</v>
      </c>
      <c r="G152" s="52" t="str">
        <f t="shared" si="2"/>
        <v>Sredstva za tehnološke viškove</v>
      </c>
    </row>
    <row r="153" spans="2:7">
      <c r="B153" s="14"/>
      <c r="C153" s="49"/>
      <c r="D153" s="49">
        <v>4221</v>
      </c>
      <c r="E153" s="21" t="s">
        <v>250</v>
      </c>
      <c r="F153" s="22" t="s">
        <v>251</v>
      </c>
      <c r="G153" s="52" t="str">
        <f t="shared" si="2"/>
        <v>Garantovane zarade</v>
      </c>
    </row>
    <row r="154" spans="2:7">
      <c r="B154" s="25"/>
      <c r="C154" s="49"/>
      <c r="D154" s="49">
        <v>4222</v>
      </c>
      <c r="E154" s="21" t="s">
        <v>252</v>
      </c>
      <c r="F154" s="22" t="s">
        <v>253</v>
      </c>
      <c r="G154" s="52" t="str">
        <f t="shared" si="2"/>
        <v>Otpremnine za tehnološke viškove</v>
      </c>
    </row>
    <row r="155" spans="2:7">
      <c r="B155" s="25"/>
      <c r="C155" s="49"/>
      <c r="D155" s="49">
        <v>4223</v>
      </c>
      <c r="E155" s="21" t="s">
        <v>254</v>
      </c>
      <c r="F155" s="22" t="s">
        <v>255</v>
      </c>
      <c r="G155" s="52" t="str">
        <f t="shared" si="2"/>
        <v>Dokup staža</v>
      </c>
    </row>
    <row r="156" spans="2:7">
      <c r="B156" s="25"/>
      <c r="C156" s="49"/>
      <c r="D156" s="49">
        <v>4224</v>
      </c>
      <c r="E156" s="21" t="s">
        <v>256</v>
      </c>
      <c r="F156" s="22" t="s">
        <v>257</v>
      </c>
      <c r="G156" s="52" t="str">
        <f t="shared" si="2"/>
        <v>Naknade nezaposlenim licima</v>
      </c>
    </row>
    <row r="157" spans="2:7">
      <c r="B157" s="25"/>
      <c r="C157" s="49"/>
      <c r="D157" s="49">
        <v>4225</v>
      </c>
      <c r="E157" s="21" t="s">
        <v>228</v>
      </c>
      <c r="F157" s="22" t="s">
        <v>258</v>
      </c>
      <c r="G157" s="52" t="str">
        <f t="shared" si="2"/>
        <v>Ostalo</v>
      </c>
    </row>
    <row r="158" spans="2:7">
      <c r="B158" s="25"/>
      <c r="C158" s="46"/>
      <c r="D158" s="44">
        <v>423</v>
      </c>
      <c r="E158" s="18" t="s">
        <v>259</v>
      </c>
      <c r="F158" s="19" t="s">
        <v>260</v>
      </c>
      <c r="G158" s="52" t="str">
        <f t="shared" si="2"/>
        <v>Prava iz oblasti penzijskog i invalidskog osiguranja</v>
      </c>
    </row>
    <row r="159" spans="2:7">
      <c r="B159" s="14"/>
      <c r="C159" s="49"/>
      <c r="D159" s="49">
        <v>4231</v>
      </c>
      <c r="E159" s="21" t="s">
        <v>261</v>
      </c>
      <c r="F159" s="22" t="s">
        <v>262</v>
      </c>
      <c r="G159" s="52" t="str">
        <f t="shared" si="2"/>
        <v>Starosna penzija</v>
      </c>
    </row>
    <row r="160" spans="2:7">
      <c r="B160" s="25"/>
      <c r="C160" s="49"/>
      <c r="D160" s="49">
        <v>4232</v>
      </c>
      <c r="E160" s="21" t="s">
        <v>263</v>
      </c>
      <c r="F160" s="22" t="s">
        <v>264</v>
      </c>
      <c r="G160" s="52" t="str">
        <f t="shared" si="2"/>
        <v>Invalidska penzija</v>
      </c>
    </row>
    <row r="161" spans="2:7">
      <c r="B161" s="25"/>
      <c r="C161" s="49"/>
      <c r="D161" s="49">
        <v>4233</v>
      </c>
      <c r="E161" s="21" t="s">
        <v>265</v>
      </c>
      <c r="F161" s="22" t="s">
        <v>266</v>
      </c>
      <c r="G161" s="52" t="str">
        <f t="shared" si="2"/>
        <v>Porodična penzija</v>
      </c>
    </row>
    <row r="162" spans="2:7">
      <c r="B162" s="25"/>
      <c r="C162" s="49"/>
      <c r="D162" s="49">
        <v>4234</v>
      </c>
      <c r="E162" s="21" t="s">
        <v>61</v>
      </c>
      <c r="F162" s="22" t="s">
        <v>267</v>
      </c>
      <c r="G162" s="52" t="str">
        <f t="shared" si="2"/>
        <v>Naknade</v>
      </c>
    </row>
    <row r="163" spans="2:7">
      <c r="B163" s="25"/>
      <c r="C163" s="49"/>
      <c r="D163" s="49">
        <v>4235</v>
      </c>
      <c r="E163" s="21" t="s">
        <v>268</v>
      </c>
      <c r="F163" s="22" t="s">
        <v>269</v>
      </c>
      <c r="G163" s="52" t="str">
        <f t="shared" si="2"/>
        <v>Dodaci</v>
      </c>
    </row>
    <row r="164" spans="2:7">
      <c r="B164" s="25"/>
      <c r="C164" s="49"/>
      <c r="D164" s="49">
        <v>4236</v>
      </c>
      <c r="E164" s="21" t="s">
        <v>270</v>
      </c>
      <c r="F164" s="22" t="s">
        <v>271</v>
      </c>
      <c r="G164" s="52" t="str">
        <f t="shared" si="2"/>
        <v>Ostala prava</v>
      </c>
    </row>
    <row r="165" spans="2:7">
      <c r="B165" s="25"/>
      <c r="C165" s="49"/>
      <c r="D165" s="49">
        <v>4237</v>
      </c>
      <c r="E165" s="21" t="s">
        <v>272</v>
      </c>
      <c r="F165" s="22" t="s">
        <v>273</v>
      </c>
      <c r="G165" s="52" t="str">
        <f t="shared" si="2"/>
        <v>Doprinos za zdravstvenu zaštitu penzionera</v>
      </c>
    </row>
    <row r="166" spans="2:7">
      <c r="B166" s="25"/>
      <c r="C166" s="46"/>
      <c r="D166" s="44">
        <v>424</v>
      </c>
      <c r="E166" s="18" t="s">
        <v>274</v>
      </c>
      <c r="F166" s="19" t="s">
        <v>275</v>
      </c>
      <c r="G166" s="52" t="str">
        <f t="shared" si="2"/>
        <v>Ostala prava iz oblasti zdravstvene zaštite</v>
      </c>
    </row>
    <row r="167" spans="2:7">
      <c r="B167" s="14"/>
      <c r="C167" s="49"/>
      <c r="D167" s="49">
        <v>4241</v>
      </c>
      <c r="E167" s="21" t="s">
        <v>276</v>
      </c>
      <c r="F167" s="22" t="s">
        <v>277</v>
      </c>
      <c r="G167" s="52" t="str">
        <f t="shared" si="2"/>
        <v>Liječenje van Crne Gore</v>
      </c>
    </row>
    <row r="168" spans="2:7">
      <c r="B168" s="25"/>
      <c r="C168" s="46"/>
      <c r="D168" s="44">
        <v>425</v>
      </c>
      <c r="E168" s="18" t="s">
        <v>278</v>
      </c>
      <c r="F168" s="19" t="s">
        <v>279</v>
      </c>
      <c r="G168" s="52" t="str">
        <f t="shared" si="2"/>
        <v>Ostala prava iz zdravstvenog osiguranja</v>
      </c>
    </row>
    <row r="169" spans="2:7">
      <c r="B169" s="14"/>
      <c r="C169" s="49"/>
      <c r="D169" s="49">
        <v>4251</v>
      </c>
      <c r="E169" s="21" t="s">
        <v>280</v>
      </c>
      <c r="F169" s="22" t="s">
        <v>281</v>
      </c>
      <c r="G169" s="52" t="str">
        <f t="shared" si="2"/>
        <v>Ortopedske sprave i pomagala</v>
      </c>
    </row>
    <row r="170" spans="2:7">
      <c r="B170" s="25"/>
      <c r="C170" s="49"/>
      <c r="D170" s="49">
        <v>4252</v>
      </c>
      <c r="E170" s="21" t="s">
        <v>282</v>
      </c>
      <c r="F170" s="22" t="s">
        <v>283</v>
      </c>
      <c r="G170" s="52" t="str">
        <f t="shared" si="2"/>
        <v>Naknade za bolovanje preko 60 dana</v>
      </c>
    </row>
    <row r="171" spans="2:7">
      <c r="B171" s="25"/>
      <c r="C171" s="49"/>
      <c r="D171" s="49">
        <v>4253</v>
      </c>
      <c r="E171" s="21" t="s">
        <v>284</v>
      </c>
      <c r="F171" s="22" t="s">
        <v>285</v>
      </c>
      <c r="G171" s="52" t="str">
        <f t="shared" si="2"/>
        <v>Naknade za putne troškove osiguranika</v>
      </c>
    </row>
    <row r="172" spans="2:7" ht="23.25">
      <c r="B172" s="25"/>
      <c r="C172" s="44"/>
      <c r="D172" s="44">
        <v>43</v>
      </c>
      <c r="E172" s="15" t="s">
        <v>286</v>
      </c>
      <c r="F172" s="16" t="s">
        <v>287</v>
      </c>
      <c r="G172" s="52" t="str">
        <f t="shared" si="2"/>
        <v xml:space="preserve">Transferi institucijama, pojedincima, nevladinom i javnom sektoru </v>
      </c>
    </row>
    <row r="173" spans="2:7" ht="23.25">
      <c r="B173" s="14" t="s">
        <v>92</v>
      </c>
      <c r="C173" s="46"/>
      <c r="D173" s="44">
        <v>431</v>
      </c>
      <c r="E173" s="18" t="s">
        <v>286</v>
      </c>
      <c r="F173" s="19" t="s">
        <v>287</v>
      </c>
      <c r="G173" s="52" t="str">
        <f t="shared" si="2"/>
        <v xml:space="preserve">Transferi institucijama, pojedincima, nevladinom i javnom sektoru </v>
      </c>
    </row>
    <row r="174" spans="2:7">
      <c r="B174" s="14" t="s">
        <v>92</v>
      </c>
      <c r="C174" s="49"/>
      <c r="D174" s="49">
        <v>4311</v>
      </c>
      <c r="E174" s="21" t="s">
        <v>288</v>
      </c>
      <c r="F174" s="22" t="s">
        <v>289</v>
      </c>
      <c r="G174" s="52" t="str">
        <f t="shared" si="2"/>
        <v xml:space="preserve">Transferi za zdravstvenu zaštitu </v>
      </c>
    </row>
    <row r="175" spans="2:7">
      <c r="B175" s="25"/>
      <c r="C175" s="49"/>
      <c r="D175" s="49">
        <v>4312</v>
      </c>
      <c r="E175" s="21" t="s">
        <v>290</v>
      </c>
      <c r="F175" s="22" t="s">
        <v>291</v>
      </c>
      <c r="G175" s="52" t="str">
        <f t="shared" si="2"/>
        <v>Transferi obrazovanju</v>
      </c>
    </row>
    <row r="176" spans="2:7">
      <c r="B176" s="25"/>
      <c r="C176" s="49"/>
      <c r="D176" s="49">
        <v>4313</v>
      </c>
      <c r="E176" s="21" t="s">
        <v>292</v>
      </c>
      <c r="F176" s="22" t="s">
        <v>293</v>
      </c>
      <c r="G176" s="52" t="str">
        <f t="shared" si="2"/>
        <v>Transferi institucijama kulture i sporta</v>
      </c>
    </row>
    <row r="177" spans="2:7">
      <c r="B177" s="25"/>
      <c r="C177" s="49"/>
      <c r="D177" s="49">
        <v>4314</v>
      </c>
      <c r="E177" s="21" t="s">
        <v>294</v>
      </c>
      <c r="F177" s="22" t="s">
        <v>295</v>
      </c>
      <c r="G177" s="52" t="str">
        <f t="shared" si="2"/>
        <v>Transferi nevladinim organizacijama</v>
      </c>
    </row>
    <row r="178" spans="2:7" ht="23.25">
      <c r="B178" s="25"/>
      <c r="C178" s="49"/>
      <c r="D178" s="49">
        <v>4315</v>
      </c>
      <c r="E178" s="21" t="s">
        <v>296</v>
      </c>
      <c r="F178" s="22" t="s">
        <v>297</v>
      </c>
      <c r="G178" s="52" t="str">
        <f t="shared" si="2"/>
        <v>Transferi političkim partijama, strankama i udruženjima</v>
      </c>
    </row>
    <row r="179" spans="2:7">
      <c r="B179" s="25"/>
      <c r="C179" s="49"/>
      <c r="D179" s="49">
        <v>4316</v>
      </c>
      <c r="E179" s="21" t="s">
        <v>298</v>
      </c>
      <c r="F179" s="22" t="s">
        <v>299</v>
      </c>
      <c r="G179" s="52" t="str">
        <f t="shared" si="2"/>
        <v>Transferi za jednokratne socijalne pomoći</v>
      </c>
    </row>
    <row r="180" spans="2:7">
      <c r="B180" s="25"/>
      <c r="C180" s="49"/>
      <c r="D180" s="49">
        <v>4317</v>
      </c>
      <c r="E180" s="21" t="s">
        <v>300</v>
      </c>
      <c r="F180" s="22" t="s">
        <v>301</v>
      </c>
      <c r="G180" s="52" t="str">
        <f t="shared" si="2"/>
        <v>Transferi za lična primanja pripravnika</v>
      </c>
    </row>
    <row r="181" spans="2:7">
      <c r="B181" s="25"/>
      <c r="C181" s="49"/>
      <c r="D181" s="49">
        <v>4318</v>
      </c>
      <c r="E181" s="21" t="s">
        <v>302</v>
      </c>
      <c r="F181" s="22" t="s">
        <v>303</v>
      </c>
      <c r="G181" s="52" t="str">
        <f t="shared" si="2"/>
        <v>Ostali transferi pojedincima</v>
      </c>
    </row>
    <row r="182" spans="2:7">
      <c r="B182" s="25"/>
      <c r="C182" s="49"/>
      <c r="D182" s="49">
        <v>4319</v>
      </c>
      <c r="E182" s="21" t="s">
        <v>304</v>
      </c>
      <c r="F182" s="22" t="s">
        <v>305</v>
      </c>
      <c r="G182" s="52" t="str">
        <f t="shared" si="2"/>
        <v>Ostali transferi institucijama</v>
      </c>
    </row>
    <row r="183" spans="2:7">
      <c r="B183" s="25"/>
      <c r="C183" s="46"/>
      <c r="D183" s="44">
        <v>432</v>
      </c>
      <c r="E183" s="18" t="s">
        <v>306</v>
      </c>
      <c r="F183" s="19" t="s">
        <v>307</v>
      </c>
      <c r="G183" s="52" t="str">
        <f t="shared" si="2"/>
        <v xml:space="preserve">Ostali transferi </v>
      </c>
    </row>
    <row r="184" spans="2:7" ht="23.25">
      <c r="B184" s="14" t="s">
        <v>92</v>
      </c>
      <c r="C184" s="49"/>
      <c r="D184" s="49">
        <v>4321</v>
      </c>
      <c r="E184" s="21" t="s">
        <v>308</v>
      </c>
      <c r="F184" s="22" t="s">
        <v>309</v>
      </c>
      <c r="G184" s="52" t="str">
        <f t="shared" si="2"/>
        <v>Transferi Fondu penzijskog i invalidskog osiguranja</v>
      </c>
    </row>
    <row r="185" spans="2:7">
      <c r="B185" s="25"/>
      <c r="C185" s="49"/>
      <c r="D185" s="49">
        <v>4322</v>
      </c>
      <c r="E185" s="21" t="s">
        <v>310</v>
      </c>
      <c r="F185" s="22" t="s">
        <v>311</v>
      </c>
      <c r="G185" s="52" t="str">
        <f t="shared" si="2"/>
        <v>Transferi Fondu zdravstva</v>
      </c>
    </row>
    <row r="186" spans="2:7">
      <c r="B186" s="25"/>
      <c r="C186" s="49"/>
      <c r="D186" s="49">
        <v>4323</v>
      </c>
      <c r="E186" s="21" t="s">
        <v>312</v>
      </c>
      <c r="F186" s="22" t="s">
        <v>313</v>
      </c>
      <c r="G186" s="52" t="str">
        <f t="shared" si="2"/>
        <v>Transferi zavodu za zapošljavanje</v>
      </c>
    </row>
    <row r="187" spans="2:7">
      <c r="B187" s="25"/>
      <c r="C187" s="49"/>
      <c r="D187" s="49">
        <v>4324</v>
      </c>
      <c r="E187" s="21" t="s">
        <v>314</v>
      </c>
      <c r="F187" s="22" t="s">
        <v>315</v>
      </c>
      <c r="G187" s="52" t="str">
        <f t="shared" si="2"/>
        <v>Transferi opštinama</v>
      </c>
    </row>
    <row r="188" spans="2:7">
      <c r="B188" s="25"/>
      <c r="C188" s="49"/>
      <c r="D188" s="49">
        <v>4325</v>
      </c>
      <c r="E188" s="21" t="s">
        <v>316</v>
      </c>
      <c r="F188" s="22" t="s">
        <v>317</v>
      </c>
      <c r="G188" s="52" t="str">
        <f t="shared" si="2"/>
        <v>Transferi budžetu države</v>
      </c>
    </row>
    <row r="189" spans="2:7">
      <c r="B189" s="25"/>
      <c r="C189" s="49"/>
      <c r="D189" s="49">
        <v>4326</v>
      </c>
      <c r="E189" s="21" t="s">
        <v>318</v>
      </c>
      <c r="F189" s="22" t="s">
        <v>319</v>
      </c>
      <c r="G189" s="52" t="str">
        <f t="shared" si="2"/>
        <v>Transferi javnim preduzećima</v>
      </c>
    </row>
    <row r="190" spans="2:7">
      <c r="B190" s="14" t="s">
        <v>92</v>
      </c>
      <c r="C190" s="46"/>
      <c r="D190" s="44">
        <v>44</v>
      </c>
      <c r="E190" s="18" t="s">
        <v>320</v>
      </c>
      <c r="F190" s="19" t="s">
        <v>321</v>
      </c>
      <c r="G190" s="52" t="str">
        <f t="shared" si="2"/>
        <v>Kapitalni izdaci</v>
      </c>
    </row>
    <row r="191" spans="2:7">
      <c r="B191" s="14"/>
      <c r="C191" s="49"/>
      <c r="D191" s="49">
        <v>4411</v>
      </c>
      <c r="E191" s="21" t="s">
        <v>322</v>
      </c>
      <c r="F191" s="22" t="s">
        <v>323</v>
      </c>
      <c r="G191" s="52" t="str">
        <f t="shared" si="2"/>
        <v>Izdaci za infrastrukturu opšeg značaja</v>
      </c>
    </row>
    <row r="192" spans="2:7">
      <c r="B192" s="25"/>
      <c r="C192" s="49"/>
      <c r="D192" s="49">
        <v>4412</v>
      </c>
      <c r="E192" s="21" t="s">
        <v>324</v>
      </c>
      <c r="F192" s="22" t="s">
        <v>325</v>
      </c>
      <c r="G192" s="52" t="str">
        <f t="shared" si="2"/>
        <v>Izdaci za lokalnu infrastrukturu</v>
      </c>
    </row>
    <row r="193" spans="2:7">
      <c r="B193" s="25"/>
      <c r="C193" s="49"/>
      <c r="D193" s="49">
        <v>4413</v>
      </c>
      <c r="E193" s="21" t="s">
        <v>326</v>
      </c>
      <c r="F193" s="22" t="s">
        <v>327</v>
      </c>
      <c r="G193" s="52" t="str">
        <f t="shared" si="2"/>
        <v>Izdaci za građevinske objekte</v>
      </c>
    </row>
    <row r="194" spans="2:7">
      <c r="B194" s="25"/>
      <c r="C194" s="49"/>
      <c r="D194" s="49">
        <v>4414</v>
      </c>
      <c r="E194" s="21" t="s">
        <v>328</v>
      </c>
      <c r="F194" s="22" t="s">
        <v>329</v>
      </c>
      <c r="G194" s="52" t="str">
        <f t="shared" si="2"/>
        <v>Izdaci za uređenje zemljišta</v>
      </c>
    </row>
    <row r="195" spans="2:7">
      <c r="B195" s="25"/>
      <c r="C195" s="49"/>
      <c r="D195" s="49">
        <v>4415</v>
      </c>
      <c r="E195" s="21" t="s">
        <v>330</v>
      </c>
      <c r="F195" s="22" t="s">
        <v>331</v>
      </c>
      <c r="G195" s="52" t="str">
        <f t="shared" si="2"/>
        <v>Izdaci za opremu</v>
      </c>
    </row>
    <row r="196" spans="2:7">
      <c r="B196" s="25"/>
      <c r="C196" s="49"/>
      <c r="D196" s="49">
        <v>4416</v>
      </c>
      <c r="E196" s="21" t="s">
        <v>332</v>
      </c>
      <c r="F196" s="22" t="s">
        <v>333</v>
      </c>
      <c r="G196" s="52" t="str">
        <f t="shared" si="2"/>
        <v>Izdaci za investiciono održavanje</v>
      </c>
    </row>
    <row r="197" spans="2:7">
      <c r="B197" s="25"/>
      <c r="C197" s="49"/>
      <c r="D197" s="49">
        <v>4417</v>
      </c>
      <c r="E197" s="21" t="s">
        <v>334</v>
      </c>
      <c r="F197" s="22" t="s">
        <v>335</v>
      </c>
      <c r="G197" s="52" t="str">
        <f t="shared" si="2"/>
        <v>Izdaci za zalihe</v>
      </c>
    </row>
    <row r="198" spans="2:7">
      <c r="B198" s="25"/>
      <c r="C198" s="49"/>
      <c r="D198" s="49">
        <v>4418</v>
      </c>
      <c r="E198" s="21" t="s">
        <v>336</v>
      </c>
      <c r="F198" s="22" t="s">
        <v>337</v>
      </c>
      <c r="G198" s="52" t="str">
        <f t="shared" si="2"/>
        <v>Izdaci za kupovinu hartija od vrijednosti</v>
      </c>
    </row>
    <row r="199" spans="2:7">
      <c r="B199" s="25"/>
      <c r="C199" s="49"/>
      <c r="D199" s="49">
        <v>4419</v>
      </c>
      <c r="E199" s="21" t="s">
        <v>338</v>
      </c>
      <c r="F199" s="22" t="s">
        <v>339</v>
      </c>
      <c r="G199" s="52" t="str">
        <f t="shared" si="2"/>
        <v>Ostali kapitalni izdaci</v>
      </c>
    </row>
    <row r="200" spans="2:7">
      <c r="B200" s="25"/>
      <c r="C200" s="44"/>
      <c r="D200" s="44">
        <v>45</v>
      </c>
      <c r="E200" s="15" t="s">
        <v>340</v>
      </c>
      <c r="F200" s="16" t="s">
        <v>341</v>
      </c>
      <c r="G200" s="52" t="str">
        <f t="shared" si="2"/>
        <v>Krediti i pozajmice</v>
      </c>
    </row>
    <row r="201" spans="2:7">
      <c r="B201" s="14" t="s">
        <v>92</v>
      </c>
      <c r="C201" s="46"/>
      <c r="D201" s="44">
        <v>451</v>
      </c>
      <c r="E201" s="18" t="s">
        <v>113</v>
      </c>
      <c r="F201" s="19" t="s">
        <v>341</v>
      </c>
      <c r="G201" s="52" t="str">
        <f t="shared" si="2"/>
        <v>Pozajmice i krediti</v>
      </c>
    </row>
    <row r="202" spans="2:7" ht="23.25">
      <c r="B202" s="14"/>
      <c r="C202" s="49"/>
      <c r="D202" s="49">
        <v>4511</v>
      </c>
      <c r="E202" s="21" t="s">
        <v>342</v>
      </c>
      <c r="F202" s="22" t="s">
        <v>343</v>
      </c>
      <c r="G202" s="52" t="str">
        <f t="shared" si="2"/>
        <v>Pozajmice i krediti nefinansijskim institucijama</v>
      </c>
    </row>
    <row r="203" spans="2:7">
      <c r="B203" s="25"/>
      <c r="C203" s="49"/>
      <c r="D203" s="49">
        <v>4512</v>
      </c>
      <c r="E203" s="21" t="s">
        <v>344</v>
      </c>
      <c r="F203" s="22" t="s">
        <v>345</v>
      </c>
      <c r="G203" s="52" t="str">
        <f t="shared" si="2"/>
        <v>Pozajmice i krediti finansijskim institucijama</v>
      </c>
    </row>
    <row r="204" spans="2:7">
      <c r="B204" s="25"/>
      <c r="C204" s="49"/>
      <c r="D204" s="49">
        <v>4513</v>
      </c>
      <c r="E204" s="21" t="s">
        <v>346</v>
      </c>
      <c r="F204" s="22" t="s">
        <v>347</v>
      </c>
      <c r="G204" s="52" t="str">
        <f t="shared" si="2"/>
        <v>Pozajmice i krediti pojedincima</v>
      </c>
    </row>
    <row r="205" spans="2:7" ht="23.25">
      <c r="B205" s="25"/>
      <c r="C205" s="49"/>
      <c r="D205" s="49">
        <v>4514</v>
      </c>
      <c r="E205" s="21" t="s">
        <v>348</v>
      </c>
      <c r="F205" s="22" t="s">
        <v>349</v>
      </c>
      <c r="G205" s="52" t="str">
        <f t="shared" si="2"/>
        <v>Pozajmice i krediti vanbudžetskim fondovima i opštinama</v>
      </c>
    </row>
    <row r="206" spans="2:7">
      <c r="B206" s="25"/>
      <c r="C206" s="49"/>
      <c r="D206" s="49">
        <v>4515</v>
      </c>
      <c r="E206" s="21" t="s">
        <v>350</v>
      </c>
      <c r="F206" s="22" t="s">
        <v>351</v>
      </c>
      <c r="G206" s="52" t="str">
        <f t="shared" si="2"/>
        <v>Ostale pozajmice i krediti</v>
      </c>
    </row>
    <row r="207" spans="2:7">
      <c r="B207" s="25"/>
      <c r="C207" s="44"/>
      <c r="D207" s="44">
        <v>46</v>
      </c>
      <c r="E207" s="15" t="s">
        <v>352</v>
      </c>
      <c r="F207" s="16" t="s">
        <v>353</v>
      </c>
      <c r="G207" s="52" t="str">
        <f t="shared" ref="G207:G280" si="3">+IF(ISBLANK(IF($B$2=1,E207,F207)),"",IF($B$2=1,E207,F207))</f>
        <v>Otplata dugova</v>
      </c>
    </row>
    <row r="208" spans="2:7">
      <c r="B208" s="14" t="s">
        <v>92</v>
      </c>
      <c r="C208" s="46"/>
      <c r="D208" s="44">
        <v>461</v>
      </c>
      <c r="E208" s="18" t="s">
        <v>354</v>
      </c>
      <c r="F208" s="19" t="s">
        <v>353</v>
      </c>
      <c r="G208" s="52" t="str">
        <f t="shared" si="3"/>
        <v>Otplata duga</v>
      </c>
    </row>
    <row r="209" spans="2:7" ht="23.25">
      <c r="B209" s="14"/>
      <c r="C209" s="49"/>
      <c r="D209" s="49">
        <v>4611</v>
      </c>
      <c r="E209" s="21" t="s">
        <v>355</v>
      </c>
      <c r="F209" s="22" t="s">
        <v>356</v>
      </c>
      <c r="G209" s="52" t="str">
        <f t="shared" si="3"/>
        <v>Otplata hartija od vrijednosti i kredita rezidentima</v>
      </c>
    </row>
    <row r="210" spans="2:7" ht="23.25">
      <c r="B210" s="25"/>
      <c r="C210" s="49"/>
      <c r="D210" s="49">
        <v>4612</v>
      </c>
      <c r="E210" s="21" t="s">
        <v>357</v>
      </c>
      <c r="F210" s="22" t="s">
        <v>358</v>
      </c>
      <c r="G210" s="52" t="str">
        <f t="shared" si="3"/>
        <v>Otplata hartija od vrijednosti i kredita nerezidentima</v>
      </c>
    </row>
    <row r="211" spans="2:7">
      <c r="B211" s="25"/>
      <c r="C211" s="46"/>
      <c r="D211" s="44">
        <v>462</v>
      </c>
      <c r="E211" s="18" t="s">
        <v>359</v>
      </c>
      <c r="F211" s="19" t="s">
        <v>360</v>
      </c>
      <c r="G211" s="52" t="str">
        <f t="shared" si="3"/>
        <v>Otplata garancija</v>
      </c>
    </row>
    <row r="212" spans="2:7">
      <c r="B212" s="14"/>
      <c r="C212" s="49"/>
      <c r="D212" s="49">
        <v>4621</v>
      </c>
      <c r="E212" s="21" t="s">
        <v>361</v>
      </c>
      <c r="F212" s="22" t="s">
        <v>362</v>
      </c>
      <c r="G212" s="52" t="str">
        <f t="shared" si="3"/>
        <v>Otplata garancija u zemlji</v>
      </c>
    </row>
    <row r="213" spans="2:7">
      <c r="B213" s="25"/>
      <c r="C213" s="49"/>
      <c r="D213" s="49">
        <v>4622</v>
      </c>
      <c r="E213" s="21" t="s">
        <v>363</v>
      </c>
      <c r="F213" s="22" t="s">
        <v>364</v>
      </c>
      <c r="G213" s="52" t="str">
        <f t="shared" si="3"/>
        <v>Otplata garancija u inostranstvu</v>
      </c>
    </row>
    <row r="214" spans="2:7">
      <c r="B214" s="25"/>
      <c r="C214" s="44">
        <v>463</v>
      </c>
      <c r="D214" s="44">
        <v>4630</v>
      </c>
      <c r="E214" s="18" t="s">
        <v>794</v>
      </c>
      <c r="F214" s="19" t="s">
        <v>795</v>
      </c>
      <c r="G214" s="52" t="str">
        <f t="shared" si="3"/>
        <v>Otplata obaveza iz prethodnog perioda</v>
      </c>
    </row>
    <row r="215" spans="2:7">
      <c r="B215" s="14"/>
      <c r="C215" s="44"/>
      <c r="D215" s="44">
        <v>47</v>
      </c>
      <c r="E215" s="28" t="s">
        <v>366</v>
      </c>
      <c r="F215" s="29" t="s">
        <v>367</v>
      </c>
      <c r="G215" s="52" t="str">
        <f t="shared" si="3"/>
        <v>Rezerve</v>
      </c>
    </row>
    <row r="216" spans="2:7">
      <c r="B216" s="14" t="s">
        <v>92</v>
      </c>
      <c r="C216" s="49">
        <v>471</v>
      </c>
      <c r="D216" s="49">
        <v>4710</v>
      </c>
      <c r="E216" s="30" t="s">
        <v>368</v>
      </c>
      <c r="F216" s="31" t="s">
        <v>369</v>
      </c>
      <c r="G216" s="52" t="str">
        <f t="shared" si="3"/>
        <v>Tekuća budžetska rezerva</v>
      </c>
    </row>
    <row r="217" spans="2:7">
      <c r="B217" s="25" t="s">
        <v>92</v>
      </c>
      <c r="C217" s="49">
        <v>472</v>
      </c>
      <c r="D217" s="49">
        <v>4720</v>
      </c>
      <c r="E217" s="30" t="s">
        <v>370</v>
      </c>
      <c r="F217" s="31" t="s">
        <v>371</v>
      </c>
      <c r="G217" s="52" t="str">
        <f t="shared" si="3"/>
        <v>Stalna budžetska rezerva</v>
      </c>
    </row>
    <row r="218" spans="2:7">
      <c r="B218" s="25"/>
      <c r="C218" s="49">
        <v>473</v>
      </c>
      <c r="D218" s="51">
        <v>4730</v>
      </c>
      <c r="E218" s="35" t="s">
        <v>372</v>
      </c>
      <c r="F218" s="36" t="s">
        <v>373</v>
      </c>
      <c r="G218" s="53" t="str">
        <f t="shared" si="3"/>
        <v>Ostale rezerve</v>
      </c>
    </row>
    <row r="219" spans="2:7">
      <c r="B219" s="25"/>
      <c r="C219" s="49"/>
      <c r="D219" s="88"/>
      <c r="E219" s="89"/>
      <c r="F219" s="90"/>
      <c r="G219" s="91"/>
    </row>
    <row r="220" spans="2:7">
      <c r="B220" s="25"/>
      <c r="C220" s="49"/>
      <c r="D220" s="49">
        <v>1000</v>
      </c>
      <c r="E220" s="30" t="s">
        <v>545</v>
      </c>
      <c r="F220" s="92" t="s">
        <v>546</v>
      </c>
      <c r="G220" s="52" t="str">
        <f t="shared" si="3"/>
        <v>Suficit / deficit</v>
      </c>
    </row>
    <row r="221" spans="2:7">
      <c r="B221" s="25"/>
      <c r="C221" s="49"/>
      <c r="D221" s="49">
        <v>1001</v>
      </c>
      <c r="E221" s="30" t="s">
        <v>792</v>
      </c>
      <c r="F221" s="92" t="s">
        <v>793</v>
      </c>
      <c r="G221" s="52" t="str">
        <f t="shared" si="3"/>
        <v>Primarni suficit/deficit</v>
      </c>
    </row>
    <row r="222" spans="2:7">
      <c r="B222" s="25"/>
      <c r="C222" s="49"/>
      <c r="D222" s="49"/>
      <c r="E222" s="30"/>
      <c r="F222" s="92" t="s">
        <v>92</v>
      </c>
      <c r="G222" s="52" t="str">
        <f t="shared" si="3"/>
        <v/>
      </c>
    </row>
    <row r="223" spans="2:7">
      <c r="B223" s="25"/>
      <c r="C223" s="49"/>
      <c r="D223" s="49">
        <v>1002</v>
      </c>
      <c r="E223" s="30" t="s">
        <v>543</v>
      </c>
      <c r="F223" s="92" t="s">
        <v>547</v>
      </c>
      <c r="G223" s="52" t="str">
        <f t="shared" si="3"/>
        <v>Nedostajuća sredstva</v>
      </c>
    </row>
    <row r="224" spans="2:7">
      <c r="B224" s="25"/>
      <c r="C224" s="49"/>
      <c r="D224" s="49">
        <v>1003</v>
      </c>
      <c r="E224" s="30" t="s">
        <v>544</v>
      </c>
      <c r="F224" s="92" t="s">
        <v>548</v>
      </c>
      <c r="G224" s="52" t="str">
        <f t="shared" si="3"/>
        <v>Finansiranje</v>
      </c>
    </row>
    <row r="225" spans="2:7">
      <c r="B225" s="25"/>
      <c r="C225" s="49"/>
      <c r="D225" s="49"/>
      <c r="E225" s="30"/>
      <c r="F225" s="92"/>
      <c r="G225" s="52" t="str">
        <f t="shared" si="3"/>
        <v/>
      </c>
    </row>
    <row r="226" spans="2:7">
      <c r="B226" s="25"/>
      <c r="C226" s="49"/>
      <c r="D226" s="49">
        <v>1004</v>
      </c>
      <c r="E226" s="30" t="s">
        <v>549</v>
      </c>
      <c r="F226" s="92" t="s">
        <v>550</v>
      </c>
      <c r="G226" s="52" t="str">
        <f t="shared" si="3"/>
        <v>Povećanje / smanjenje depozita</v>
      </c>
    </row>
    <row r="227" spans="2:7">
      <c r="B227" s="25"/>
      <c r="C227" s="49"/>
      <c r="D227" s="49"/>
      <c r="E227" s="30"/>
      <c r="F227" s="92"/>
    </row>
    <row r="228" spans="2:7">
      <c r="B228" s="25"/>
      <c r="C228" s="49"/>
      <c r="D228" s="49">
        <v>1005</v>
      </c>
      <c r="E228" s="30" t="s">
        <v>684</v>
      </c>
      <c r="F228" s="92" t="s">
        <v>685</v>
      </c>
      <c r="G228" s="52" t="str">
        <f t="shared" si="3"/>
        <v>Neto povećanje obaveza</v>
      </c>
    </row>
    <row r="229" spans="2:7">
      <c r="B229" s="25"/>
      <c r="C229" s="49"/>
      <c r="D229" s="51"/>
      <c r="E229" s="35"/>
      <c r="F229" s="36"/>
      <c r="G229" s="53"/>
    </row>
    <row r="230" spans="2:7">
      <c r="B230" s="25"/>
      <c r="C230" s="49"/>
      <c r="D230" s="39"/>
      <c r="E230" s="39"/>
      <c r="F230" s="39"/>
      <c r="G230" s="54" t="str">
        <f t="shared" si="3"/>
        <v/>
      </c>
    </row>
    <row r="231" spans="2:7">
      <c r="B231" s="13"/>
      <c r="C231" s="46"/>
      <c r="D231" s="46"/>
      <c r="E231" s="32"/>
      <c r="G231" s="52" t="str">
        <f t="shared" si="3"/>
        <v/>
      </c>
    </row>
    <row r="232" spans="2:7">
      <c r="C232" s="41" t="s">
        <v>416</v>
      </c>
      <c r="D232" s="49">
        <v>1</v>
      </c>
      <c r="E232" s="9" t="s">
        <v>374</v>
      </c>
      <c r="F232" s="10" t="s">
        <v>375</v>
      </c>
      <c r="G232" s="52" t="str">
        <f t="shared" si="3"/>
        <v>Januar</v>
      </c>
    </row>
    <row r="233" spans="2:7">
      <c r="C233" s="41" t="s">
        <v>421</v>
      </c>
      <c r="D233" s="49">
        <v>2</v>
      </c>
      <c r="E233" s="9" t="s">
        <v>376</v>
      </c>
      <c r="F233" s="10" t="s">
        <v>377</v>
      </c>
      <c r="G233" s="52" t="str">
        <f t="shared" si="3"/>
        <v>Februar</v>
      </c>
    </row>
    <row r="234" spans="2:7">
      <c r="C234" s="41" t="s">
        <v>422</v>
      </c>
      <c r="D234" s="49">
        <v>3</v>
      </c>
      <c r="E234" s="9" t="s">
        <v>378</v>
      </c>
      <c r="F234" s="10" t="s">
        <v>379</v>
      </c>
      <c r="G234" s="52" t="str">
        <f t="shared" si="3"/>
        <v>Mart</v>
      </c>
    </row>
    <row r="235" spans="2:7">
      <c r="D235" s="49">
        <v>4</v>
      </c>
      <c r="E235" s="9" t="s">
        <v>380</v>
      </c>
      <c r="F235" s="10" t="s">
        <v>380</v>
      </c>
      <c r="G235" s="52" t="str">
        <f t="shared" si="3"/>
        <v>April</v>
      </c>
    </row>
    <row r="236" spans="2:7">
      <c r="D236" s="49">
        <v>5</v>
      </c>
      <c r="E236" s="9" t="s">
        <v>381</v>
      </c>
      <c r="F236" s="10" t="s">
        <v>382</v>
      </c>
      <c r="G236" s="52" t="str">
        <f t="shared" si="3"/>
        <v>Maj</v>
      </c>
    </row>
    <row r="237" spans="2:7">
      <c r="D237" s="49">
        <v>6</v>
      </c>
      <c r="E237" s="9" t="s">
        <v>383</v>
      </c>
      <c r="F237" s="10" t="s">
        <v>384</v>
      </c>
      <c r="G237" s="52" t="str">
        <f t="shared" si="3"/>
        <v>Jun</v>
      </c>
    </row>
    <row r="238" spans="2:7">
      <c r="D238" s="49">
        <v>7</v>
      </c>
      <c r="E238" s="9" t="s">
        <v>385</v>
      </c>
      <c r="F238" s="10" t="s">
        <v>386</v>
      </c>
      <c r="G238" s="52" t="str">
        <f t="shared" si="3"/>
        <v>Jul</v>
      </c>
    </row>
    <row r="239" spans="2:7">
      <c r="D239" s="49">
        <v>8</v>
      </c>
      <c r="E239" s="9" t="s">
        <v>387</v>
      </c>
      <c r="F239" s="10" t="s">
        <v>388</v>
      </c>
      <c r="G239" s="52" t="str">
        <f t="shared" si="3"/>
        <v>Avgust</v>
      </c>
    </row>
    <row r="240" spans="2:7">
      <c r="D240" s="49">
        <v>9</v>
      </c>
      <c r="E240" s="9" t="s">
        <v>389</v>
      </c>
      <c r="F240" s="10" t="s">
        <v>390</v>
      </c>
      <c r="G240" s="52" t="str">
        <f t="shared" si="3"/>
        <v>Septembar</v>
      </c>
    </row>
    <row r="241" spans="4:7">
      <c r="D241" s="49">
        <v>10</v>
      </c>
      <c r="E241" s="9" t="s">
        <v>391</v>
      </c>
      <c r="F241" s="10" t="s">
        <v>392</v>
      </c>
      <c r="G241" s="52" t="str">
        <f t="shared" si="3"/>
        <v>Oktobar</v>
      </c>
    </row>
    <row r="242" spans="4:7">
      <c r="D242" s="49">
        <v>11</v>
      </c>
      <c r="E242" s="9" t="s">
        <v>393</v>
      </c>
      <c r="F242" s="10" t="s">
        <v>394</v>
      </c>
      <c r="G242" s="52" t="str">
        <f t="shared" si="3"/>
        <v>Novembar</v>
      </c>
    </row>
    <row r="243" spans="4:7">
      <c r="D243" s="49">
        <v>12</v>
      </c>
      <c r="E243" s="9" t="s">
        <v>395</v>
      </c>
      <c r="F243" s="10" t="s">
        <v>396</v>
      </c>
      <c r="G243" s="52" t="str">
        <f t="shared" si="3"/>
        <v>Decembar</v>
      </c>
    </row>
    <row r="244" spans="4:7">
      <c r="D244" s="49"/>
      <c r="E244" s="9"/>
      <c r="F244" s="10"/>
      <c r="G244" s="6"/>
    </row>
    <row r="245" spans="4:7">
      <c r="D245" s="49"/>
      <c r="E245" s="9"/>
      <c r="F245" s="10"/>
      <c r="G245" s="52" t="str">
        <f>+VLOOKUP($B$3,$D$232:$F$243,$B$2+1,FALSE)</f>
        <v>Februar</v>
      </c>
    </row>
    <row r="246" spans="4:7">
      <c r="D246" s="49"/>
      <c r="E246" s="9"/>
      <c r="F246" s="10"/>
      <c r="G246" s="52" t="str">
        <f>+CONCATENATE("Jan - ",LEFT(G245,3))</f>
        <v>Jan - Feb</v>
      </c>
    </row>
    <row r="247" spans="4:7">
      <c r="D247" s="49"/>
      <c r="E247" s="9"/>
      <c r="F247" s="10"/>
      <c r="G247" s="52" t="str">
        <f>+CONCATENATE("Jan - ",LEFT(G243,3))</f>
        <v>Jan - Dec</v>
      </c>
    </row>
    <row r="248" spans="4:7">
      <c r="D248" s="49"/>
      <c r="E248" s="9"/>
      <c r="F248" s="10"/>
    </row>
    <row r="249" spans="4:7">
      <c r="D249" s="46"/>
      <c r="E249" s="9" t="s">
        <v>419</v>
      </c>
      <c r="F249" s="10" t="s">
        <v>420</v>
      </c>
      <c r="G249" s="52" t="str">
        <f t="shared" si="3"/>
        <v>BDP</v>
      </c>
    </row>
    <row r="250" spans="4:7">
      <c r="D250" s="46"/>
      <c r="E250" s="9"/>
      <c r="F250" s="10"/>
      <c r="G250" s="52" t="str">
        <f>+CONCATENATE("% ",G249)</f>
        <v>% BDP</v>
      </c>
    </row>
    <row r="251" spans="4:7">
      <c r="D251" s="46"/>
      <c r="E251" s="9"/>
      <c r="F251" s="10"/>
    </row>
    <row r="252" spans="4:7">
      <c r="D252" s="46"/>
      <c r="E252" s="9" t="s">
        <v>553</v>
      </c>
      <c r="F252" s="10" t="s">
        <v>842</v>
      </c>
      <c r="G252" s="52" t="str">
        <f t="shared" si="3"/>
        <v>Ostvarenje budžeta</v>
      </c>
    </row>
    <row r="253" spans="4:7">
      <c r="D253" s="46"/>
      <c r="E253" s="9" t="s">
        <v>551</v>
      </c>
      <c r="F253" s="10" t="s">
        <v>552</v>
      </c>
      <c r="G253" s="52" t="str">
        <f t="shared" si="3"/>
        <v>Plan ostvarenja budžeta</v>
      </c>
    </row>
    <row r="254" spans="4:7">
      <c r="D254" s="46"/>
      <c r="E254" s="9" t="str">
        <f>+CONCATENATE("Analitika za period ",G246)</f>
        <v>Analitika za period Jan - Feb</v>
      </c>
      <c r="F254" s="10" t="str">
        <f>+CONCATENATE("Analytics for period ",G246)</f>
        <v>Analytics for period Jan - Feb</v>
      </c>
      <c r="G254" s="52" t="str">
        <f>+IF(ISBLANK(IF($B$2=1,E254,F254)),"",IF($B$2=1,E254,F254))</f>
        <v>Analitika za period Jan - Feb</v>
      </c>
    </row>
    <row r="255" spans="4:7">
      <c r="D255" s="46"/>
      <c r="E255" s="9" t="str">
        <f>+CONCATENATE("Analitika za period ",G245)</f>
        <v>Analitika za period Februar</v>
      </c>
      <c r="F255" s="10" t="str">
        <f>+CONCATENATE("Analytics for period ",G245)</f>
        <v>Analytics for period Februar</v>
      </c>
      <c r="G255" s="52" t="str">
        <f>+IF(ISBLANK(IF($B$2=1,E255,F255)),"",IF($B$2=1,E255,F255))</f>
        <v>Analitika za period Februar</v>
      </c>
    </row>
    <row r="256" spans="4:7">
      <c r="D256" s="39"/>
      <c r="E256" s="123"/>
      <c r="F256" s="124"/>
      <c r="G256" s="54"/>
    </row>
    <row r="257" spans="4:7">
      <c r="D257" s="46"/>
      <c r="E257" s="9"/>
      <c r="F257" s="10"/>
    </row>
    <row r="258" spans="4:7">
      <c r="D258" s="46"/>
      <c r="E258" s="9" t="s">
        <v>411</v>
      </c>
      <c r="F258" s="10" t="s">
        <v>411</v>
      </c>
      <c r="G258" s="52" t="str">
        <f t="shared" si="3"/>
        <v>Plan</v>
      </c>
    </row>
    <row r="259" spans="4:7">
      <c r="D259" s="46"/>
      <c r="E259" s="9" t="s">
        <v>412</v>
      </c>
      <c r="F259" s="10" t="s">
        <v>413</v>
      </c>
      <c r="G259" s="52" t="str">
        <f t="shared" si="3"/>
        <v>Ostvarenje</v>
      </c>
    </row>
    <row r="260" spans="4:7">
      <c r="D260" s="46"/>
      <c r="E260" s="9"/>
      <c r="F260" s="10"/>
    </row>
    <row r="261" spans="4:7">
      <c r="D261" s="46"/>
      <c r="E261" s="9" t="s">
        <v>676</v>
      </c>
      <c r="F261" s="10" t="s">
        <v>677</v>
      </c>
      <c r="G261" s="52" t="str">
        <f t="shared" si="3"/>
        <v>Odstupanje</v>
      </c>
    </row>
    <row r="262" spans="4:7">
      <c r="D262" s="46"/>
      <c r="E262" s="9"/>
      <c r="F262" s="10"/>
    </row>
    <row r="263" spans="4:7">
      <c r="D263" s="46"/>
      <c r="E263" s="9" t="s">
        <v>681</v>
      </c>
      <c r="F263" s="10" t="s">
        <v>682</v>
      </c>
      <c r="G263" s="52" t="str">
        <f t="shared" si="3"/>
        <v>Realizacija budžeta</v>
      </c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6"/>
      <c r="E266" s="9"/>
      <c r="F266" s="10"/>
    </row>
    <row r="267" spans="4:7">
      <c r="D267" s="43"/>
      <c r="E267" s="63"/>
      <c r="F267" s="64"/>
    </row>
    <row r="268" spans="4:7">
      <c r="D268" s="55"/>
      <c r="E268" s="37"/>
      <c r="F268" s="38"/>
      <c r="G268" s="54" t="str">
        <f t="shared" si="3"/>
        <v/>
      </c>
    </row>
    <row r="269" spans="4:7">
      <c r="G269" s="52" t="str">
        <f t="shared" si="3"/>
        <v/>
      </c>
    </row>
    <row r="270" spans="4:7">
      <c r="D270" s="41" t="s">
        <v>418</v>
      </c>
      <c r="E270" s="9" t="s">
        <v>397</v>
      </c>
      <c r="F270" s="10" t="s">
        <v>398</v>
      </c>
      <c r="G270" s="52" t="str">
        <f>+CONCATENATE(IF(ISBLANK(IF($B$2=1,E270,F270)),"",IF($B$2=1,E270,F270))," ",$G$245)</f>
        <v>Prihodi za mjesec Februar</v>
      </c>
    </row>
    <row r="271" spans="4:7">
      <c r="E271" s="9" t="s">
        <v>399</v>
      </c>
      <c r="F271" s="10" t="s">
        <v>400</v>
      </c>
      <c r="G271" s="52" t="str">
        <f>+CONCATENATE(IF(ISBLANK(IF($B$2=1,E271,F271)),"",IF($B$2=1,E271,F271))," ",$G$245)</f>
        <v>Rashodi za mjesec Februar</v>
      </c>
    </row>
    <row r="272" spans="4:7">
      <c r="E272" s="9" t="s">
        <v>722</v>
      </c>
      <c r="F272" s="10" t="s">
        <v>401</v>
      </c>
      <c r="G272" s="52" t="str">
        <f>+CONCATENATE(IF(ISBLANK(IF($B$2=1,E272,F272)),"",IF($B$2=1,E272,F272))," ",$G$245)</f>
        <v>Suficit/Deficit za mjesec Februar</v>
      </c>
    </row>
    <row r="274" spans="5:7">
      <c r="E274" s="9" t="s">
        <v>402</v>
      </c>
      <c r="F274" s="10" t="s">
        <v>405</v>
      </c>
      <c r="G274" s="52" t="str">
        <f>+CONCATENATE(IF(ISBLANK(IF($B$2=1,E274,F274)),"",IF($B$2=1,E274,F274))," ",$G$245)</f>
        <v>Prihodi za period Januar - Februar</v>
      </c>
    </row>
    <row r="275" spans="5:7">
      <c r="E275" s="9" t="s">
        <v>403</v>
      </c>
      <c r="F275" s="10" t="s">
        <v>406</v>
      </c>
      <c r="G275" s="52" t="str">
        <f>+CONCATENATE(IF(ISBLANK(IF($B$2=1,E275,F275)),"",IF($B$2=1,E275,F275))," ",$G$245)</f>
        <v>Rashodi za period Januar - Februar</v>
      </c>
    </row>
    <row r="276" spans="5:7">
      <c r="E276" s="9" t="s">
        <v>771</v>
      </c>
      <c r="F276" s="10" t="s">
        <v>772</v>
      </c>
      <c r="G276" s="52" t="str">
        <f>+CONCATENATE(IF(ISBLANK(IF($B$2=1,E276,F276)),"",IF($B$2=1,E276,F276))," ",$G$245)</f>
        <v>Suficit/Deficit za period Januar - Februar</v>
      </c>
    </row>
    <row r="278" spans="5:7">
      <c r="E278" s="9" t="s">
        <v>409</v>
      </c>
      <c r="F278" s="10" t="s">
        <v>410</v>
      </c>
      <c r="G278" s="52" t="str">
        <f t="shared" si="3"/>
        <v>Stanje javnog duga (% BDP)</v>
      </c>
    </row>
    <row r="280" spans="5:7">
      <c r="E280" s="9" t="s">
        <v>407</v>
      </c>
      <c r="F280" s="10" t="s">
        <v>408</v>
      </c>
      <c r="G280" s="52" t="str">
        <f t="shared" si="3"/>
        <v>Pregled</v>
      </c>
    </row>
    <row r="282" spans="5:7" ht="60">
      <c r="E282" s="256" t="s">
        <v>686</v>
      </c>
      <c r="F282" s="60" t="s">
        <v>687</v>
      </c>
      <c r="G282" s="61" t="str">
        <f>+IF(ISBLANK(IF($B$2=1,E282,F282)),"",IF($B$2=1,E282,F282))</f>
        <v>Kontakt:
e-mail: mf@mif.gov.me
tel/fax: 00 382 20 242 835</v>
      </c>
    </row>
    <row r="283" spans="5:7">
      <c r="E283" s="57"/>
    </row>
    <row r="284" spans="5:7">
      <c r="E284" s="58"/>
    </row>
    <row r="285" spans="5:7">
      <c r="E285" s="58"/>
    </row>
    <row r="286" spans="5:7">
      <c r="E286" s="59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L32"/>
  <sheetViews>
    <sheetView showRowColHeaders="0" tabSelected="1" zoomScaleNormal="100" workbookViewId="0">
      <pane ySplit="5" topLeftCell="A6" activePane="bottomLeft" state="frozen"/>
      <selection activeCell="DK219" sqref="DK219"/>
      <selection pane="bottomLeft" activeCell="E20" sqref="E20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512" t="str">
        <f>+Master!G6</f>
        <v>Crna Gora</v>
      </c>
      <c r="F2" s="512"/>
      <c r="G2" s="512"/>
      <c r="I2" s="129"/>
    </row>
    <row r="3" spans="3:11" s="126" customFormat="1">
      <c r="E3" s="513" t="str">
        <f>+Master!G7</f>
        <v>Ministarstvo finansija</v>
      </c>
      <c r="F3" s="512"/>
      <c r="G3" s="512"/>
    </row>
    <row r="4" spans="3:11" s="126" customFormat="1">
      <c r="E4" s="513" t="str">
        <f>+Master!G8</f>
        <v>Direktorat za državni budžet</v>
      </c>
      <c r="F4" s="512"/>
      <c r="G4" s="512"/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+Master!G270</f>
        <v>Prihodi za mjesec Februar</v>
      </c>
      <c r="E11" s="135"/>
      <c r="F11" s="135"/>
      <c r="G11" s="137" t="str">
        <f>+Master!G274</f>
        <v>Prihodi za period Januar - Februar</v>
      </c>
      <c r="H11" s="135"/>
      <c r="I11" s="135"/>
      <c r="J11" s="135"/>
      <c r="K11" s="136"/>
    </row>
    <row r="12" spans="3:11">
      <c r="C12" s="134"/>
      <c r="D12" s="138">
        <f>+'Analitika 2023'!N10</f>
        <v>144248887.16999999</v>
      </c>
      <c r="E12" s="454">
        <f>+D12/'2023'!T7</f>
        <v>2.3361656976970166E-2</v>
      </c>
      <c r="F12" s="135"/>
      <c r="G12" s="138">
        <f>+'Analitika 2023'!G10</f>
        <v>312045878.38999999</v>
      </c>
      <c r="H12" s="454">
        <f>+G12/'2023'!T7</f>
        <v>5.0537019141320895E-2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+Master!G250</f>
        <v>% BDP</v>
      </c>
      <c r="F13" s="135"/>
      <c r="G13" s="139" t="s">
        <v>417</v>
      </c>
      <c r="H13" s="139" t="s">
        <v>807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+Master!G271</f>
        <v>Rashodi za mjesec Februar</v>
      </c>
      <c r="E15" s="135"/>
      <c r="F15" s="135"/>
      <c r="G15" s="137" t="str">
        <f>+Master!G275</f>
        <v>Rashodi za period Januar - Februar</v>
      </c>
      <c r="H15" s="135"/>
      <c r="I15" s="135"/>
      <c r="J15" s="135"/>
      <c r="K15" s="136"/>
    </row>
    <row r="16" spans="3:11">
      <c r="C16" s="134"/>
      <c r="D16" s="138">
        <f>+'Analitika 2023'!N29</f>
        <v>171551959.19</v>
      </c>
      <c r="E16" s="454">
        <f>+D16/'2023'!T7</f>
        <v>2.7783493536423412E-2</v>
      </c>
      <c r="F16" s="135"/>
      <c r="G16" s="138">
        <f>+'Analitika 2023'!G29</f>
        <v>286292379.56</v>
      </c>
      <c r="H16" s="454">
        <f>+G16/'2023'!T7</f>
        <v>4.6366141865060086E-2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BDP</v>
      </c>
      <c r="F17" s="135"/>
      <c r="G17" s="139" t="s">
        <v>417</v>
      </c>
      <c r="H17" s="139" t="s">
        <v>807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+Master!G272</f>
        <v>Suficit/Deficit za mjesec Februar</v>
      </c>
      <c r="E19" s="135"/>
      <c r="F19" s="135"/>
      <c r="G19" s="137" t="str">
        <f>+Master!G276</f>
        <v>Suficit/Deficit za period Januar - Februar</v>
      </c>
      <c r="H19" s="135"/>
      <c r="I19" s="135"/>
      <c r="J19" s="135"/>
      <c r="K19" s="136"/>
    </row>
    <row r="20" spans="3:12">
      <c r="C20" s="134"/>
      <c r="D20" s="138">
        <f>+'Analitika 2023'!N53</f>
        <v>-27303072.020000011</v>
      </c>
      <c r="E20" s="454">
        <f>+D20/'2023'!T7</f>
        <v>-4.4218365594532461E-3</v>
      </c>
      <c r="F20" s="135"/>
      <c r="G20" s="138">
        <f>+'Analitika 2023'!G53</f>
        <v>25753498.829999968</v>
      </c>
      <c r="H20" s="454">
        <f>+G20/'2023'!T7</f>
        <v>4.1708772762608049E-3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BDP</v>
      </c>
      <c r="F21" s="135"/>
      <c r="G21" s="139" t="s">
        <v>417</v>
      </c>
      <c r="H21" s="139" t="s">
        <v>807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5"/>
    </row>
  </sheetData>
  <sheetProtection algorithmName="SHA-512" hashValue="sK/mO/1kTSLqRxuXLTOfPFwqF1byjyD5mD0iZpE+EeqDhtqljQRG690w66naOr3Tll+8bcYXvtIPJJSnBEX+QA==" saltValue="8DOKcntliNE9zucWJZ2Ri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1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0"/>
  <sheetViews>
    <sheetView zoomScaleNormal="100" workbookViewId="0">
      <pane ySplit="5" topLeftCell="A6" activePane="bottomLeft" state="frozen"/>
      <selection activeCell="DK219" sqref="DK219"/>
      <selection pane="bottomLeft" activeCell="G10" sqref="G10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58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7109375" style="5" customWidth="1"/>
    <col min="15" max="15" width="11.42578125" style="5" customWidth="1"/>
    <col min="16" max="17" width="12.140625" style="5" customWidth="1"/>
    <col min="18" max="18" width="13.42578125" style="5" customWidth="1"/>
    <col min="19" max="19" width="9.140625" style="5" customWidth="1"/>
    <col min="20" max="20" width="9.85546875" style="5" customWidth="1"/>
    <col min="21" max="22" width="9.140625" style="5"/>
    <col min="23" max="23" width="11.7109375" style="5" bestFit="1" customWidth="1"/>
    <col min="24" max="25" width="9.140625" style="5"/>
    <col min="26" max="26" width="11.28515625" style="5" bestFit="1" customWidth="1"/>
    <col min="27" max="16384" width="9.140625" style="5"/>
  </cols>
  <sheetData>
    <row r="1" spans="1:25" s="1" customFormat="1">
      <c r="G1" s="354"/>
    </row>
    <row r="2" spans="1:25" s="1" customFormat="1">
      <c r="C2" s="2"/>
      <c r="E2" s="3" t="str">
        <f>+Master!G6</f>
        <v>Crna Gora</v>
      </c>
      <c r="G2" s="354"/>
      <c r="I2" s="4"/>
      <c r="P2" s="362"/>
    </row>
    <row r="3" spans="1:25" s="1" customFormat="1">
      <c r="B3" s="163"/>
      <c r="E3" s="4" t="str">
        <f>+Master!G7</f>
        <v>Ministarstvo finansija</v>
      </c>
      <c r="G3" s="354"/>
    </row>
    <row r="4" spans="1:25" s="1" customFormat="1">
      <c r="B4" s="163"/>
      <c r="E4" s="4" t="str">
        <f>+Master!G8</f>
        <v>Direktorat za državni budžet</v>
      </c>
      <c r="G4" s="354"/>
      <c r="H4" s="362"/>
      <c r="I4" s="362"/>
      <c r="J4" s="362"/>
      <c r="N4" s="481"/>
      <c r="P4" s="481"/>
      <c r="Q4" s="481"/>
    </row>
    <row r="5" spans="1:25" s="1" customFormat="1">
      <c r="B5" s="481"/>
      <c r="G5" s="163"/>
      <c r="H5" s="163"/>
      <c r="N5" s="481"/>
      <c r="P5" s="481"/>
    </row>
    <row r="6" spans="1:25" ht="15.75" thickBot="1">
      <c r="A6" s="130"/>
      <c r="B6" s="130"/>
      <c r="C6" s="130"/>
      <c r="D6" s="130"/>
      <c r="E6" s="130"/>
      <c r="F6" s="130"/>
      <c r="G6" s="355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2023-02</v>
      </c>
      <c r="O6" s="143" t="str">
        <f>+CONCATENATE(N6,"p")</f>
        <v>2023-02p</v>
      </c>
      <c r="P6" s="130"/>
      <c r="Q6" s="130"/>
      <c r="R6" s="143" t="str">
        <f>+IF(Master!B3-10&gt;=0,CONCATENATE(Master!B4-1,"-",Master!B3),CONCATENATE(Master!B4-1,"-0",Master!B3))</f>
        <v>2022-02</v>
      </c>
      <c r="S6" s="130"/>
      <c r="T6" s="130"/>
    </row>
    <row r="7" spans="1:25" ht="14.25" customHeight="1">
      <c r="A7" s="144"/>
      <c r="B7" s="550" t="str">
        <f>+Master!G254</f>
        <v>Analitika za period Jan - Feb</v>
      </c>
      <c r="C7" s="551"/>
      <c r="D7" s="551"/>
      <c r="E7" s="551"/>
      <c r="F7" s="551"/>
      <c r="G7" s="559" t="str">
        <f>+Master!G246</f>
        <v>Jan - Feb</v>
      </c>
      <c r="H7" s="560"/>
      <c r="I7" s="560"/>
      <c r="J7" s="560"/>
      <c r="K7" s="560"/>
      <c r="L7" s="560"/>
      <c r="M7" s="563"/>
      <c r="N7" s="560" t="str">
        <f>+Master!G245</f>
        <v>Februar</v>
      </c>
      <c r="O7" s="560"/>
      <c r="P7" s="560"/>
      <c r="Q7" s="560"/>
      <c r="R7" s="560"/>
      <c r="S7" s="560"/>
      <c r="T7" s="563"/>
    </row>
    <row r="8" spans="1:25" ht="29.25" customHeight="1">
      <c r="A8" s="144"/>
      <c r="B8" s="552"/>
      <c r="C8" s="553"/>
      <c r="D8" s="553"/>
      <c r="E8" s="553"/>
      <c r="F8" s="554"/>
      <c r="G8" s="515" t="str">
        <f>+Master!G26</f>
        <v>Ostvarenje</v>
      </c>
      <c r="H8" s="356" t="str">
        <f>+Master!G25</f>
        <v>Plan</v>
      </c>
      <c r="I8" s="548" t="str">
        <f>+Master!G261</f>
        <v>Odstupanje</v>
      </c>
      <c r="J8" s="548"/>
      <c r="K8" s="145" t="str">
        <f>+CONCATENATE(Master!G246," ",Master!B4-1)</f>
        <v>Jan - Feb 2022</v>
      </c>
      <c r="L8" s="548" t="str">
        <f>+I8</f>
        <v>Odstupanje</v>
      </c>
      <c r="M8" s="549"/>
      <c r="N8" s="515" t="str">
        <f>+G8</f>
        <v>Ostvarenje</v>
      </c>
      <c r="O8" s="145" t="str">
        <f>+H8</f>
        <v>Plan</v>
      </c>
      <c r="P8" s="548" t="str">
        <f>+I8</f>
        <v>Odstupanje</v>
      </c>
      <c r="Q8" s="548"/>
      <c r="R8" s="145" t="str">
        <f>+CONCATENATE(Master!G245," ",Master!B4-1)</f>
        <v>Februar 2022</v>
      </c>
      <c r="S8" s="548" t="str">
        <f>+P8</f>
        <v>Odstupanje</v>
      </c>
      <c r="T8" s="549"/>
    </row>
    <row r="9" spans="1:25" ht="15.75" thickBot="1">
      <c r="A9" s="144"/>
      <c r="B9" s="555"/>
      <c r="C9" s="556"/>
      <c r="D9" s="556"/>
      <c r="E9" s="556"/>
      <c r="F9" s="557"/>
      <c r="G9" s="357" t="s">
        <v>417</v>
      </c>
      <c r="H9" s="139" t="s">
        <v>417</v>
      </c>
      <c r="I9" s="139" t="s">
        <v>417</v>
      </c>
      <c r="J9" s="139" t="s">
        <v>678</v>
      </c>
      <c r="K9" s="139" t="s">
        <v>417</v>
      </c>
      <c r="L9" s="139" t="s">
        <v>417</v>
      </c>
      <c r="M9" s="149" t="s">
        <v>678</v>
      </c>
      <c r="N9" s="139" t="s">
        <v>417</v>
      </c>
      <c r="O9" s="139" t="s">
        <v>417</v>
      </c>
      <c r="P9" s="139" t="s">
        <v>417</v>
      </c>
      <c r="Q9" s="139" t="s">
        <v>678</v>
      </c>
      <c r="R9" s="139" t="s">
        <v>417</v>
      </c>
      <c r="S9" s="139" t="s">
        <v>417</v>
      </c>
      <c r="T9" s="149" t="s">
        <v>678</v>
      </c>
    </row>
    <row r="10" spans="1:25" ht="15.75" thickBot="1">
      <c r="A10" s="150">
        <v>7</v>
      </c>
      <c r="B10" s="530" t="str">
        <f>+VLOOKUP($A10,Master!$D$30:$G$226,4,FALSE)</f>
        <v>Prihodi budžeta</v>
      </c>
      <c r="C10" s="531"/>
      <c r="D10" s="531"/>
      <c r="E10" s="531"/>
      <c r="F10" s="531"/>
      <c r="G10" s="151">
        <f>'2023'!S10</f>
        <v>312045878.38999999</v>
      </c>
      <c r="H10" s="151">
        <f>SUM('2023'!G84:H84)</f>
        <v>280945488.00788808</v>
      </c>
      <c r="I10" s="152">
        <f>+G10-H10</f>
        <v>31100390.382111907</v>
      </c>
      <c r="J10" s="154">
        <f>IF(+IF(ISERROR(G10/H10),"…",G10/H10-1)&gt;200%,"...",IF(ISERROR(G10/H10),"…",G10/H10-1))</f>
        <v>0.11069902066282244</v>
      </c>
      <c r="K10" s="151">
        <f>SUM('2022'!G10:H10)</f>
        <v>232463258.36000001</v>
      </c>
      <c r="L10" s="152">
        <f>+G10-K10</f>
        <v>79582620.029999971</v>
      </c>
      <c r="M10" s="156">
        <f>IF(+IF(ISERROR(G10/K10),"…",G10/K10-1)&gt;200%,"...",IF(ISERROR(G10/K10),"…",G10/K10-1))</f>
        <v>0.34234493911616681</v>
      </c>
      <c r="N10" s="151">
        <f>'2023'!H10</f>
        <v>144248887.16999999</v>
      </c>
      <c r="O10" s="151">
        <f>'2023'!H84</f>
        <v>127832756.55548061</v>
      </c>
      <c r="P10" s="152">
        <f>+N10-O10</f>
        <v>16416130.614519373</v>
      </c>
      <c r="Q10" s="154">
        <f>IF(+IF(ISERROR(N10/O10),"…",N10/O10-1)&gt;200%,"...",IF(ISERROR(N10/O10),"…",N10/O10-1))</f>
        <v>0.12841881108458009</v>
      </c>
      <c r="R10" s="151">
        <f>'2022'!H10</f>
        <v>124648051.66</v>
      </c>
      <c r="S10" s="152">
        <f>+N10-R10</f>
        <v>19600835.50999999</v>
      </c>
      <c r="T10" s="156">
        <f>IF(+IF(ISERROR(N10/R10),"…",N10/R10-1)&gt;200%,"...",IF(ISERROR(N10/R10),"…",N10/R10-1))</f>
        <v>0.15724943349668075</v>
      </c>
      <c r="W10" s="498"/>
      <c r="Y10" s="498"/>
    </row>
    <row r="11" spans="1:25">
      <c r="A11" s="150">
        <v>711</v>
      </c>
      <c r="B11" s="520" t="str">
        <f>+VLOOKUP($A11,Master!$D$30:$G$226,4,FALSE)</f>
        <v>Porezi</v>
      </c>
      <c r="C11" s="521"/>
      <c r="D11" s="521"/>
      <c r="E11" s="521"/>
      <c r="F11" s="521"/>
      <c r="G11" s="277">
        <f>'2023'!S11</f>
        <v>194549712.63999999</v>
      </c>
      <c r="H11" s="277">
        <f>SUM('2023'!G85:H85)</f>
        <v>175186979.92348409</v>
      </c>
      <c r="I11" s="158">
        <f t="shared" ref="I11:I57" si="0">+G11-H11</f>
        <v>19362732.716515899</v>
      </c>
      <c r="J11" s="160">
        <f t="shared" ref="J11:J64" si="1">IF(+IF(ISERROR(G11/H11-1),"…",G11/H11-1)&gt;200%,"...",IF(ISERROR(G11/H11-1),"…",G11/H11-1))</f>
        <v>0.11052609460459273</v>
      </c>
      <c r="K11" s="277">
        <f>SUM('2022'!G11:H11)</f>
        <v>163775480.63</v>
      </c>
      <c r="L11" s="158">
        <f>+G11-K11</f>
        <v>30774232.00999999</v>
      </c>
      <c r="M11" s="162">
        <f t="shared" ref="M11:M64" si="2">IF(+IF(ISERROR(G11/K11),"…",G11/K11-1)&gt;200%,"...",IF(ISERROR(G11/K11),"…",G11/K11-1))</f>
        <v>0.18790500196744864</v>
      </c>
      <c r="N11" s="277">
        <f>'2023'!H11</f>
        <v>91059566.450000003</v>
      </c>
      <c r="O11" s="277">
        <f>'2023'!H85</f>
        <v>86133720.726993382</v>
      </c>
      <c r="P11" s="158">
        <f>+N11-O11</f>
        <v>4925845.723006621</v>
      </c>
      <c r="Q11" s="160">
        <f t="shared" ref="Q11:Q64" si="3">IF(+IF(ISERROR(N11/O11),"…",N11/O11-1)&gt;200%,"...",IF(ISERROR(N11/O11),"…",N11/O11-1))</f>
        <v>5.7188354124622309E-2</v>
      </c>
      <c r="R11" s="277">
        <f>'2022'!H11</f>
        <v>83215985.099999994</v>
      </c>
      <c r="S11" s="158">
        <f t="shared" ref="S11:S57" si="4">+N11-R11</f>
        <v>7843581.3500000089</v>
      </c>
      <c r="T11" s="162">
        <f t="shared" ref="T11:T64" si="5">IF(+IF(ISERROR(N11/R11),"…",N11/R11-1)&gt;200%,"...",IF(ISERROR(N11/R11),"…",N11/R11-1))</f>
        <v>9.425570508568093E-2</v>
      </c>
      <c r="W11" s="498"/>
      <c r="Y11" s="498"/>
    </row>
    <row r="12" spans="1:25">
      <c r="A12" s="150">
        <v>7111</v>
      </c>
      <c r="B12" s="522" t="str">
        <f>+VLOOKUP($A12,Master!$D$30:$G$226,4,FALSE)</f>
        <v>Porez na dohodak fizičkih lica</v>
      </c>
      <c r="C12" s="523"/>
      <c r="D12" s="523"/>
      <c r="E12" s="523"/>
      <c r="F12" s="523"/>
      <c r="G12" s="163">
        <f>'2023'!S12</f>
        <v>5426063.1100000003</v>
      </c>
      <c r="H12" s="163">
        <f>SUM('2023'!G86:H86)</f>
        <v>6642344.2118819933</v>
      </c>
      <c r="I12" s="164">
        <f t="shared" si="0"/>
        <v>-1216281.101881993</v>
      </c>
      <c r="J12" s="166">
        <f t="shared" si="1"/>
        <v>-0.1831102187848499</v>
      </c>
      <c r="K12" s="163">
        <f>SUM('2022'!G12:H12)</f>
        <v>13812566.379999999</v>
      </c>
      <c r="L12" s="164">
        <f>+G12-K12</f>
        <v>-8386503.2699999986</v>
      </c>
      <c r="M12" s="168">
        <f t="shared" si="2"/>
        <v>-0.60716473964920048</v>
      </c>
      <c r="N12" s="163">
        <f>'2023'!H12</f>
        <v>3944575.24</v>
      </c>
      <c r="O12" s="163">
        <f>'2023'!H86</f>
        <v>4571441.5054620681</v>
      </c>
      <c r="P12" s="164">
        <f t="shared" ref="P12:P57" si="6">+N12-O12</f>
        <v>-626866.26546206791</v>
      </c>
      <c r="Q12" s="166">
        <f t="shared" si="3"/>
        <v>-0.13712660759479767</v>
      </c>
      <c r="R12" s="163">
        <f>'2022'!H12</f>
        <v>7672775.8099999996</v>
      </c>
      <c r="S12" s="164">
        <f t="shared" si="4"/>
        <v>-3728200.5699999994</v>
      </c>
      <c r="T12" s="168">
        <f t="shared" si="5"/>
        <v>-0.48589984411391263</v>
      </c>
      <c r="W12" s="498"/>
      <c r="Y12" s="498"/>
    </row>
    <row r="13" spans="1:25">
      <c r="A13" s="150">
        <v>7112</v>
      </c>
      <c r="B13" s="522" t="str">
        <f>+VLOOKUP($A13,Master!$D$30:$G$226,4,FALSE)</f>
        <v>Porez na dobit pravnih lica</v>
      </c>
      <c r="C13" s="523"/>
      <c r="D13" s="523"/>
      <c r="E13" s="523"/>
      <c r="F13" s="523"/>
      <c r="G13" s="163">
        <f>'2023'!S13</f>
        <v>5023656.74</v>
      </c>
      <c r="H13" s="163">
        <f>SUM('2023'!G87:H87)</f>
        <v>3465897.6822995744</v>
      </c>
      <c r="I13" s="164">
        <f t="shared" si="0"/>
        <v>1557759.0577004259</v>
      </c>
      <c r="J13" s="166">
        <f t="shared" si="1"/>
        <v>0.44945327314650396</v>
      </c>
      <c r="K13" s="163">
        <f>SUM('2022'!G13:H13)</f>
        <v>2569018.79</v>
      </c>
      <c r="L13" s="164">
        <f t="shared" ref="L13:L57" si="7">+G13-K13</f>
        <v>2454637.9500000002</v>
      </c>
      <c r="M13" s="168">
        <f t="shared" si="2"/>
        <v>0.95547683790977644</v>
      </c>
      <c r="N13" s="163">
        <f>'2023'!H13</f>
        <v>3765090.36</v>
      </c>
      <c r="O13" s="163">
        <f>'2023'!H87</f>
        <v>2931735.7925026831</v>
      </c>
      <c r="P13" s="164">
        <f t="shared" si="6"/>
        <v>833354.56749731675</v>
      </c>
      <c r="Q13" s="166">
        <f t="shared" si="3"/>
        <v>0.28425295677340756</v>
      </c>
      <c r="R13" s="163">
        <f>'2022'!H13</f>
        <v>2173083.29</v>
      </c>
      <c r="S13" s="164">
        <f t="shared" si="4"/>
        <v>1592007.0699999998</v>
      </c>
      <c r="T13" s="168">
        <f t="shared" si="5"/>
        <v>0.73260287690123449</v>
      </c>
      <c r="W13" s="498"/>
      <c r="Y13" s="498"/>
    </row>
    <row r="14" spans="1:25">
      <c r="A14" s="150">
        <v>7113</v>
      </c>
      <c r="B14" s="522" t="str">
        <f>+VLOOKUP($A14,Master!$D$30:$G$226,4,FALSE)</f>
        <v>Porez na promet nepokretnosti</v>
      </c>
      <c r="C14" s="523"/>
      <c r="D14" s="523"/>
      <c r="E14" s="523"/>
      <c r="F14" s="523"/>
      <c r="G14" s="163">
        <f>'2023'!S14</f>
        <v>0</v>
      </c>
      <c r="H14" s="163">
        <f>SUM('2023'!G88:H88)</f>
        <v>0</v>
      </c>
      <c r="I14" s="164">
        <f t="shared" si="0"/>
        <v>0</v>
      </c>
      <c r="J14" s="166" t="str">
        <f t="shared" si="1"/>
        <v>...</v>
      </c>
      <c r="K14" s="163">
        <f>SUM('2022'!G14:H14)</f>
        <v>314533.99</v>
      </c>
      <c r="L14" s="164">
        <f t="shared" si="7"/>
        <v>-314533.99</v>
      </c>
      <c r="M14" s="168">
        <f t="shared" si="2"/>
        <v>-1</v>
      </c>
      <c r="N14" s="163">
        <f>'2023'!H14</f>
        <v>0</v>
      </c>
      <c r="O14" s="163">
        <f>'2023'!H88</f>
        <v>0</v>
      </c>
      <c r="P14" s="164">
        <f t="shared" si="6"/>
        <v>0</v>
      </c>
      <c r="Q14" s="166" t="str">
        <f t="shared" si="3"/>
        <v>...</v>
      </c>
      <c r="R14" s="163">
        <f>'2022'!H14</f>
        <v>168193.65</v>
      </c>
      <c r="S14" s="164">
        <f t="shared" si="4"/>
        <v>-168193.65</v>
      </c>
      <c r="T14" s="168">
        <f t="shared" si="5"/>
        <v>-1</v>
      </c>
      <c r="W14" s="498"/>
      <c r="Y14" s="498"/>
    </row>
    <row r="15" spans="1:25">
      <c r="A15" s="150">
        <v>7114</v>
      </c>
      <c r="B15" s="522" t="str">
        <f>+VLOOKUP($A15,Master!$D$30:$G$226,4,FALSE)</f>
        <v>Porez na dodatu vrijednost</v>
      </c>
      <c r="C15" s="523"/>
      <c r="D15" s="523"/>
      <c r="E15" s="523"/>
      <c r="F15" s="523"/>
      <c r="G15" s="163">
        <f>'2023'!S15</f>
        <v>140839826.09</v>
      </c>
      <c r="H15" s="163">
        <f>SUM('2023'!G89:H89)</f>
        <v>124157257.03618127</v>
      </c>
      <c r="I15" s="164">
        <f t="shared" si="0"/>
        <v>16682569.053818733</v>
      </c>
      <c r="J15" s="166">
        <f t="shared" si="1"/>
        <v>0.13436644342873305</v>
      </c>
      <c r="K15" s="163">
        <f>SUM('2022'!G15:H15)</f>
        <v>104391454.31999999</v>
      </c>
      <c r="L15" s="164">
        <f t="shared" si="7"/>
        <v>36448371.770000011</v>
      </c>
      <c r="M15" s="168">
        <f t="shared" si="2"/>
        <v>0.34915091477001292</v>
      </c>
      <c r="N15" s="163">
        <f>'2023'!H15</f>
        <v>61023809.460000001</v>
      </c>
      <c r="O15" s="163">
        <f>'2023'!H89</f>
        <v>59157257.036181271</v>
      </c>
      <c r="P15" s="164">
        <f t="shared" si="6"/>
        <v>1866552.4238187298</v>
      </c>
      <c r="Q15" s="166">
        <f t="shared" si="3"/>
        <v>3.1552382874634022E-2</v>
      </c>
      <c r="R15" s="163">
        <f>'2022'!H15</f>
        <v>54121445.460000001</v>
      </c>
      <c r="S15" s="164">
        <f t="shared" si="4"/>
        <v>6902364</v>
      </c>
      <c r="T15" s="168">
        <f t="shared" si="5"/>
        <v>0.12753473122038828</v>
      </c>
      <c r="W15" s="498"/>
      <c r="Y15" s="498"/>
    </row>
    <row r="16" spans="1:25">
      <c r="A16" s="150">
        <v>7115</v>
      </c>
      <c r="B16" s="522" t="str">
        <f>+VLOOKUP($A16,Master!$D$30:$G$226,4,FALSE)</f>
        <v>Akcize</v>
      </c>
      <c r="C16" s="523"/>
      <c r="D16" s="523"/>
      <c r="E16" s="523"/>
      <c r="F16" s="523"/>
      <c r="G16" s="163">
        <f>'2023'!S16</f>
        <v>35684591.109999999</v>
      </c>
      <c r="H16" s="163">
        <f>SUM('2023'!G90:H90)</f>
        <v>35418285.819688313</v>
      </c>
      <c r="I16" s="164">
        <f t="shared" si="0"/>
        <v>266305.29031168669</v>
      </c>
      <c r="J16" s="166">
        <f t="shared" si="1"/>
        <v>7.518864455141161E-3</v>
      </c>
      <c r="K16" s="163">
        <f>SUM('2022'!G16:H16)</f>
        <v>37159405.539999999</v>
      </c>
      <c r="L16" s="164">
        <f t="shared" si="7"/>
        <v>-1474814.4299999997</v>
      </c>
      <c r="M16" s="168">
        <f t="shared" si="2"/>
        <v>-3.9688859618931316E-2</v>
      </c>
      <c r="N16" s="163">
        <f>'2023'!H16</f>
        <v>18190262.670000002</v>
      </c>
      <c r="O16" s="163">
        <f>'2023'!H90</f>
        <v>16468285.819688315</v>
      </c>
      <c r="P16" s="164">
        <f t="shared" si="6"/>
        <v>1721976.8503116872</v>
      </c>
      <c r="Q16" s="166">
        <f t="shared" si="3"/>
        <v>0.10456321132421764</v>
      </c>
      <c r="R16" s="163">
        <f>'2022'!H16</f>
        <v>16062530.34</v>
      </c>
      <c r="S16" s="164">
        <f t="shared" si="4"/>
        <v>2127732.3300000019</v>
      </c>
      <c r="T16" s="168">
        <f t="shared" si="5"/>
        <v>0.13246557578175455</v>
      </c>
      <c r="W16" s="498"/>
      <c r="Y16" s="498"/>
    </row>
    <row r="17" spans="1:25">
      <c r="A17" s="150">
        <v>7116</v>
      </c>
      <c r="B17" s="522" t="str">
        <f>+VLOOKUP($A17,Master!$D$30:$G$226,4,FALSE)</f>
        <v>Porez na međunarodnu trgovinu i transakcije</v>
      </c>
      <c r="C17" s="523"/>
      <c r="D17" s="523"/>
      <c r="E17" s="523"/>
      <c r="F17" s="523"/>
      <c r="G17" s="163">
        <f>'2023'!S17</f>
        <v>5688031.6699999999</v>
      </c>
      <c r="H17" s="163">
        <f>SUM('2023'!G91:H91)</f>
        <v>3839740.8361716243</v>
      </c>
      <c r="I17" s="164">
        <f t="shared" si="0"/>
        <v>1848290.8338283757</v>
      </c>
      <c r="J17" s="166">
        <f t="shared" si="1"/>
        <v>0.48135822512208803</v>
      </c>
      <c r="K17" s="163">
        <f>SUM('2022'!G17:H17)</f>
        <v>3838514.43</v>
      </c>
      <c r="L17" s="164">
        <f t="shared" si="7"/>
        <v>1849517.2399999998</v>
      </c>
      <c r="M17" s="168">
        <f t="shared" si="2"/>
        <v>0.48183151938808777</v>
      </c>
      <c r="N17" s="163">
        <f>'2023'!H17</f>
        <v>3220443.49</v>
      </c>
      <c r="O17" s="163">
        <f>'2023'!H91</f>
        <v>2149690.2071043747</v>
      </c>
      <c r="P17" s="164">
        <f t="shared" si="6"/>
        <v>1070753.2828956256</v>
      </c>
      <c r="Q17" s="166">
        <f>IF(+IF(ISERROR(N17/O17),"…",N17/O17-1)&gt;200%,"...",IF(ISERROR(N17/O17),"…",N17/O17-1))</f>
        <v>0.49809655333450431</v>
      </c>
      <c r="R17" s="163">
        <f>'2022'!H17</f>
        <v>2149003.6</v>
      </c>
      <c r="S17" s="164">
        <f t="shared" si="4"/>
        <v>1071439.8900000001</v>
      </c>
      <c r="T17" s="168">
        <f t="shared" si="5"/>
        <v>0.49857519549990514</v>
      </c>
      <c r="W17" s="498"/>
      <c r="Y17" s="498"/>
    </row>
    <row r="18" spans="1:25">
      <c r="A18" s="150">
        <v>7118</v>
      </c>
      <c r="B18" s="522" t="str">
        <f>+VLOOKUP($A18,Master!$D$30:$G$226,4,FALSE)</f>
        <v>Ostali državni porezi</v>
      </c>
      <c r="C18" s="523"/>
      <c r="D18" s="523"/>
      <c r="E18" s="523"/>
      <c r="F18" s="523"/>
      <c r="G18" s="163">
        <f>'2023'!S18</f>
        <v>1887543.92</v>
      </c>
      <c r="H18" s="163">
        <f>SUM('2023'!G92:H92)</f>
        <v>1663454.337261294</v>
      </c>
      <c r="I18" s="164">
        <f t="shared" si="0"/>
        <v>224089.58273870591</v>
      </c>
      <c r="J18" s="166">
        <f t="shared" si="1"/>
        <v>0.13471339592504017</v>
      </c>
      <c r="K18" s="163">
        <f>SUM('2022'!G18:H18)</f>
        <v>1689987.18</v>
      </c>
      <c r="L18" s="164">
        <f t="shared" si="7"/>
        <v>197556.74</v>
      </c>
      <c r="M18" s="168">
        <f t="shared" si="2"/>
        <v>0.11689836605742765</v>
      </c>
      <c r="N18" s="163">
        <f>'2023'!H18</f>
        <v>915385.23</v>
      </c>
      <c r="O18" s="163">
        <f>'2023'!H92</f>
        <v>855310.36605466809</v>
      </c>
      <c r="P18" s="164">
        <f t="shared" si="6"/>
        <v>60074.86394533189</v>
      </c>
      <c r="Q18" s="166">
        <f t="shared" si="3"/>
        <v>7.0237502466434565E-2</v>
      </c>
      <c r="R18" s="163">
        <f>'2022'!H18</f>
        <v>868952.95</v>
      </c>
      <c r="S18" s="164">
        <f t="shared" si="4"/>
        <v>46432.280000000028</v>
      </c>
      <c r="T18" s="168">
        <f t="shared" si="5"/>
        <v>5.343474580528218E-2</v>
      </c>
      <c r="W18" s="498"/>
      <c r="Y18" s="498"/>
    </row>
    <row r="19" spans="1:25">
      <c r="A19" s="150">
        <v>712</v>
      </c>
      <c r="B19" s="524" t="str">
        <f>+VLOOKUP($A19,Master!$D$30:$G$226,4,FALSE)</f>
        <v>Doprinosi</v>
      </c>
      <c r="C19" s="525"/>
      <c r="D19" s="525"/>
      <c r="E19" s="525"/>
      <c r="F19" s="525"/>
      <c r="G19" s="169">
        <f>'2023'!S19</f>
        <v>57112208.889999993</v>
      </c>
      <c r="H19" s="169">
        <f>SUM('2023'!G93:H93)</f>
        <v>49523232.846197166</v>
      </c>
      <c r="I19" s="170">
        <f t="shared" si="0"/>
        <v>7588976.0438028276</v>
      </c>
      <c r="J19" s="172">
        <f t="shared" si="1"/>
        <v>0.15324072375023823</v>
      </c>
      <c r="K19" s="169">
        <f>SUM('2022'!G19:H19)</f>
        <v>46716096.149999999</v>
      </c>
      <c r="L19" s="170">
        <f t="shared" si="7"/>
        <v>10396112.739999995</v>
      </c>
      <c r="M19" s="174">
        <f t="shared" si="2"/>
        <v>0.22253813132457112</v>
      </c>
      <c r="N19" s="169">
        <f>'2023'!H19</f>
        <v>41494879.25999999</v>
      </c>
      <c r="O19" s="169">
        <f>'2023'!H93</f>
        <v>35494684.891336001</v>
      </c>
      <c r="P19" s="170">
        <f t="shared" si="6"/>
        <v>6000194.368663989</v>
      </c>
      <c r="Q19" s="172">
        <f t="shared" si="3"/>
        <v>0.16904486931023843</v>
      </c>
      <c r="R19" s="169">
        <f>'2022'!H19</f>
        <v>34984293.990000002</v>
      </c>
      <c r="S19" s="170">
        <f t="shared" si="4"/>
        <v>6510585.2699999884</v>
      </c>
      <c r="T19" s="174">
        <f t="shared" si="5"/>
        <v>0.18610023320353375</v>
      </c>
      <c r="W19" s="498"/>
      <c r="Y19" s="498"/>
    </row>
    <row r="20" spans="1:25">
      <c r="A20" s="150">
        <v>7121</v>
      </c>
      <c r="B20" s="522" t="str">
        <f>+VLOOKUP($A20,Master!$D$30:$G$226,4,FALSE)</f>
        <v>Doprinosi za penzijsko i invalidsko osiguranje</v>
      </c>
      <c r="C20" s="523"/>
      <c r="D20" s="523"/>
      <c r="E20" s="523"/>
      <c r="F20" s="523"/>
      <c r="G20" s="163">
        <f>'2023'!S20</f>
        <v>52119563.43</v>
      </c>
      <c r="H20" s="163">
        <f>SUM('2023'!G94:H94)</f>
        <v>45700343.408638641</v>
      </c>
      <c r="I20" s="164">
        <f t="shared" si="0"/>
        <v>6419220.0213613585</v>
      </c>
      <c r="J20" s="166">
        <f t="shared" si="1"/>
        <v>0.14046327757239441</v>
      </c>
      <c r="K20" s="163">
        <f>SUM('2022'!G20:H20)</f>
        <v>31917057.960000001</v>
      </c>
      <c r="L20" s="164">
        <f t="shared" si="7"/>
        <v>20202505.469999999</v>
      </c>
      <c r="M20" s="168">
        <f t="shared" si="2"/>
        <v>0.63296891258958632</v>
      </c>
      <c r="N20" s="163">
        <f>'2023'!H20</f>
        <v>37909924.049999997</v>
      </c>
      <c r="O20" s="163">
        <f>'2023'!H94</f>
        <v>32778046.640397433</v>
      </c>
      <c r="P20" s="164">
        <f t="shared" si="6"/>
        <v>5131877.4096025638</v>
      </c>
      <c r="Q20" s="166">
        <f t="shared" si="3"/>
        <v>0.15656446724551798</v>
      </c>
      <c r="R20" s="163">
        <f>'2022'!H20</f>
        <v>24366605.109999999</v>
      </c>
      <c r="S20" s="164">
        <f t="shared" si="4"/>
        <v>13543318.939999998</v>
      </c>
      <c r="T20" s="168">
        <f t="shared" si="5"/>
        <v>0.55581476692630649</v>
      </c>
      <c r="W20" s="498"/>
      <c r="Y20" s="498"/>
    </row>
    <row r="21" spans="1:25">
      <c r="A21" s="150">
        <v>7122</v>
      </c>
      <c r="B21" s="522" t="str">
        <f>+VLOOKUP($A21,Master!$D$30:$G$226,4,FALSE)</f>
        <v>Doprinosi za zdravstveno osiguranje</v>
      </c>
      <c r="C21" s="523"/>
      <c r="D21" s="523"/>
      <c r="E21" s="523"/>
      <c r="F21" s="523"/>
      <c r="G21" s="163">
        <f>'2023'!S21</f>
        <v>948080.52</v>
      </c>
      <c r="H21" s="163">
        <f>SUM('2023'!G95:H95)</f>
        <v>200047.73738821657</v>
      </c>
      <c r="I21" s="164">
        <f t="shared" si="0"/>
        <v>748032.78261178348</v>
      </c>
      <c r="J21" s="166" t="str">
        <f t="shared" si="1"/>
        <v>...</v>
      </c>
      <c r="K21" s="163">
        <f>SUM('2022'!G21:H21)</f>
        <v>12433903.09</v>
      </c>
      <c r="L21" s="164">
        <f t="shared" si="7"/>
        <v>-11485822.57</v>
      </c>
      <c r="M21" s="168">
        <f t="shared" si="2"/>
        <v>-0.92375036920124487</v>
      </c>
      <c r="N21" s="163">
        <f>'2023'!H21</f>
        <v>645770.62</v>
      </c>
      <c r="O21" s="163">
        <f>'2023'!H95</f>
        <v>100023.86869410829</v>
      </c>
      <c r="P21" s="164">
        <f t="shared" si="6"/>
        <v>545746.75130589167</v>
      </c>
      <c r="Q21" s="166" t="str">
        <f t="shared" si="3"/>
        <v>...</v>
      </c>
      <c r="R21" s="163">
        <f>'2022'!H21</f>
        <v>8815681.4700000007</v>
      </c>
      <c r="S21" s="164">
        <f t="shared" si="4"/>
        <v>-8169910.8500000006</v>
      </c>
      <c r="T21" s="168">
        <f t="shared" si="5"/>
        <v>-0.92674750985529886</v>
      </c>
      <c r="W21" s="498"/>
      <c r="Y21" s="498"/>
    </row>
    <row r="22" spans="1:25">
      <c r="A22" s="150">
        <v>7123</v>
      </c>
      <c r="B22" s="522" t="str">
        <f>+VLOOKUP($A22,Master!$D$30:$G$226,4,FALSE)</f>
        <v>Doprinosi za osiguranje od nezaposlenosti</v>
      </c>
      <c r="C22" s="523"/>
      <c r="D22" s="523"/>
      <c r="E22" s="523"/>
      <c r="F22" s="523"/>
      <c r="G22" s="163">
        <f>'2023'!S22</f>
        <v>2390407.9</v>
      </c>
      <c r="H22" s="163">
        <f>SUM('2023'!G96:H96)</f>
        <v>2181481.4218844152</v>
      </c>
      <c r="I22" s="164">
        <f t="shared" si="0"/>
        <v>208926.4781155847</v>
      </c>
      <c r="J22" s="166">
        <f t="shared" si="1"/>
        <v>9.5772751497974706E-2</v>
      </c>
      <c r="K22" s="163">
        <f>SUM('2022'!G22:H22)</f>
        <v>1441496.5899999999</v>
      </c>
      <c r="L22" s="164">
        <f t="shared" si="7"/>
        <v>948911.31</v>
      </c>
      <c r="M22" s="168">
        <f t="shared" si="2"/>
        <v>0.65828203589437573</v>
      </c>
      <c r="N22" s="163">
        <f>'2023'!H22</f>
        <v>1731553.43</v>
      </c>
      <c r="O22" s="163">
        <f>'2023'!H96</f>
        <v>1562283.5053246473</v>
      </c>
      <c r="P22" s="164">
        <f t="shared" si="6"/>
        <v>169269.92467535264</v>
      </c>
      <c r="Q22" s="166">
        <f t="shared" si="3"/>
        <v>0.10834776408919322</v>
      </c>
      <c r="R22" s="163">
        <f>'2022'!H22</f>
        <v>1107968.99</v>
      </c>
      <c r="S22" s="164">
        <f t="shared" si="4"/>
        <v>623584.43999999994</v>
      </c>
      <c r="T22" s="168">
        <f t="shared" si="5"/>
        <v>0.56281759293642319</v>
      </c>
      <c r="W22" s="498"/>
      <c r="Y22" s="498"/>
    </row>
    <row r="23" spans="1:25">
      <c r="A23" s="150">
        <v>7124</v>
      </c>
      <c r="B23" s="522" t="str">
        <f>+VLOOKUP($A23,Master!$D$30:$G$226,4,FALSE)</f>
        <v>Ostali doprinosi</v>
      </c>
      <c r="C23" s="523"/>
      <c r="D23" s="523"/>
      <c r="E23" s="523"/>
      <c r="F23" s="523"/>
      <c r="G23" s="163">
        <f>'2023'!S23</f>
        <v>1654157.04</v>
      </c>
      <c r="H23" s="163">
        <f>SUM('2023'!G97:H97)</f>
        <v>1441360.2782858987</v>
      </c>
      <c r="I23" s="164">
        <f t="shared" si="0"/>
        <v>212796.7617141013</v>
      </c>
      <c r="J23" s="166">
        <f t="shared" si="1"/>
        <v>0.14763606637416471</v>
      </c>
      <c r="K23" s="163">
        <f>SUM('2022'!G23:H23)</f>
        <v>923638.51</v>
      </c>
      <c r="L23" s="164">
        <f t="shared" si="7"/>
        <v>730518.53</v>
      </c>
      <c r="M23" s="168">
        <f t="shared" si="2"/>
        <v>0.79091389335856088</v>
      </c>
      <c r="N23" s="163">
        <f>'2023'!H23</f>
        <v>1207631.1599999999</v>
      </c>
      <c r="O23" s="163">
        <f>'2023'!H97</f>
        <v>1054330.8769198155</v>
      </c>
      <c r="P23" s="164">
        <f t="shared" si="6"/>
        <v>153300.28308018437</v>
      </c>
      <c r="Q23" s="166">
        <f t="shared" si="3"/>
        <v>0.14540054401901314</v>
      </c>
      <c r="R23" s="163">
        <f>'2022'!H23</f>
        <v>694038.42</v>
      </c>
      <c r="S23" s="164">
        <f t="shared" si="4"/>
        <v>513592.73999999987</v>
      </c>
      <c r="T23" s="168">
        <f t="shared" si="5"/>
        <v>0.74000620887817692</v>
      </c>
      <c r="W23" s="498"/>
      <c r="Y23" s="498"/>
    </row>
    <row r="24" spans="1:25">
      <c r="A24" s="150">
        <v>713</v>
      </c>
      <c r="B24" s="524" t="str">
        <f>+VLOOKUP($A24,Master!$D$30:$G$226,4,FALSE)</f>
        <v>Takse</v>
      </c>
      <c r="C24" s="525"/>
      <c r="D24" s="525"/>
      <c r="E24" s="525"/>
      <c r="F24" s="525"/>
      <c r="G24" s="175">
        <f>'2023'!S24</f>
        <v>1665281.69</v>
      </c>
      <c r="H24" s="175">
        <f>SUM('2023'!G98:H98)</f>
        <v>1524164.1380757941</v>
      </c>
      <c r="I24" s="176">
        <f t="shared" si="0"/>
        <v>141117.55192420585</v>
      </c>
      <c r="J24" s="178">
        <f t="shared" si="1"/>
        <v>9.2586847045464493E-2</v>
      </c>
      <c r="K24" s="175">
        <f>SUM('2022'!G24:H24)</f>
        <v>1443930.54</v>
      </c>
      <c r="L24" s="176">
        <f t="shared" si="7"/>
        <v>221351.14999999991</v>
      </c>
      <c r="M24" s="180">
        <f t="shared" si="2"/>
        <v>0.15329764408196533</v>
      </c>
      <c r="N24" s="175">
        <f>'2023'!H24</f>
        <v>917683.81</v>
      </c>
      <c r="O24" s="175">
        <f>'2023'!H98</f>
        <v>853610.81100259756</v>
      </c>
      <c r="P24" s="176">
        <f t="shared" si="6"/>
        <v>64072.998997402494</v>
      </c>
      <c r="Q24" s="178">
        <f t="shared" si="3"/>
        <v>7.5061138134071115E-2</v>
      </c>
      <c r="R24" s="175">
        <f>'2022'!H24</f>
        <v>808672.01</v>
      </c>
      <c r="S24" s="176">
        <f t="shared" si="4"/>
        <v>109011.80000000005</v>
      </c>
      <c r="T24" s="180">
        <f t="shared" si="5"/>
        <v>0.13480347860685815</v>
      </c>
      <c r="W24" s="498"/>
      <c r="Y24" s="498"/>
    </row>
    <row r="25" spans="1:25">
      <c r="A25" s="150">
        <v>714</v>
      </c>
      <c r="B25" s="524" t="str">
        <f>+VLOOKUP($A25,Master!$D$30:$G$226,4,FALSE)</f>
        <v>Naknade</v>
      </c>
      <c r="C25" s="525"/>
      <c r="D25" s="525"/>
      <c r="E25" s="525"/>
      <c r="F25" s="525"/>
      <c r="G25" s="175">
        <f>'2023'!S25</f>
        <v>15535492.100000001</v>
      </c>
      <c r="H25" s="175">
        <f>SUM('2023'!G99:H99)</f>
        <v>14039698.180938575</v>
      </c>
      <c r="I25" s="176">
        <f t="shared" si="0"/>
        <v>1495793.9190614261</v>
      </c>
      <c r="J25" s="178">
        <f t="shared" si="1"/>
        <v>0.10654031872937519</v>
      </c>
      <c r="K25" s="175">
        <f>SUM('2022'!G25:H25)</f>
        <v>14897549.120000001</v>
      </c>
      <c r="L25" s="176">
        <f t="shared" si="7"/>
        <v>637942.98000000045</v>
      </c>
      <c r="M25" s="180">
        <f t="shared" si="2"/>
        <v>4.2822008832550829E-2</v>
      </c>
      <c r="N25" s="175">
        <f>'2023'!H25</f>
        <v>3748417.33</v>
      </c>
      <c r="O25" s="175">
        <f>'2023'!H99</f>
        <v>1737839.0434846203</v>
      </c>
      <c r="P25" s="176">
        <f t="shared" si="6"/>
        <v>2010578.2865153798</v>
      </c>
      <c r="Q25" s="178">
        <f t="shared" si="3"/>
        <v>1.1569416017284762</v>
      </c>
      <c r="R25" s="175">
        <f>'2022'!H25</f>
        <v>2358745.7999999998</v>
      </c>
      <c r="S25" s="176">
        <f t="shared" si="4"/>
        <v>1389671.5300000003</v>
      </c>
      <c r="T25" s="180">
        <f t="shared" si="5"/>
        <v>0.58915697062396477</v>
      </c>
      <c r="W25" s="498"/>
      <c r="Y25" s="498"/>
    </row>
    <row r="26" spans="1:25">
      <c r="A26" s="150">
        <v>715</v>
      </c>
      <c r="B26" s="524" t="str">
        <f>+VLOOKUP($A26,Master!$D$30:$G$226,4,FALSE)</f>
        <v>Ostali prihodi</v>
      </c>
      <c r="C26" s="525"/>
      <c r="D26" s="525"/>
      <c r="E26" s="525"/>
      <c r="F26" s="525"/>
      <c r="G26" s="175">
        <f>'2023'!S26</f>
        <v>36648891.549999997</v>
      </c>
      <c r="H26" s="175">
        <f>SUM('2023'!G100:H100)</f>
        <v>37143917.469562076</v>
      </c>
      <c r="I26" s="176">
        <f t="shared" si="0"/>
        <v>-495025.91956207901</v>
      </c>
      <c r="J26" s="178">
        <f t="shared" si="1"/>
        <v>-1.3327240455122458E-2</v>
      </c>
      <c r="K26" s="175">
        <f>SUM('2022'!G26:H26)</f>
        <v>2968333.76</v>
      </c>
      <c r="L26" s="176">
        <f t="shared" si="7"/>
        <v>33680557.789999999</v>
      </c>
      <c r="M26" s="180" t="str">
        <f t="shared" si="2"/>
        <v>...</v>
      </c>
      <c r="N26" s="175">
        <f>'2023'!H26</f>
        <v>2049489.18</v>
      </c>
      <c r="O26" s="175">
        <f>'2023'!H100</f>
        <v>1666927.9695483148</v>
      </c>
      <c r="P26" s="176">
        <f t="shared" si="6"/>
        <v>382561.21045168513</v>
      </c>
      <c r="Q26" s="178">
        <f t="shared" si="3"/>
        <v>0.22950074474744531</v>
      </c>
      <c r="R26" s="175">
        <f>'2022'!H26</f>
        <v>1641264.93</v>
      </c>
      <c r="S26" s="176">
        <f t="shared" si="4"/>
        <v>408224.25</v>
      </c>
      <c r="T26" s="180">
        <f t="shared" si="5"/>
        <v>0.24872538402438171</v>
      </c>
      <c r="W26" s="498"/>
      <c r="Y26" s="498"/>
    </row>
    <row r="27" spans="1:25">
      <c r="A27" s="150">
        <v>73</v>
      </c>
      <c r="B27" s="524" t="str">
        <f>+VLOOKUP($A27,Master!$D$30:$G$226,4,FALSE)</f>
        <v>Primici od otplate kredita i sredstva prenesena iz prethodne godine</v>
      </c>
      <c r="C27" s="525"/>
      <c r="D27" s="525"/>
      <c r="E27" s="525"/>
      <c r="F27" s="525"/>
      <c r="G27" s="175">
        <f>'2023'!S27</f>
        <v>2058000.73</v>
      </c>
      <c r="H27" s="175">
        <f>SUM('2023'!G101:H101)</f>
        <v>527495.44963042066</v>
      </c>
      <c r="I27" s="176">
        <f t="shared" si="0"/>
        <v>1530505.2803695793</v>
      </c>
      <c r="J27" s="178" t="str">
        <f t="shared" si="1"/>
        <v>...</v>
      </c>
      <c r="K27" s="175">
        <f>SUM('2022'!G27:H27)</f>
        <v>600947.23</v>
      </c>
      <c r="L27" s="176">
        <f t="shared" si="7"/>
        <v>1457053.5</v>
      </c>
      <c r="M27" s="180" t="str">
        <f t="shared" si="2"/>
        <v>...</v>
      </c>
      <c r="N27" s="175">
        <f>'2023'!H27</f>
        <v>1918469.65</v>
      </c>
      <c r="O27" s="175">
        <f>'2023'!H101</f>
        <v>445973.11311571056</v>
      </c>
      <c r="P27" s="176">
        <f t="shared" si="6"/>
        <v>1472496.5368842892</v>
      </c>
      <c r="Q27" s="178" t="str">
        <f t="shared" si="3"/>
        <v>...</v>
      </c>
      <c r="R27" s="175">
        <f>'2022'!H27</f>
        <v>522875.5</v>
      </c>
      <c r="S27" s="176">
        <f t="shared" si="4"/>
        <v>1395594.15</v>
      </c>
      <c r="T27" s="180" t="str">
        <f t="shared" si="5"/>
        <v>...</v>
      </c>
      <c r="W27" s="498"/>
      <c r="Y27" s="498"/>
    </row>
    <row r="28" spans="1:25" ht="15.75" thickBot="1">
      <c r="A28" s="150">
        <v>74</v>
      </c>
      <c r="B28" s="528" t="str">
        <f>+VLOOKUP($A28,Master!$D$30:$G$226,4,FALSE)</f>
        <v>Donacije i transferi</v>
      </c>
      <c r="C28" s="529"/>
      <c r="D28" s="529"/>
      <c r="E28" s="529"/>
      <c r="F28" s="529"/>
      <c r="G28" s="175">
        <f>'2023'!S28</f>
        <v>4476290.79</v>
      </c>
      <c r="H28" s="175">
        <f>SUM('2023'!G102:H102)</f>
        <v>3000000</v>
      </c>
      <c r="I28" s="176">
        <f t="shared" si="0"/>
        <v>1476290.79</v>
      </c>
      <c r="J28" s="178">
        <f t="shared" si="1"/>
        <v>0.49209692999999999</v>
      </c>
      <c r="K28" s="175">
        <f>SUM('2022'!G28:H28)</f>
        <v>2060920.9300000002</v>
      </c>
      <c r="L28" s="176">
        <f t="shared" si="7"/>
        <v>2415369.86</v>
      </c>
      <c r="M28" s="180">
        <f t="shared" si="2"/>
        <v>1.171985700586776</v>
      </c>
      <c r="N28" s="175">
        <f>'2023'!H28</f>
        <v>3060381.49</v>
      </c>
      <c r="O28" s="175">
        <f>'2023'!H102</f>
        <v>1500000</v>
      </c>
      <c r="P28" s="176">
        <f t="shared" si="6"/>
        <v>1560381.4900000002</v>
      </c>
      <c r="Q28" s="178">
        <f t="shared" si="3"/>
        <v>1.0402543266666666</v>
      </c>
      <c r="R28" s="175">
        <f>'2022'!H28</f>
        <v>1116214.33</v>
      </c>
      <c r="S28" s="176">
        <f t="shared" si="4"/>
        <v>1944167.1600000001</v>
      </c>
      <c r="T28" s="180">
        <f t="shared" si="5"/>
        <v>1.7417507621497745</v>
      </c>
      <c r="W28" s="498"/>
      <c r="Y28" s="498"/>
    </row>
    <row r="29" spans="1:25" ht="15.75" thickBot="1">
      <c r="A29" s="150">
        <v>4</v>
      </c>
      <c r="B29" s="530" t="str">
        <f>+VLOOKUP($A29,Master!$D$30:$G$226,4,FALSE)</f>
        <v>Izdaci budžeta</v>
      </c>
      <c r="C29" s="531"/>
      <c r="D29" s="531"/>
      <c r="E29" s="531"/>
      <c r="F29" s="531"/>
      <c r="G29" s="151">
        <f>'2023'!S29</f>
        <v>286292379.56</v>
      </c>
      <c r="H29" s="151">
        <f>SUM('2023'!G103:H103)</f>
        <v>370413967.42999995</v>
      </c>
      <c r="I29" s="152">
        <f t="shared" si="0"/>
        <v>-84121587.869999945</v>
      </c>
      <c r="J29" s="154">
        <f t="shared" si="1"/>
        <v>-0.22710155465694493</v>
      </c>
      <c r="K29" s="151">
        <f>SUM('2022'!G29:H29)</f>
        <v>292827801.76999998</v>
      </c>
      <c r="L29" s="152">
        <f t="shared" si="7"/>
        <v>-6535422.2099999785</v>
      </c>
      <c r="M29" s="156">
        <f t="shared" si="2"/>
        <v>-2.2318311890116238E-2</v>
      </c>
      <c r="N29" s="151">
        <f>'2023'!H29</f>
        <v>171551959.19</v>
      </c>
      <c r="O29" s="151">
        <f>'2023'!H103</f>
        <v>194904102.36999997</v>
      </c>
      <c r="P29" s="152">
        <f t="shared" si="6"/>
        <v>-23352143.179999977</v>
      </c>
      <c r="Q29" s="154">
        <f t="shared" si="3"/>
        <v>-0.11981350262022183</v>
      </c>
      <c r="R29" s="151">
        <f>'2022'!H29</f>
        <v>152250317.41000003</v>
      </c>
      <c r="S29" s="152">
        <f t="shared" si="4"/>
        <v>19301641.779999971</v>
      </c>
      <c r="T29" s="156">
        <f t="shared" si="5"/>
        <v>0.12677570798110005</v>
      </c>
      <c r="W29" s="498"/>
      <c r="Y29" s="498"/>
    </row>
    <row r="30" spans="1:25">
      <c r="A30" s="150">
        <v>41</v>
      </c>
      <c r="B30" s="534" t="str">
        <f>+VLOOKUP($A30,Master!$D$30:$G$226,4,FALSE)</f>
        <v>Tekući izdaci</v>
      </c>
      <c r="C30" s="535"/>
      <c r="D30" s="535"/>
      <c r="E30" s="535"/>
      <c r="F30" s="535"/>
      <c r="G30" s="313">
        <f>'2023'!S30</f>
        <v>124909628.70000002</v>
      </c>
      <c r="H30" s="313">
        <f>SUM('2023'!G104:H104)</f>
        <v>152873220.85999995</v>
      </c>
      <c r="I30" s="188">
        <f t="shared" si="0"/>
        <v>-27963592.159999937</v>
      </c>
      <c r="J30" s="190">
        <f t="shared" si="1"/>
        <v>-0.18292014783680632</v>
      </c>
      <c r="K30" s="313">
        <f>SUM('2022'!G30:H30)</f>
        <v>112560713.93000001</v>
      </c>
      <c r="L30" s="188">
        <f t="shared" si="7"/>
        <v>12348914.770000011</v>
      </c>
      <c r="M30" s="192">
        <f t="shared" si="2"/>
        <v>0.10970892364523954</v>
      </c>
      <c r="N30" s="313">
        <f>'2023'!H30</f>
        <v>71587829.420000032</v>
      </c>
      <c r="O30" s="313">
        <f>'2023'!H104</f>
        <v>80973595.029999986</v>
      </c>
      <c r="P30" s="188">
        <f t="shared" si="6"/>
        <v>-9385765.6099999547</v>
      </c>
      <c r="Q30" s="190">
        <f t="shared" si="3"/>
        <v>-0.11591143516009894</v>
      </c>
      <c r="R30" s="313">
        <f>'2022'!H30</f>
        <v>61672607.570000008</v>
      </c>
      <c r="S30" s="188">
        <f t="shared" si="4"/>
        <v>9915221.8500000238</v>
      </c>
      <c r="T30" s="192">
        <f t="shared" si="5"/>
        <v>0.16077189275232096</v>
      </c>
      <c r="W30" s="498"/>
      <c r="Y30" s="498"/>
    </row>
    <row r="31" spans="1:25">
      <c r="A31" s="150">
        <v>411</v>
      </c>
      <c r="B31" s="522" t="str">
        <f>+VLOOKUP($A31,Master!$D$30:$G$226,4,FALSE)</f>
        <v>Bruto zarade i doprinosi na teret poslodavca</v>
      </c>
      <c r="C31" s="523"/>
      <c r="D31" s="523"/>
      <c r="E31" s="523"/>
      <c r="F31" s="523"/>
      <c r="G31" s="163">
        <f>'2023'!S31</f>
        <v>100638380.23000002</v>
      </c>
      <c r="H31" s="163">
        <f>SUM('2023'!G105:H105)</f>
        <v>94632496.149999961</v>
      </c>
      <c r="I31" s="164">
        <f t="shared" si="0"/>
        <v>6005884.0800000578</v>
      </c>
      <c r="J31" s="166">
        <f t="shared" si="1"/>
        <v>6.346534567238149E-2</v>
      </c>
      <c r="K31" s="163">
        <f>SUM('2022'!G31:H31)</f>
        <v>88789810.599999994</v>
      </c>
      <c r="L31" s="164">
        <f t="shared" si="7"/>
        <v>11848569.630000025</v>
      </c>
      <c r="M31" s="168">
        <f t="shared" si="2"/>
        <v>0.13344515040558069</v>
      </c>
      <c r="N31" s="163">
        <f>'2023'!H31</f>
        <v>54859778.850000024</v>
      </c>
      <c r="O31" s="163">
        <f>'2023'!H105</f>
        <v>53719884.62999998</v>
      </c>
      <c r="P31" s="164">
        <f>+N31-O31</f>
        <v>1139894.2200000435</v>
      </c>
      <c r="Q31" s="166">
        <f>IF(+IF(ISERROR(N31/O31),"…",N31/O31-1)&gt;200%,"...",IF(ISERROR(N31/O31),"…",N31/O31-1))</f>
        <v>2.1219223158261746E-2</v>
      </c>
      <c r="R31" s="163">
        <f>'2022'!H31</f>
        <v>44549685.590000004</v>
      </c>
      <c r="S31" s="164">
        <f t="shared" si="4"/>
        <v>10310093.26000002</v>
      </c>
      <c r="T31" s="168">
        <f t="shared" si="5"/>
        <v>0.23142909143929646</v>
      </c>
      <c r="W31" s="498"/>
      <c r="Y31" s="498"/>
    </row>
    <row r="32" spans="1:25">
      <c r="A32" s="150">
        <v>412</v>
      </c>
      <c r="B32" s="522" t="str">
        <f>+VLOOKUP($A32,Master!$D$30:$G$226,4,FALSE)</f>
        <v>Ostala lična primanja</v>
      </c>
      <c r="C32" s="523"/>
      <c r="D32" s="523"/>
      <c r="E32" s="523"/>
      <c r="F32" s="523"/>
      <c r="G32" s="163">
        <f>'2023'!S32</f>
        <v>1311400.47</v>
      </c>
      <c r="H32" s="163">
        <f>SUM('2023'!G106:H106)</f>
        <v>2821435.0700000003</v>
      </c>
      <c r="I32" s="164">
        <f t="shared" si="0"/>
        <v>-1510034.6000000003</v>
      </c>
      <c r="J32" s="166">
        <f t="shared" si="1"/>
        <v>-0.53520090398536091</v>
      </c>
      <c r="K32" s="163">
        <f>SUM('2022'!G32:H32)</f>
        <v>1349320.59</v>
      </c>
      <c r="L32" s="164">
        <f t="shared" si="7"/>
        <v>-37920.120000000112</v>
      </c>
      <c r="M32" s="168">
        <f t="shared" si="2"/>
        <v>-2.8103121141877851E-2</v>
      </c>
      <c r="N32" s="163">
        <f>'2023'!H32</f>
        <v>1011906.84</v>
      </c>
      <c r="O32" s="163">
        <f>'2023'!H106</f>
        <v>1655470.5600000005</v>
      </c>
      <c r="P32" s="164">
        <f t="shared" si="6"/>
        <v>-643563.72000000055</v>
      </c>
      <c r="Q32" s="166">
        <f t="shared" si="3"/>
        <v>-0.38874972201257407</v>
      </c>
      <c r="R32" s="163">
        <f>'2022'!H32</f>
        <v>1212395.8600000001</v>
      </c>
      <c r="S32" s="164">
        <f t="shared" si="4"/>
        <v>-200489.02000000014</v>
      </c>
      <c r="T32" s="168">
        <f t="shared" si="5"/>
        <v>-0.16536597213388715</v>
      </c>
      <c r="W32" s="498"/>
      <c r="Y32" s="498"/>
    </row>
    <row r="33" spans="1:25">
      <c r="A33" s="150">
        <v>413</v>
      </c>
      <c r="B33" s="522" t="str">
        <f>+VLOOKUP($A33,Master!$D$30:$G$226,4,FALSE)</f>
        <v>Rashodi za materijal</v>
      </c>
      <c r="C33" s="523"/>
      <c r="D33" s="523"/>
      <c r="E33" s="523"/>
      <c r="F33" s="523"/>
      <c r="G33" s="163">
        <f>'2023'!S33</f>
        <v>2868813.3000000003</v>
      </c>
      <c r="H33" s="163">
        <f>SUM('2023'!G107:H107)</f>
        <v>9102975.4700000007</v>
      </c>
      <c r="I33" s="164">
        <f t="shared" si="0"/>
        <v>-6234162.1699999999</v>
      </c>
      <c r="J33" s="166">
        <f t="shared" si="1"/>
        <v>-0.6848488376735129</v>
      </c>
      <c r="K33" s="163">
        <f>SUM('2022'!G33:H33)</f>
        <v>3629489.83</v>
      </c>
      <c r="L33" s="164">
        <f t="shared" si="7"/>
        <v>-760676.5299999998</v>
      </c>
      <c r="M33" s="168">
        <f t="shared" si="2"/>
        <v>-0.20958221833617863</v>
      </c>
      <c r="N33" s="163">
        <f>'2023'!H33</f>
        <v>2774531.14</v>
      </c>
      <c r="O33" s="163">
        <f>'2023'!H107</f>
        <v>3920733.4100000006</v>
      </c>
      <c r="P33" s="164">
        <f t="shared" si="6"/>
        <v>-1146202.2700000005</v>
      </c>
      <c r="Q33" s="166">
        <f t="shared" si="3"/>
        <v>-0.2923438423731034</v>
      </c>
      <c r="R33" s="163">
        <f>'2022'!H33</f>
        <v>3489117.82</v>
      </c>
      <c r="S33" s="164">
        <f t="shared" si="4"/>
        <v>-714586.6799999997</v>
      </c>
      <c r="T33" s="168">
        <f t="shared" si="5"/>
        <v>-0.20480439952583762</v>
      </c>
      <c r="W33" s="498"/>
      <c r="Y33" s="498"/>
    </row>
    <row r="34" spans="1:25">
      <c r="A34" s="150">
        <v>414</v>
      </c>
      <c r="B34" s="522" t="str">
        <f>+VLOOKUP($A34,Master!$D$30:$G$226,4,FALSE)</f>
        <v>Rashodi za usluge</v>
      </c>
      <c r="C34" s="523"/>
      <c r="D34" s="523"/>
      <c r="E34" s="523"/>
      <c r="F34" s="523"/>
      <c r="G34" s="163">
        <f>'2023'!S34</f>
        <v>4633298.57</v>
      </c>
      <c r="H34" s="163">
        <f>SUM('2023'!G108:H108)</f>
        <v>10400819.479999993</v>
      </c>
      <c r="I34" s="164">
        <f t="shared" si="0"/>
        <v>-5767520.9099999927</v>
      </c>
      <c r="J34" s="166">
        <f t="shared" si="1"/>
        <v>-0.55452562378286729</v>
      </c>
      <c r="K34" s="163">
        <f>SUM('2022'!G34:H34)</f>
        <v>3990872.49</v>
      </c>
      <c r="L34" s="164">
        <f t="shared" si="7"/>
        <v>642426.08000000007</v>
      </c>
      <c r="M34" s="168">
        <f t="shared" si="2"/>
        <v>0.16097384258949354</v>
      </c>
      <c r="N34" s="163">
        <f>'2023'!H34</f>
        <v>3754705.58</v>
      </c>
      <c r="O34" s="163">
        <f>'2023'!H108</f>
        <v>5497012.4799999967</v>
      </c>
      <c r="P34" s="164">
        <f t="shared" si="6"/>
        <v>-1742306.8999999966</v>
      </c>
      <c r="Q34" s="166">
        <f t="shared" si="3"/>
        <v>-0.3169552382024059</v>
      </c>
      <c r="R34" s="163">
        <f>'2022'!H34</f>
        <v>2912682.95</v>
      </c>
      <c r="S34" s="164">
        <f t="shared" si="4"/>
        <v>842022.62999999989</v>
      </c>
      <c r="T34" s="168">
        <f t="shared" si="5"/>
        <v>0.28908832319013644</v>
      </c>
      <c r="W34" s="498"/>
      <c r="Y34" s="498"/>
    </row>
    <row r="35" spans="1:25">
      <c r="A35" s="150">
        <v>415</v>
      </c>
      <c r="B35" s="522" t="str">
        <f>+VLOOKUP($A35,Master!$D$30:$G$226,4,FALSE)</f>
        <v>Rashodi za tekuće održavanje</v>
      </c>
      <c r="C35" s="523"/>
      <c r="D35" s="523"/>
      <c r="E35" s="523"/>
      <c r="F35" s="523"/>
      <c r="G35" s="163">
        <f>'2023'!S35</f>
        <v>558249.99</v>
      </c>
      <c r="H35" s="163">
        <f>SUM('2023'!G109:H109)</f>
        <v>5061623.790000001</v>
      </c>
      <c r="I35" s="164">
        <f t="shared" si="0"/>
        <v>-4503373.8000000007</v>
      </c>
      <c r="J35" s="166">
        <f t="shared" si="1"/>
        <v>-0.8897093080874745</v>
      </c>
      <c r="K35" s="163">
        <f>SUM('2022'!G35:H35)</f>
        <v>1838112.05</v>
      </c>
      <c r="L35" s="164">
        <f t="shared" si="7"/>
        <v>-1279862.06</v>
      </c>
      <c r="M35" s="168">
        <f t="shared" si="2"/>
        <v>-0.69629164337397165</v>
      </c>
      <c r="N35" s="163">
        <f>'2023'!H35</f>
        <v>554177.94999999995</v>
      </c>
      <c r="O35" s="163">
        <f>'2023'!H109</f>
        <v>2548372.8700000006</v>
      </c>
      <c r="P35" s="164">
        <f t="shared" si="6"/>
        <v>-1994194.9200000006</v>
      </c>
      <c r="Q35" s="166">
        <f t="shared" si="3"/>
        <v>-0.78253655243159148</v>
      </c>
      <c r="R35" s="163">
        <f>'2022'!H35</f>
        <v>1786959.03</v>
      </c>
      <c r="S35" s="164">
        <f t="shared" si="4"/>
        <v>-1232781.08</v>
      </c>
      <c r="T35" s="168">
        <f t="shared" si="5"/>
        <v>-0.68987652167940305</v>
      </c>
      <c r="W35" s="498"/>
      <c r="Y35" s="498"/>
    </row>
    <row r="36" spans="1:25">
      <c r="A36" s="150">
        <v>416</v>
      </c>
      <c r="B36" s="522" t="str">
        <f>+VLOOKUP($A36,Master!$D$30:$G$226,4,FALSE)</f>
        <v>Kamate</v>
      </c>
      <c r="C36" s="523"/>
      <c r="D36" s="523"/>
      <c r="E36" s="523"/>
      <c r="F36" s="523"/>
      <c r="G36" s="163">
        <f>'2023'!S36</f>
        <v>6397962.5499999998</v>
      </c>
      <c r="H36" s="163">
        <f>SUM('2023'!G110:H110)</f>
        <v>7883430.9899999984</v>
      </c>
      <c r="I36" s="164">
        <f t="shared" si="0"/>
        <v>-1485468.4399999985</v>
      </c>
      <c r="J36" s="166">
        <f t="shared" si="1"/>
        <v>-0.18842918037644907</v>
      </c>
      <c r="K36" s="163">
        <f>SUM('2022'!G36:H36)</f>
        <v>5125106.4399999995</v>
      </c>
      <c r="L36" s="164">
        <f t="shared" si="7"/>
        <v>1272856.1100000003</v>
      </c>
      <c r="M36" s="168">
        <f t="shared" si="2"/>
        <v>0.24835700973266039</v>
      </c>
      <c r="N36" s="163">
        <f>'2023'!H36</f>
        <v>2431066.79</v>
      </c>
      <c r="O36" s="163">
        <f>'2023'!H110</f>
        <v>2441310.6099999994</v>
      </c>
      <c r="P36" s="164">
        <f t="shared" si="6"/>
        <v>-10243.819999999367</v>
      </c>
      <c r="Q36" s="166">
        <f t="shared" si="3"/>
        <v>-4.1960330480026453E-3</v>
      </c>
      <c r="R36" s="163">
        <f>'2022'!H36</f>
        <v>1270344.19</v>
      </c>
      <c r="S36" s="164">
        <f t="shared" si="4"/>
        <v>1160722.6000000001</v>
      </c>
      <c r="T36" s="168">
        <f t="shared" si="5"/>
        <v>0.91370717411633162</v>
      </c>
      <c r="W36" s="498"/>
      <c r="Y36" s="498"/>
    </row>
    <row r="37" spans="1:25">
      <c r="A37" s="150">
        <v>417</v>
      </c>
      <c r="B37" s="522" t="str">
        <f>+VLOOKUP($A37,Master!$D$30:$G$226,4,FALSE)</f>
        <v>Renta</v>
      </c>
      <c r="C37" s="523"/>
      <c r="D37" s="523"/>
      <c r="E37" s="523"/>
      <c r="F37" s="523"/>
      <c r="G37" s="163">
        <f>'2023'!S37</f>
        <v>932761.21</v>
      </c>
      <c r="H37" s="163">
        <f>SUM('2023'!G111:H111)</f>
        <v>1937693.9199999995</v>
      </c>
      <c r="I37" s="164">
        <f t="shared" si="0"/>
        <v>-1004932.7099999995</v>
      </c>
      <c r="J37" s="166">
        <f t="shared" si="1"/>
        <v>-0.51862303928785602</v>
      </c>
      <c r="K37" s="163">
        <f>SUM('2022'!G37:H37)</f>
        <v>965398.53</v>
      </c>
      <c r="L37" s="164">
        <f t="shared" si="7"/>
        <v>-32637.320000000065</v>
      </c>
      <c r="M37" s="168">
        <f t="shared" si="2"/>
        <v>-3.3807095190004133E-2</v>
      </c>
      <c r="N37" s="163">
        <f>'2023'!H37</f>
        <v>930382.84</v>
      </c>
      <c r="O37" s="163">
        <f>'2023'!H111</f>
        <v>924144.61999999965</v>
      </c>
      <c r="P37" s="164">
        <f t="shared" si="6"/>
        <v>6238.2200000003213</v>
      </c>
      <c r="Q37" s="166">
        <f t="shared" si="3"/>
        <v>6.7502638277550098E-3</v>
      </c>
      <c r="R37" s="163">
        <f>'2022'!H37</f>
        <v>743329.49</v>
      </c>
      <c r="S37" s="164">
        <f t="shared" si="4"/>
        <v>187053.34999999998</v>
      </c>
      <c r="T37" s="168">
        <f t="shared" si="5"/>
        <v>0.25164257912059962</v>
      </c>
      <c r="W37" s="498"/>
      <c r="Y37" s="498"/>
    </row>
    <row r="38" spans="1:25">
      <c r="A38" s="150">
        <v>418</v>
      </c>
      <c r="B38" s="522" t="str">
        <f>+VLOOKUP($A38,Master!$D$30:$G$226,4,FALSE)</f>
        <v>Subvencije</v>
      </c>
      <c r="C38" s="523"/>
      <c r="D38" s="523"/>
      <c r="E38" s="523"/>
      <c r="F38" s="523"/>
      <c r="G38" s="163">
        <f>'2023'!S38</f>
        <v>3926814.94</v>
      </c>
      <c r="H38" s="163">
        <f>SUM('2023'!G112:H112)</f>
        <v>11238035.940000001</v>
      </c>
      <c r="I38" s="164">
        <f t="shared" si="0"/>
        <v>-7311221.0000000019</v>
      </c>
      <c r="J38" s="166">
        <f t="shared" si="1"/>
        <v>-0.6505781827923216</v>
      </c>
      <c r="K38" s="163">
        <f>SUM('2022'!G38:H38)</f>
        <v>3197349.54</v>
      </c>
      <c r="L38" s="164">
        <f t="shared" si="7"/>
        <v>729465.39999999991</v>
      </c>
      <c r="M38" s="168">
        <f t="shared" si="2"/>
        <v>0.22814690445136621</v>
      </c>
      <c r="N38" s="163">
        <f>'2023'!H38</f>
        <v>2045866.64</v>
      </c>
      <c r="O38" s="163">
        <f>'2023'!H112</f>
        <v>5336017.9700000007</v>
      </c>
      <c r="P38" s="164">
        <f t="shared" si="6"/>
        <v>-3290151.330000001</v>
      </c>
      <c r="Q38" s="166">
        <f t="shared" si="3"/>
        <v>-0.61659300034178866</v>
      </c>
      <c r="R38" s="163">
        <f>'2022'!H38</f>
        <v>2686343.5</v>
      </c>
      <c r="S38" s="164">
        <f t="shared" si="4"/>
        <v>-640476.8600000001</v>
      </c>
      <c r="T38" s="168">
        <f t="shared" si="5"/>
        <v>-0.23841956920252383</v>
      </c>
      <c r="W38" s="498"/>
      <c r="Y38" s="498"/>
    </row>
    <row r="39" spans="1:25">
      <c r="A39" s="150">
        <v>419</v>
      </c>
      <c r="B39" s="522" t="str">
        <f>+VLOOKUP($A39,Master!$D$30:$G$226,4,FALSE)</f>
        <v>Ostali izdaci</v>
      </c>
      <c r="C39" s="523"/>
      <c r="D39" s="523"/>
      <c r="E39" s="523"/>
      <c r="F39" s="523"/>
      <c r="G39" s="163">
        <f>'2023'!S39</f>
        <v>3641947.44</v>
      </c>
      <c r="H39" s="163">
        <f>SUM('2023'!G113:H113)</f>
        <v>9794710.0500000007</v>
      </c>
      <c r="I39" s="164">
        <f t="shared" si="0"/>
        <v>-6152762.6100000013</v>
      </c>
      <c r="J39" s="166">
        <f t="shared" si="1"/>
        <v>-0.62817200086489544</v>
      </c>
      <c r="K39" s="163">
        <f>SUM('2022'!G39:H39)</f>
        <v>3675253.8600000003</v>
      </c>
      <c r="L39" s="164">
        <f t="shared" si="7"/>
        <v>-33306.420000000391</v>
      </c>
      <c r="M39" s="168">
        <f t="shared" si="2"/>
        <v>-9.06234542394313E-3</v>
      </c>
      <c r="N39" s="163">
        <f>'2023'!H39</f>
        <v>3225412.79</v>
      </c>
      <c r="O39" s="163">
        <f>'2023'!H113</f>
        <v>4930647.88</v>
      </c>
      <c r="P39" s="164">
        <f t="shared" si="6"/>
        <v>-1705235.0899999999</v>
      </c>
      <c r="Q39" s="166">
        <f t="shared" si="3"/>
        <v>-0.34584402121207647</v>
      </c>
      <c r="R39" s="163">
        <f>'2022'!H39</f>
        <v>3021749.14</v>
      </c>
      <c r="S39" s="164">
        <f t="shared" si="4"/>
        <v>203663.64999999991</v>
      </c>
      <c r="T39" s="168">
        <f t="shared" si="5"/>
        <v>6.7399258033709497E-2</v>
      </c>
      <c r="W39" s="498"/>
      <c r="Y39" s="498"/>
    </row>
    <row r="40" spans="1:25">
      <c r="A40" s="150">
        <v>42</v>
      </c>
      <c r="B40" s="538" t="str">
        <f>+VLOOKUP($A40,Master!$D$30:$G$226,4,FALSE)</f>
        <v>Transferi za socijalnu zaštitu</v>
      </c>
      <c r="C40" s="539"/>
      <c r="D40" s="539"/>
      <c r="E40" s="539"/>
      <c r="F40" s="539"/>
      <c r="G40" s="193">
        <f>'2023'!S40</f>
        <v>124807136.64999999</v>
      </c>
      <c r="H40" s="193">
        <f>SUM('2023'!G114:H114)</f>
        <v>129224438.28</v>
      </c>
      <c r="I40" s="194">
        <f t="shared" si="0"/>
        <v>-4417301.6300000101</v>
      </c>
      <c r="J40" s="196">
        <f t="shared" si="1"/>
        <v>-3.4183175325001036E-2</v>
      </c>
      <c r="K40" s="193">
        <f>SUM('2022'!G40:H40)</f>
        <v>92487959.090000004</v>
      </c>
      <c r="L40" s="194">
        <f t="shared" si="7"/>
        <v>32319177.559999987</v>
      </c>
      <c r="M40" s="198">
        <f t="shared" si="2"/>
        <v>0.34944200172641082</v>
      </c>
      <c r="N40" s="193">
        <f>'2023'!H40</f>
        <v>66352380.529999994</v>
      </c>
      <c r="O40" s="193">
        <f>'2023'!H114</f>
        <v>64593275.310000002</v>
      </c>
      <c r="P40" s="194">
        <f t="shared" si="6"/>
        <v>1759105.2199999914</v>
      </c>
      <c r="Q40" s="196">
        <f t="shared" si="3"/>
        <v>2.7233565902295309E-2</v>
      </c>
      <c r="R40" s="193">
        <f>'2022'!H40</f>
        <v>49026101.470000006</v>
      </c>
      <c r="S40" s="194">
        <f t="shared" si="4"/>
        <v>17326279.059999987</v>
      </c>
      <c r="T40" s="198">
        <f t="shared" si="5"/>
        <v>0.35340927670135591</v>
      </c>
      <c r="W40" s="498"/>
      <c r="Y40" s="498"/>
    </row>
    <row r="41" spans="1:25">
      <c r="A41" s="150">
        <v>421</v>
      </c>
      <c r="B41" s="522" t="str">
        <f>+VLOOKUP($A41,Master!$D$30:$G$226,4,FALSE)</f>
        <v>Prava iz oblasti socijalne zaštite</v>
      </c>
      <c r="C41" s="523"/>
      <c r="D41" s="523"/>
      <c r="E41" s="523"/>
      <c r="F41" s="523"/>
      <c r="G41" s="163">
        <f>'2023'!S41</f>
        <v>33792905.120000005</v>
      </c>
      <c r="H41" s="163">
        <f>SUM('2023'!G115:H115)</f>
        <v>31689496.960000001</v>
      </c>
      <c r="I41" s="164">
        <f t="shared" si="0"/>
        <v>2103408.1600000039</v>
      </c>
      <c r="J41" s="166">
        <f t="shared" si="1"/>
        <v>6.6375561677581185E-2</v>
      </c>
      <c r="K41" s="163">
        <f>SUM('2022'!G41:H41)</f>
        <v>16372442</v>
      </c>
      <c r="L41" s="164">
        <f t="shared" si="7"/>
        <v>17420463.120000005</v>
      </c>
      <c r="M41" s="168">
        <f t="shared" si="2"/>
        <v>1.0640112892139122</v>
      </c>
      <c r="N41" s="163">
        <f>'2023'!H41</f>
        <v>18599658.190000001</v>
      </c>
      <c r="O41" s="163">
        <f>'2023'!H115</f>
        <v>15844748.42</v>
      </c>
      <c r="P41" s="164">
        <f t="shared" si="6"/>
        <v>2754909.7700000014</v>
      </c>
      <c r="Q41" s="166">
        <f t="shared" si="3"/>
        <v>0.17386894994953805</v>
      </c>
      <c r="R41" s="163">
        <f>'2022'!H41</f>
        <v>8172331.5999999996</v>
      </c>
      <c r="S41" s="164">
        <f t="shared" si="4"/>
        <v>10427326.590000002</v>
      </c>
      <c r="T41" s="168">
        <f t="shared" si="5"/>
        <v>1.2759304321425238</v>
      </c>
      <c r="W41" s="498"/>
      <c r="Y41" s="498"/>
    </row>
    <row r="42" spans="1:25">
      <c r="A42" s="150">
        <v>422</v>
      </c>
      <c r="B42" s="522" t="str">
        <f>+VLOOKUP($A42,Master!$D$30:$G$226,4,FALSE)</f>
        <v>Sredstva za tehnološke viškove</v>
      </c>
      <c r="C42" s="523"/>
      <c r="D42" s="523"/>
      <c r="E42" s="523"/>
      <c r="F42" s="523"/>
      <c r="G42" s="163">
        <f>'2023'!S42</f>
        <v>2161292.37</v>
      </c>
      <c r="H42" s="163">
        <f>SUM('2023'!G116:H116)</f>
        <v>3818301.3400000003</v>
      </c>
      <c r="I42" s="164">
        <f t="shared" si="0"/>
        <v>-1657008.9700000002</v>
      </c>
      <c r="J42" s="166">
        <f t="shared" si="1"/>
        <v>-0.43396495521225675</v>
      </c>
      <c r="K42" s="163">
        <f>SUM('2022'!G42:H42)</f>
        <v>2498429.92</v>
      </c>
      <c r="L42" s="164">
        <f t="shared" si="7"/>
        <v>-337137.54999999981</v>
      </c>
      <c r="M42" s="168">
        <f t="shared" si="2"/>
        <v>-0.13493976649142903</v>
      </c>
      <c r="N42" s="163">
        <f>'2023'!H42</f>
        <v>2161292.37</v>
      </c>
      <c r="O42" s="163">
        <f>'2023'!H116</f>
        <v>1909150.6700000002</v>
      </c>
      <c r="P42" s="164">
        <f t="shared" si="6"/>
        <v>252141.69999999995</v>
      </c>
      <c r="Q42" s="166">
        <f t="shared" si="3"/>
        <v>0.13207008957548649</v>
      </c>
      <c r="R42" s="163">
        <f>'2022'!H42</f>
        <v>2498429.92</v>
      </c>
      <c r="S42" s="164">
        <f t="shared" si="4"/>
        <v>-337137.54999999981</v>
      </c>
      <c r="T42" s="168">
        <f t="shared" si="5"/>
        <v>-0.13493976649142903</v>
      </c>
      <c r="W42" s="498"/>
      <c r="Y42" s="498"/>
    </row>
    <row r="43" spans="1:25">
      <c r="A43" s="150">
        <v>423</v>
      </c>
      <c r="B43" s="522" t="str">
        <f>+VLOOKUP($A43,Master!$D$30:$G$226,4,FALSE)</f>
        <v>Prava iz oblasti penzijskog i invalidskog osiguranja</v>
      </c>
      <c r="C43" s="523"/>
      <c r="D43" s="523"/>
      <c r="E43" s="523"/>
      <c r="F43" s="523"/>
      <c r="G43" s="163">
        <f>'2023'!S43</f>
        <v>85747280.590000004</v>
      </c>
      <c r="H43" s="163">
        <f>SUM('2023'!G117:H117)</f>
        <v>88406639.980000019</v>
      </c>
      <c r="I43" s="164">
        <f t="shared" si="0"/>
        <v>-2659359.3900000155</v>
      </c>
      <c r="J43" s="166">
        <f t="shared" si="1"/>
        <v>-3.0080991547712155E-2</v>
      </c>
      <c r="K43" s="163">
        <f>SUM('2022'!G43:H43)</f>
        <v>71499378.599999994</v>
      </c>
      <c r="L43" s="164">
        <f t="shared" si="7"/>
        <v>14247901.99000001</v>
      </c>
      <c r="M43" s="168">
        <f t="shared" si="2"/>
        <v>0.19927308836779201</v>
      </c>
      <c r="N43" s="163">
        <f>'2023'!H43</f>
        <v>43437180.119999997</v>
      </c>
      <c r="O43" s="163">
        <f>'2023'!H117</f>
        <v>44134376.220000006</v>
      </c>
      <c r="P43" s="164">
        <f t="shared" si="6"/>
        <v>-697196.10000000894</v>
      </c>
      <c r="Q43" s="166">
        <f t="shared" si="3"/>
        <v>-1.5797121421284865E-2</v>
      </c>
      <c r="R43" s="163">
        <f>'2022'!H43</f>
        <v>36349865.18</v>
      </c>
      <c r="S43" s="164">
        <f t="shared" si="4"/>
        <v>7087314.9399999976</v>
      </c>
      <c r="T43" s="168">
        <f t="shared" si="5"/>
        <v>0.19497499935431661</v>
      </c>
      <c r="W43" s="498"/>
      <c r="Y43" s="498"/>
    </row>
    <row r="44" spans="1:25">
      <c r="A44" s="150">
        <v>424</v>
      </c>
      <c r="B44" s="522" t="str">
        <f>+VLOOKUP($A44,Master!$D$30:$G$226,4,FALSE)</f>
        <v>Ostala prava iz oblasti zdravstvene zaštite</v>
      </c>
      <c r="C44" s="523"/>
      <c r="D44" s="523"/>
      <c r="E44" s="523"/>
      <c r="F44" s="523"/>
      <c r="G44" s="163">
        <f>'2023'!S44</f>
        <v>2158844.7000000002</v>
      </c>
      <c r="H44" s="163">
        <f>SUM('2023'!G118:H118)</f>
        <v>3510000</v>
      </c>
      <c r="I44" s="164">
        <f t="shared" si="0"/>
        <v>-1351155.2999999998</v>
      </c>
      <c r="J44" s="166">
        <f t="shared" si="1"/>
        <v>-0.38494452991452988</v>
      </c>
      <c r="K44" s="163">
        <f>SUM('2022'!G44:H44)</f>
        <v>1173334.71</v>
      </c>
      <c r="L44" s="164">
        <f t="shared" si="7"/>
        <v>985509.99000000022</v>
      </c>
      <c r="M44" s="168">
        <f t="shared" si="2"/>
        <v>0.83992230145479985</v>
      </c>
      <c r="N44" s="163">
        <f>'2023'!H44</f>
        <v>1207435.98</v>
      </c>
      <c r="O44" s="163">
        <f>'2023'!H118</f>
        <v>1755000</v>
      </c>
      <c r="P44" s="164">
        <f t="shared" si="6"/>
        <v>-547564.02</v>
      </c>
      <c r="Q44" s="166">
        <f t="shared" si="3"/>
        <v>-0.31200229059829065</v>
      </c>
      <c r="R44" s="163">
        <f>'2022'!H44</f>
        <v>1069904.71</v>
      </c>
      <c r="S44" s="164">
        <f t="shared" si="4"/>
        <v>137531.27000000002</v>
      </c>
      <c r="T44" s="168">
        <f t="shared" si="5"/>
        <v>0.12854534494011149</v>
      </c>
      <c r="W44" s="498"/>
      <c r="Y44" s="498"/>
    </row>
    <row r="45" spans="1:25">
      <c r="A45" s="150">
        <v>425</v>
      </c>
      <c r="B45" s="522" t="str">
        <f>+VLOOKUP($A45,Master!$D$30:$G$226,4,FALSE)</f>
        <v>Ostala prava iz zdravstvenog osiguranja</v>
      </c>
      <c r="C45" s="523"/>
      <c r="D45" s="523"/>
      <c r="E45" s="523"/>
      <c r="F45" s="523"/>
      <c r="G45" s="163">
        <f>'2023'!S45</f>
        <v>946813.87</v>
      </c>
      <c r="H45" s="163">
        <f>SUM('2023'!G119:H119)</f>
        <v>1800000</v>
      </c>
      <c r="I45" s="164">
        <f t="shared" si="0"/>
        <v>-853186.13</v>
      </c>
      <c r="J45" s="166">
        <f t="shared" si="1"/>
        <v>-0.47399229444444446</v>
      </c>
      <c r="K45" s="163">
        <f>SUM('2022'!G45:H45)</f>
        <v>944373.8600000001</v>
      </c>
      <c r="L45" s="164">
        <f t="shared" si="7"/>
        <v>2440.0099999998929</v>
      </c>
      <c r="M45" s="168">
        <f t="shared" si="2"/>
        <v>2.5837330990925444E-3</v>
      </c>
      <c r="N45" s="163">
        <f>'2023'!H45</f>
        <v>946813.87</v>
      </c>
      <c r="O45" s="163">
        <f>'2023'!H119</f>
        <v>950000</v>
      </c>
      <c r="P45" s="164">
        <f t="shared" si="6"/>
        <v>-3186.1300000000047</v>
      </c>
      <c r="Q45" s="166">
        <f t="shared" si="3"/>
        <v>-3.3538210526316004E-3</v>
      </c>
      <c r="R45" s="163">
        <f>'2022'!H45</f>
        <v>935570.06</v>
      </c>
      <c r="S45" s="164">
        <f t="shared" si="4"/>
        <v>11243.809999999939</v>
      </c>
      <c r="T45" s="168">
        <f t="shared" si="5"/>
        <v>1.2018137904070914E-2</v>
      </c>
      <c r="W45" s="498"/>
      <c r="Y45" s="498"/>
    </row>
    <row r="46" spans="1:25">
      <c r="A46" s="150">
        <v>43</v>
      </c>
      <c r="B46" s="536" t="str">
        <f>+VLOOKUP($A46,Master!$D$30:$G$226,4,FALSE)</f>
        <v xml:space="preserve">Transferi institucijama, pojedincima, nevladinom i javnom sektoru </v>
      </c>
      <c r="C46" s="537"/>
      <c r="D46" s="537"/>
      <c r="E46" s="537"/>
      <c r="F46" s="537"/>
      <c r="G46" s="175">
        <f>'2023'!S46</f>
        <v>26433832.98</v>
      </c>
      <c r="H46" s="175">
        <f>SUM('2023'!G120:H120)</f>
        <v>38381147.600000001</v>
      </c>
      <c r="I46" s="176">
        <f t="shared" si="0"/>
        <v>-11947314.620000001</v>
      </c>
      <c r="J46" s="178">
        <f t="shared" si="1"/>
        <v>-0.31128080755980314</v>
      </c>
      <c r="K46" s="175">
        <f>SUM('2022'!G46:H46)</f>
        <v>31678807.16</v>
      </c>
      <c r="L46" s="176">
        <f t="shared" si="7"/>
        <v>-5244974.18</v>
      </c>
      <c r="M46" s="180">
        <f t="shared" si="2"/>
        <v>-0.16556728772990836</v>
      </c>
      <c r="N46" s="175">
        <f>'2023'!H46</f>
        <v>24858213.859999999</v>
      </c>
      <c r="O46" s="175">
        <f>'2023'!H120</f>
        <v>24954537.810000002</v>
      </c>
      <c r="P46" s="176">
        <f t="shared" si="6"/>
        <v>-96323.95000000298</v>
      </c>
      <c r="Q46" s="178">
        <f t="shared" si="3"/>
        <v>-3.8599773208944921E-3</v>
      </c>
      <c r="R46" s="175">
        <f>'2022'!H46</f>
        <v>24325892.07</v>
      </c>
      <c r="S46" s="176">
        <f t="shared" si="4"/>
        <v>532321.78999999911</v>
      </c>
      <c r="T46" s="180">
        <f t="shared" si="5"/>
        <v>2.188292986206597E-2</v>
      </c>
      <c r="W46" s="498"/>
      <c r="Y46" s="498"/>
    </row>
    <row r="47" spans="1:25">
      <c r="A47" s="150">
        <v>44</v>
      </c>
      <c r="B47" s="536" t="str">
        <f>+VLOOKUP($A47,Master!$D$30:$G$226,4,FALSE)</f>
        <v>Kapitalni izdaci</v>
      </c>
      <c r="C47" s="537"/>
      <c r="D47" s="537"/>
      <c r="E47" s="537"/>
      <c r="F47" s="537"/>
      <c r="G47" s="175">
        <f>'2023'!S47</f>
        <v>4870642.3499999996</v>
      </c>
      <c r="H47" s="175">
        <f>SUM('2023'!G121:H121)</f>
        <v>38492984.25</v>
      </c>
      <c r="I47" s="176">
        <f t="shared" si="0"/>
        <v>-33622341.899999999</v>
      </c>
      <c r="J47" s="178">
        <f t="shared" si="1"/>
        <v>-0.87346675128208595</v>
      </c>
      <c r="K47" s="175">
        <f>SUM('2022'!G47:H47)</f>
        <v>27667013.050000001</v>
      </c>
      <c r="L47" s="176">
        <f t="shared" si="7"/>
        <v>-22796370.700000003</v>
      </c>
      <c r="M47" s="180">
        <f t="shared" si="2"/>
        <v>-0.82395489020814261</v>
      </c>
      <c r="N47" s="175">
        <f>'2023'!H47</f>
        <v>4450440.01</v>
      </c>
      <c r="O47" s="175">
        <f>'2023'!H121</f>
        <v>18087649.369999997</v>
      </c>
      <c r="P47" s="176">
        <f t="shared" si="6"/>
        <v>-13637209.359999998</v>
      </c>
      <c r="Q47" s="178">
        <f t="shared" si="3"/>
        <v>-0.753951443940446</v>
      </c>
      <c r="R47" s="175">
        <f>'2022'!H47</f>
        <v>11650538.710000001</v>
      </c>
      <c r="S47" s="176">
        <f t="shared" si="4"/>
        <v>-7200098.7000000011</v>
      </c>
      <c r="T47" s="180">
        <f t="shared" si="5"/>
        <v>-0.61800564585223383</v>
      </c>
      <c r="W47" s="498"/>
      <c r="Y47" s="498"/>
    </row>
    <row r="48" spans="1:25">
      <c r="A48" s="150">
        <v>451</v>
      </c>
      <c r="B48" s="540" t="str">
        <f>+VLOOKUP($A48,Master!$D$30:$G$226,4,FALSE)</f>
        <v>Pozajmice i krediti</v>
      </c>
      <c r="C48" s="541"/>
      <c r="D48" s="541"/>
      <c r="E48" s="541"/>
      <c r="F48" s="541"/>
      <c r="G48" s="163">
        <f>'2023'!S48</f>
        <v>1052216</v>
      </c>
      <c r="H48" s="163">
        <f>SUM('2023'!G122:H122)</f>
        <v>1003207</v>
      </c>
      <c r="I48" s="164">
        <f>G48-H48</f>
        <v>49009</v>
      </c>
      <c r="J48" s="282">
        <f t="shared" si="1"/>
        <v>4.8852330575843261E-2</v>
      </c>
      <c r="K48" s="163">
        <f>SUM('2022'!G48:H48)</f>
        <v>6196353.3100000005</v>
      </c>
      <c r="L48" s="279">
        <f t="shared" si="7"/>
        <v>-5144137.3100000005</v>
      </c>
      <c r="M48" s="503">
        <f t="shared" si="2"/>
        <v>-0.83018786254459076</v>
      </c>
      <c r="N48" s="163">
        <f>'2023'!H48</f>
        <v>1052216</v>
      </c>
      <c r="O48" s="163">
        <f>'2023'!H122</f>
        <v>1001600</v>
      </c>
      <c r="P48" s="164">
        <f t="shared" si="6"/>
        <v>50616</v>
      </c>
      <c r="Q48" s="282">
        <f t="shared" si="3"/>
        <v>5.0535143769968149E-2</v>
      </c>
      <c r="R48" s="163">
        <f>'2022'!H48</f>
        <v>1133077.69</v>
      </c>
      <c r="S48" s="279">
        <f>+N48-R48-S58</f>
        <v>-577234.66999999993</v>
      </c>
      <c r="T48" s="503">
        <f t="shared" si="5"/>
        <v>-7.136464755563221E-2</v>
      </c>
      <c r="W48" s="498"/>
      <c r="Y48" s="498"/>
    </row>
    <row r="49" spans="1:25">
      <c r="A49" s="150">
        <v>47</v>
      </c>
      <c r="B49" s="540" t="str">
        <f>+VLOOKUP($A49,Master!$D$30:$G$226,4,FALSE)</f>
        <v>Rezerve</v>
      </c>
      <c r="C49" s="541"/>
      <c r="D49" s="541"/>
      <c r="E49" s="541"/>
      <c r="F49" s="541"/>
      <c r="G49" s="163">
        <f>'2023'!S49</f>
        <v>198585.54</v>
      </c>
      <c r="H49" s="163">
        <f>SUM('2023'!G123:H123)</f>
        <v>5791942.3399999999</v>
      </c>
      <c r="I49" s="164">
        <f t="shared" ref="I49:I50" si="8">G49-H49</f>
        <v>-5593356.7999999998</v>
      </c>
      <c r="J49" s="283">
        <f t="shared" si="1"/>
        <v>-0.96571348118772882</v>
      </c>
      <c r="K49" s="163">
        <f>SUM('2022'!G49:H49)</f>
        <v>761510</v>
      </c>
      <c r="L49" s="280">
        <f t="shared" si="7"/>
        <v>-562924.46</v>
      </c>
      <c r="M49" s="504">
        <f t="shared" si="2"/>
        <v>-0.73922136281861039</v>
      </c>
      <c r="N49" s="163">
        <f>'2023'!H49</f>
        <v>198585.54</v>
      </c>
      <c r="O49" s="163">
        <f>'2023'!H123</f>
        <v>3237333.25</v>
      </c>
      <c r="P49" s="164">
        <f t="shared" si="6"/>
        <v>-3038747.71</v>
      </c>
      <c r="Q49" s="283">
        <f t="shared" si="3"/>
        <v>-0.93865767758076801</v>
      </c>
      <c r="R49" s="163">
        <f>'2022'!H49</f>
        <v>495710</v>
      </c>
      <c r="S49" s="280">
        <f t="shared" si="4"/>
        <v>-297124.45999999996</v>
      </c>
      <c r="T49" s="504">
        <f t="shared" si="5"/>
        <v>-0.59939170079280224</v>
      </c>
      <c r="W49" s="498"/>
      <c r="Y49" s="498"/>
    </row>
    <row r="50" spans="1:25" ht="15.75" thickBot="1">
      <c r="A50" s="150">
        <v>462</v>
      </c>
      <c r="B50" s="542" t="str">
        <f>+VLOOKUP($A50,Master!$D$30:$G$226,4,FALSE)</f>
        <v>Otplata garancija</v>
      </c>
      <c r="C50" s="543"/>
      <c r="D50" s="543"/>
      <c r="E50" s="543"/>
      <c r="F50" s="543"/>
      <c r="G50" s="163">
        <f>'2023'!S50</f>
        <v>1168915.48</v>
      </c>
      <c r="H50" s="163">
        <f>SUM('2023'!G124:H124)</f>
        <v>0.32</v>
      </c>
      <c r="I50" s="164">
        <f t="shared" si="8"/>
        <v>1168915.1599999999</v>
      </c>
      <c r="J50" s="284" t="str">
        <f t="shared" si="1"/>
        <v>...</v>
      </c>
      <c r="K50" s="163">
        <f>SUM('2022'!G50:H50)</f>
        <v>0</v>
      </c>
      <c r="L50" s="280">
        <f t="shared" si="7"/>
        <v>1168915.48</v>
      </c>
      <c r="M50" s="505" t="str">
        <f t="shared" si="2"/>
        <v>...</v>
      </c>
      <c r="N50" s="163">
        <f>'2023'!H50</f>
        <v>1168915.48</v>
      </c>
      <c r="O50" s="163">
        <f>'2023'!H124</f>
        <v>0.16</v>
      </c>
      <c r="P50" s="164">
        <f t="shared" si="6"/>
        <v>1168915.32</v>
      </c>
      <c r="Q50" s="284" t="str">
        <f t="shared" si="3"/>
        <v>...</v>
      </c>
      <c r="R50" s="163">
        <f>'2022'!H50</f>
        <v>0</v>
      </c>
      <c r="S50" s="280">
        <f t="shared" si="4"/>
        <v>1168915.48</v>
      </c>
      <c r="T50" s="505" t="str">
        <f t="shared" si="5"/>
        <v>...</v>
      </c>
      <c r="W50" s="498"/>
      <c r="Y50" s="498"/>
    </row>
    <row r="51" spans="1:25" ht="15" customHeight="1" thickBot="1">
      <c r="A51" s="144">
        <v>4630</v>
      </c>
      <c r="B51" s="542" t="str">
        <f>+VLOOKUP($A51,Master!$D$30:$G$226,4,FALSE)</f>
        <v>Otplata obaveza iz prethodnog perioda</v>
      </c>
      <c r="C51" s="543"/>
      <c r="D51" s="543"/>
      <c r="E51" s="543"/>
      <c r="F51" s="543"/>
      <c r="G51" s="314">
        <f>'2023'!S51</f>
        <v>2851421.8600000003</v>
      </c>
      <c r="H51" s="314">
        <f>SUM('2023'!G125:H125)</f>
        <v>4647026.7800000086</v>
      </c>
      <c r="I51" s="281">
        <f>G51-H51</f>
        <v>-1795604.9200000083</v>
      </c>
      <c r="J51" s="285">
        <f t="shared" si="1"/>
        <v>-0.38639865983298782</v>
      </c>
      <c r="K51" s="314">
        <f>SUM('2022'!G51:H51)</f>
        <v>21475445.229999997</v>
      </c>
      <c r="L51" s="287">
        <f t="shared" si="7"/>
        <v>-18624023.369999997</v>
      </c>
      <c r="M51" s="506">
        <f t="shared" si="2"/>
        <v>-0.86722408641769522</v>
      </c>
      <c r="N51" s="314">
        <f>'2023'!H51</f>
        <v>1883378.35</v>
      </c>
      <c r="O51" s="314">
        <f>'2023'!H125</f>
        <v>2056111.4400000044</v>
      </c>
      <c r="P51" s="281">
        <f>N51-O51</f>
        <v>-172733.09000000427</v>
      </c>
      <c r="Q51" s="285">
        <f t="shared" si="3"/>
        <v>-8.4009595316489216E-2</v>
      </c>
      <c r="R51" s="314">
        <f>'2022'!H51</f>
        <v>3946389.9</v>
      </c>
      <c r="S51" s="287">
        <f>+N51-R51</f>
        <v>-2063011.5499999998</v>
      </c>
      <c r="T51" s="506">
        <f t="shared" si="5"/>
        <v>-0.52275918048543546</v>
      </c>
      <c r="W51" s="498"/>
      <c r="Y51" s="498"/>
    </row>
    <row r="52" spans="1:25" ht="15.75" thickBot="1">
      <c r="A52" s="144">
        <v>1005</v>
      </c>
      <c r="B52" s="542" t="str">
        <f>+VLOOKUP($A52,Master!$D$30:$G$228,4,FALSE)</f>
        <v>Neto povećanje obaveza</v>
      </c>
      <c r="C52" s="543"/>
      <c r="D52" s="543"/>
      <c r="E52" s="543"/>
      <c r="F52" s="543"/>
      <c r="G52" s="163">
        <f>'2023'!S52</f>
        <v>0</v>
      </c>
      <c r="H52" s="163">
        <f>SUM('2023'!G126:H126)</f>
        <v>0</v>
      </c>
      <c r="I52" s="281">
        <f>G52-H52</f>
        <v>0</v>
      </c>
      <c r="J52" s="285" t="str">
        <f t="shared" si="1"/>
        <v>...</v>
      </c>
      <c r="K52" s="163">
        <f>SUM('2022'!G52:H52)</f>
        <v>0</v>
      </c>
      <c r="L52" s="287">
        <f t="shared" si="7"/>
        <v>0</v>
      </c>
      <c r="M52" s="506" t="str">
        <f t="shared" si="2"/>
        <v>...</v>
      </c>
      <c r="N52" s="163">
        <f>'2023'!H52</f>
        <v>0</v>
      </c>
      <c r="O52" s="163">
        <f>'2023'!H126</f>
        <v>0</v>
      </c>
      <c r="P52" s="281">
        <f>N52-O52</f>
        <v>0</v>
      </c>
      <c r="Q52" s="285" t="str">
        <f t="shared" si="3"/>
        <v>...</v>
      </c>
      <c r="R52" s="163">
        <f>'2022'!H52</f>
        <v>0</v>
      </c>
      <c r="S52" s="287">
        <f>+N52-R52</f>
        <v>0</v>
      </c>
      <c r="T52" s="506" t="str">
        <f t="shared" si="5"/>
        <v>...</v>
      </c>
      <c r="W52" s="498"/>
      <c r="Y52" s="498"/>
    </row>
    <row r="53" spans="1:25" ht="15.75" thickBot="1">
      <c r="A53" s="144">
        <v>1000</v>
      </c>
      <c r="B53" s="544" t="str">
        <f>+VLOOKUP($A53,Master!$D$30:$G$226,4,FALSE)</f>
        <v>Suficit / deficit</v>
      </c>
      <c r="C53" s="545"/>
      <c r="D53" s="545"/>
      <c r="E53" s="545"/>
      <c r="F53" s="545"/>
      <c r="G53" s="151">
        <f>'2023'!S53</f>
        <v>25753498.829999968</v>
      </c>
      <c r="H53" s="151">
        <f>SUM('2023'!G127:H127)</f>
        <v>-89468479.422111854</v>
      </c>
      <c r="I53" s="320">
        <f>+G53-H53</f>
        <v>115221978.25211182</v>
      </c>
      <c r="J53" s="286">
        <f t="shared" si="1"/>
        <v>-1.2878499667854539</v>
      </c>
      <c r="K53" s="151">
        <f>SUM('2022'!G53:H53)</f>
        <v>-60364543.410000011</v>
      </c>
      <c r="L53" s="288">
        <f t="shared" si="7"/>
        <v>86118042.23999998</v>
      </c>
      <c r="M53" s="507">
        <f t="shared" si="2"/>
        <v>-1.4266328771027137</v>
      </c>
      <c r="N53" s="151">
        <f>'2023'!H53</f>
        <v>-27303072.020000011</v>
      </c>
      <c r="O53" s="151">
        <f>'2023'!H127</f>
        <v>-67071345.814519361</v>
      </c>
      <c r="P53" s="320">
        <f>N53-O53</f>
        <v>39768273.79451935</v>
      </c>
      <c r="Q53" s="286">
        <f t="shared" si="3"/>
        <v>-0.59292494151668651</v>
      </c>
      <c r="R53" s="151">
        <f>'2022'!H53</f>
        <v>-27602265.75000003</v>
      </c>
      <c r="S53" s="288">
        <f t="shared" si="4"/>
        <v>299193.73000001907</v>
      </c>
      <c r="T53" s="507">
        <f t="shared" si="5"/>
        <v>-1.0839462698819191E-2</v>
      </c>
      <c r="W53" s="498"/>
      <c r="Y53" s="498"/>
    </row>
    <row r="54" spans="1:25" ht="15.75" thickBot="1">
      <c r="A54" s="144">
        <v>1001</v>
      </c>
      <c r="B54" s="546" t="str">
        <f>+VLOOKUP($A54,Master!$D$30:$G$226,4,FALSE)</f>
        <v>Primarni suficit/deficit</v>
      </c>
      <c r="C54" s="547"/>
      <c r="D54" s="547"/>
      <c r="E54" s="547"/>
      <c r="F54" s="547"/>
      <c r="G54" s="151">
        <f>'2023'!S54</f>
        <v>32151461.379999965</v>
      </c>
      <c r="H54" s="151">
        <f>SUM('2023'!G128:H128)</f>
        <v>-81585048.432111859</v>
      </c>
      <c r="I54" s="206">
        <f t="shared" si="0"/>
        <v>113736509.81211182</v>
      </c>
      <c r="J54" s="208">
        <f t="shared" si="1"/>
        <v>-1.3940852153413095</v>
      </c>
      <c r="K54" s="151">
        <f>SUM('2022'!G54:H54)</f>
        <v>-55239436.970000014</v>
      </c>
      <c r="L54" s="206">
        <f t="shared" si="7"/>
        <v>87390898.349999979</v>
      </c>
      <c r="M54" s="210">
        <f t="shared" si="2"/>
        <v>-1.582038180393857</v>
      </c>
      <c r="N54" s="151">
        <f>'2023'!H54</f>
        <v>-24872005.230000012</v>
      </c>
      <c r="O54" s="151">
        <f>'2023'!H128</f>
        <v>-64630035.204519361</v>
      </c>
      <c r="P54" s="206">
        <f t="shared" si="6"/>
        <v>39758029.97451935</v>
      </c>
      <c r="Q54" s="208">
        <f t="shared" si="3"/>
        <v>-0.61516336558856155</v>
      </c>
      <c r="R54" s="151">
        <f>'2022'!H54</f>
        <v>-26331921.560000028</v>
      </c>
      <c r="S54" s="206">
        <f t="shared" si="4"/>
        <v>1459916.3300000168</v>
      </c>
      <c r="T54" s="210">
        <f t="shared" si="5"/>
        <v>-5.5442833014424875E-2</v>
      </c>
      <c r="W54" s="498"/>
      <c r="Y54" s="498"/>
    </row>
    <row r="55" spans="1:25">
      <c r="A55" s="144">
        <v>46</v>
      </c>
      <c r="B55" s="568" t="str">
        <f>+VLOOKUP($A55,Master!$D$30:$G$226,4,FALSE)</f>
        <v>Otplata dugova</v>
      </c>
      <c r="C55" s="569"/>
      <c r="D55" s="569"/>
      <c r="E55" s="569"/>
      <c r="F55" s="569"/>
      <c r="G55" s="488">
        <f>'2023'!S55</f>
        <v>35707729.230000004</v>
      </c>
      <c r="H55" s="488">
        <f>SUM('2023'!G129:H129)</f>
        <v>37645201.049999997</v>
      </c>
      <c r="I55" s="489">
        <f t="shared" si="0"/>
        <v>-1937471.8199999928</v>
      </c>
      <c r="J55" s="490">
        <f t="shared" si="1"/>
        <v>-5.1466634948413748E-2</v>
      </c>
      <c r="K55" s="488">
        <f>SUM('2022'!G55:H55)</f>
        <v>42640260.100000001</v>
      </c>
      <c r="L55" s="489">
        <f t="shared" si="7"/>
        <v>-6932530.8699999973</v>
      </c>
      <c r="M55" s="508">
        <f t="shared" si="2"/>
        <v>-0.16258181478588107</v>
      </c>
      <c r="N55" s="488">
        <f>'2023'!H55</f>
        <v>5811024.9299999997</v>
      </c>
      <c r="O55" s="488">
        <f>'2023'!H129</f>
        <v>6803111.790000001</v>
      </c>
      <c r="P55" s="489">
        <f t="shared" si="6"/>
        <v>-992086.86000000127</v>
      </c>
      <c r="Q55" s="490">
        <f t="shared" si="3"/>
        <v>-0.14582839303894501</v>
      </c>
      <c r="R55" s="488">
        <f>'2022'!H55</f>
        <v>14209001.130000001</v>
      </c>
      <c r="S55" s="489">
        <f t="shared" si="4"/>
        <v>-8397976.2000000011</v>
      </c>
      <c r="T55" s="508">
        <f t="shared" si="5"/>
        <v>-0.59103212978631103</v>
      </c>
      <c r="W55" s="498"/>
      <c r="Y55" s="498"/>
    </row>
    <row r="56" spans="1:25">
      <c r="A56" s="144">
        <v>4611</v>
      </c>
      <c r="B56" s="540" t="str">
        <f>+VLOOKUP($A56,Master!$D$30:$G$226,4,FALSE)</f>
        <v>Otplata hartija od vrijednosti i kredita rezidentima</v>
      </c>
      <c r="C56" s="541"/>
      <c r="D56" s="541"/>
      <c r="E56" s="541"/>
      <c r="F56" s="541"/>
      <c r="G56" s="163">
        <f>'2023'!S56</f>
        <v>4272026.17</v>
      </c>
      <c r="H56" s="163">
        <f>SUM('2023'!G130:H130)</f>
        <v>4905350.82</v>
      </c>
      <c r="I56" s="212">
        <f t="shared" si="0"/>
        <v>-633324.65000000037</v>
      </c>
      <c r="J56" s="214">
        <f t="shared" si="1"/>
        <v>-0.12910894108079318</v>
      </c>
      <c r="K56" s="163">
        <f>SUM('2022'!G56:H56)</f>
        <v>5478165.3000000007</v>
      </c>
      <c r="L56" s="212">
        <f t="shared" si="7"/>
        <v>-1206139.1300000008</v>
      </c>
      <c r="M56" s="216">
        <f t="shared" si="2"/>
        <v>-0.22017209484350553</v>
      </c>
      <c r="N56" s="163">
        <f>'2023'!H56</f>
        <v>2400192.8199999998</v>
      </c>
      <c r="O56" s="163">
        <f>'2023'!H130</f>
        <v>2428191.7600000002</v>
      </c>
      <c r="P56" s="212">
        <f t="shared" si="6"/>
        <v>-27998.94000000041</v>
      </c>
      <c r="Q56" s="214">
        <f t="shared" si="3"/>
        <v>-1.1530777948114079E-2</v>
      </c>
      <c r="R56" s="163">
        <f>'2022'!H56</f>
        <v>3087670.22</v>
      </c>
      <c r="S56" s="212">
        <f t="shared" si="4"/>
        <v>-687477.40000000037</v>
      </c>
      <c r="T56" s="216">
        <f t="shared" si="5"/>
        <v>-0.22265246966691943</v>
      </c>
      <c r="W56" s="498"/>
      <c r="Y56" s="498"/>
    </row>
    <row r="57" spans="1:25">
      <c r="A57" s="144">
        <v>4612</v>
      </c>
      <c r="B57" s="540" t="str">
        <f>+VLOOKUP($A57,Master!$D$30:$G$226,4,FALSE)</f>
        <v>Otplata hartija od vrijednosti i kredita nerezidentima</v>
      </c>
      <c r="C57" s="541"/>
      <c r="D57" s="541"/>
      <c r="E57" s="541"/>
      <c r="F57" s="541"/>
      <c r="G57" s="163">
        <f>'2023'!S57</f>
        <v>31435703.059999999</v>
      </c>
      <c r="H57" s="163">
        <f>SUM('2023'!G131:H131)</f>
        <v>32739850.23</v>
      </c>
      <c r="I57" s="212">
        <f t="shared" si="0"/>
        <v>-1304147.1700000018</v>
      </c>
      <c r="J57" s="214">
        <f t="shared" si="1"/>
        <v>-3.9833632739253999E-2</v>
      </c>
      <c r="K57" s="163">
        <f>SUM('2022'!G57:H57)</f>
        <v>37162094.799999997</v>
      </c>
      <c r="L57" s="212">
        <f t="shared" si="7"/>
        <v>-5726391.7399999984</v>
      </c>
      <c r="M57" s="216">
        <f t="shared" si="2"/>
        <v>-0.15409227522879032</v>
      </c>
      <c r="N57" s="163">
        <f>'2023'!H57</f>
        <v>3410832.11</v>
      </c>
      <c r="O57" s="163">
        <f>'2023'!H131</f>
        <v>4374920.03</v>
      </c>
      <c r="P57" s="212">
        <f t="shared" si="6"/>
        <v>-964087.92000000039</v>
      </c>
      <c r="Q57" s="214">
        <f t="shared" si="3"/>
        <v>-0.22036698119942555</v>
      </c>
      <c r="R57" s="163">
        <f>'2022'!H57</f>
        <v>11121330.91</v>
      </c>
      <c r="S57" s="212">
        <f t="shared" si="4"/>
        <v>-7710498.8000000007</v>
      </c>
      <c r="T57" s="216">
        <f t="shared" si="5"/>
        <v>-0.69330720058576156</v>
      </c>
      <c r="W57" s="498"/>
      <c r="Y57" s="498"/>
    </row>
    <row r="58" spans="1:25" ht="15.75" thickBot="1">
      <c r="A58" s="144">
        <v>4418</v>
      </c>
      <c r="B58" s="538" t="str">
        <f>+VLOOKUP($A58,Master!$D$30:$G$226,4,FALSE)</f>
        <v>Izdaci za kupovinu hartija od vrijednosti</v>
      </c>
      <c r="C58" s="539"/>
      <c r="D58" s="539"/>
      <c r="E58" s="539"/>
      <c r="F58" s="539"/>
      <c r="G58" s="335">
        <f>'2023'!S58</f>
        <v>496372.98</v>
      </c>
      <c r="H58" s="335">
        <f>SUM('2023'!G132:H132)</f>
        <v>13333.34</v>
      </c>
      <c r="I58" s="336">
        <f t="shared" ref="I58:I64" si="9">+G58-H58</f>
        <v>483039.63999999996</v>
      </c>
      <c r="J58" s="337" t="str">
        <f t="shared" si="1"/>
        <v>...</v>
      </c>
      <c r="K58" s="335">
        <f>SUM('2022'!G58:H58)</f>
        <v>0</v>
      </c>
      <c r="L58" s="336">
        <f t="shared" ref="L58:L64" si="10">+G58-K58</f>
        <v>496372.98</v>
      </c>
      <c r="M58" s="509" t="str">
        <f t="shared" si="2"/>
        <v>...</v>
      </c>
      <c r="N58" s="335">
        <f>'2023'!H58</f>
        <v>496372.98</v>
      </c>
      <c r="O58" s="335">
        <f>'2023'!H132</f>
        <v>6666.67</v>
      </c>
      <c r="P58" s="336">
        <f t="shared" ref="P58:P64" si="11">+N58-O58</f>
        <v>489706.31</v>
      </c>
      <c r="Q58" s="337" t="str">
        <f t="shared" si="3"/>
        <v>...</v>
      </c>
      <c r="R58" s="335">
        <f>'2022'!H58</f>
        <v>0</v>
      </c>
      <c r="S58" s="336">
        <f t="shared" ref="S58:S64" si="12">+N58-R58</f>
        <v>496372.98</v>
      </c>
      <c r="T58" s="509" t="str">
        <f t="shared" si="5"/>
        <v>...</v>
      </c>
      <c r="W58" s="498"/>
      <c r="Y58" s="498"/>
    </row>
    <row r="59" spans="1:25" ht="15.75" thickBot="1">
      <c r="A59" s="144">
        <v>1002</v>
      </c>
      <c r="B59" s="566" t="str">
        <f>+VLOOKUP($A59,Master!$D$30:$G$226,4,FALSE)</f>
        <v>Nedostajuća sredstva</v>
      </c>
      <c r="C59" s="567"/>
      <c r="D59" s="567"/>
      <c r="E59" s="567"/>
      <c r="F59" s="567"/>
      <c r="G59" s="319">
        <f>'2023'!S59</f>
        <v>-10450603.380000029</v>
      </c>
      <c r="H59" s="319">
        <f>SUM('2023'!G133:H133)</f>
        <v>-127127013.81211185</v>
      </c>
      <c r="I59" s="321">
        <f t="shared" si="9"/>
        <v>116676410.43211183</v>
      </c>
      <c r="J59" s="322">
        <f t="shared" si="1"/>
        <v>-0.9177939993505585</v>
      </c>
      <c r="K59" s="319">
        <f>SUM('2022'!G59:H59)</f>
        <v>-103004803.51000002</v>
      </c>
      <c r="L59" s="321">
        <f t="shared" si="10"/>
        <v>92554200.129999995</v>
      </c>
      <c r="M59" s="510">
        <f t="shared" si="2"/>
        <v>-0.89854256283314538</v>
      </c>
      <c r="N59" s="319">
        <f>'2023'!H59</f>
        <v>-33610469.930000007</v>
      </c>
      <c r="O59" s="319">
        <f>'2023'!H133</f>
        <v>-73881124.274519369</v>
      </c>
      <c r="P59" s="321">
        <f t="shared" si="11"/>
        <v>40270654.344519362</v>
      </c>
      <c r="Q59" s="322">
        <f t="shared" si="3"/>
        <v>-0.54507365365592009</v>
      </c>
      <c r="R59" s="319">
        <f>'2022'!H59</f>
        <v>-41811266.880000032</v>
      </c>
      <c r="S59" s="321">
        <f t="shared" si="12"/>
        <v>8200796.9500000253</v>
      </c>
      <c r="T59" s="510">
        <f t="shared" si="5"/>
        <v>-0.19613844692954729</v>
      </c>
      <c r="W59" s="498"/>
      <c r="Y59" s="498"/>
    </row>
    <row r="60" spans="1:25" ht="15.75" thickBot="1">
      <c r="A60" s="144">
        <v>1003</v>
      </c>
      <c r="B60" s="530" t="str">
        <f>+VLOOKUP($A60,Master!$D$30:$G$226,4,FALSE)</f>
        <v>Finansiranje</v>
      </c>
      <c r="C60" s="531"/>
      <c r="D60" s="531"/>
      <c r="E60" s="531"/>
      <c r="F60" s="531"/>
      <c r="G60" s="151">
        <f>'2023'!S60</f>
        <v>10450603.380000025</v>
      </c>
      <c r="H60" s="151">
        <f>SUM('2023'!G134:H134)</f>
        <v>127127013.81211185</v>
      </c>
      <c r="I60" s="320">
        <f t="shared" si="9"/>
        <v>-116676410.43211183</v>
      </c>
      <c r="J60" s="323">
        <f t="shared" si="1"/>
        <v>-0.9177939993505585</v>
      </c>
      <c r="K60" s="151">
        <f>SUM('2022'!G60:H60)</f>
        <v>103004803.51000002</v>
      </c>
      <c r="L60" s="320">
        <f t="shared" si="10"/>
        <v>-92554200.129999995</v>
      </c>
      <c r="M60" s="511">
        <f t="shared" si="2"/>
        <v>-0.89854256283314549</v>
      </c>
      <c r="N60" s="151">
        <f>'2023'!H60</f>
        <v>33610469.930000007</v>
      </c>
      <c r="O60" s="151">
        <f>'2023'!H134</f>
        <v>73881124.274519369</v>
      </c>
      <c r="P60" s="320">
        <f t="shared" si="11"/>
        <v>-40270654.344519362</v>
      </c>
      <c r="Q60" s="323">
        <f t="shared" si="3"/>
        <v>-0.54507365365592009</v>
      </c>
      <c r="R60" s="151">
        <f>'2022'!H60</f>
        <v>41811266.880000032</v>
      </c>
      <c r="S60" s="320">
        <f t="shared" si="12"/>
        <v>-8200796.9500000253</v>
      </c>
      <c r="T60" s="511">
        <f t="shared" si="5"/>
        <v>-0.19613844692954729</v>
      </c>
      <c r="W60" s="498"/>
      <c r="Y60" s="498"/>
    </row>
    <row r="61" spans="1:25">
      <c r="A61" s="144">
        <v>7511</v>
      </c>
      <c r="B61" s="564" t="str">
        <f>+VLOOKUP($A61,Master!$D$30:$G$226,4,FALSE)</f>
        <v>Pozajmice i krediti od domaćih izvora</v>
      </c>
      <c r="C61" s="565"/>
      <c r="D61" s="565"/>
      <c r="E61" s="565"/>
      <c r="F61" s="565"/>
      <c r="G61" s="163">
        <f>'2023'!S61</f>
        <v>0</v>
      </c>
      <c r="H61" s="163">
        <f>SUM('2023'!G135:H135)</f>
        <v>0</v>
      </c>
      <c r="I61" s="212">
        <f t="shared" si="9"/>
        <v>0</v>
      </c>
      <c r="J61" s="214" t="str">
        <f t="shared" si="1"/>
        <v>...</v>
      </c>
      <c r="K61" s="163">
        <f>SUM('2022'!G61:H61)</f>
        <v>0</v>
      </c>
      <c r="L61" s="212">
        <f t="shared" si="10"/>
        <v>0</v>
      </c>
      <c r="M61" s="216" t="str">
        <f t="shared" si="2"/>
        <v>...</v>
      </c>
      <c r="N61" s="163">
        <f>'2023'!H61</f>
        <v>0</v>
      </c>
      <c r="O61" s="163">
        <f>'2023'!H135</f>
        <v>0</v>
      </c>
      <c r="P61" s="212">
        <f t="shared" si="11"/>
        <v>0</v>
      </c>
      <c r="Q61" s="214" t="str">
        <f t="shared" si="3"/>
        <v>...</v>
      </c>
      <c r="R61" s="163">
        <f>'2022'!H61</f>
        <v>0</v>
      </c>
      <c r="S61" s="212">
        <f t="shared" si="12"/>
        <v>0</v>
      </c>
      <c r="T61" s="216" t="str">
        <f t="shared" si="5"/>
        <v>...</v>
      </c>
      <c r="W61" s="498"/>
      <c r="Y61" s="498"/>
    </row>
    <row r="62" spans="1:25">
      <c r="A62" s="144">
        <v>7512</v>
      </c>
      <c r="B62" s="540" t="str">
        <f>+VLOOKUP($A62,Master!$D$30:$G$226,4,FALSE)</f>
        <v>Pozajmice i krediti od inostranih izvora</v>
      </c>
      <c r="C62" s="541"/>
      <c r="D62" s="541"/>
      <c r="E62" s="541"/>
      <c r="F62" s="541"/>
      <c r="G62" s="163">
        <f>'2023'!S62</f>
        <v>1084550.78</v>
      </c>
      <c r="H62" s="163">
        <f>SUM('2023'!G136:H136)</f>
        <v>0</v>
      </c>
      <c r="I62" s="212">
        <f t="shared" si="9"/>
        <v>1084550.78</v>
      </c>
      <c r="J62" s="214" t="str">
        <f t="shared" si="1"/>
        <v>...</v>
      </c>
      <c r="K62" s="163">
        <f>SUM('2022'!G62:H62)</f>
        <v>29737472.560000002</v>
      </c>
      <c r="L62" s="212">
        <f t="shared" si="10"/>
        <v>-28652921.780000001</v>
      </c>
      <c r="M62" s="216">
        <f t="shared" si="2"/>
        <v>-0.96352915407280326</v>
      </c>
      <c r="N62" s="163">
        <f>'2023'!H62</f>
        <v>1062785.51</v>
      </c>
      <c r="O62" s="163">
        <f>'2023'!H136</f>
        <v>0</v>
      </c>
      <c r="P62" s="212">
        <f t="shared" si="11"/>
        <v>1062785.51</v>
      </c>
      <c r="Q62" s="214" t="str">
        <f t="shared" si="3"/>
        <v>...</v>
      </c>
      <c r="R62" s="163">
        <f>'2022'!H62</f>
        <v>11882727.800000001</v>
      </c>
      <c r="S62" s="212">
        <f t="shared" si="12"/>
        <v>-10819942.290000001</v>
      </c>
      <c r="T62" s="216">
        <f t="shared" si="5"/>
        <v>-0.91056047669458517</v>
      </c>
      <c r="W62" s="498"/>
      <c r="Y62" s="498"/>
    </row>
    <row r="63" spans="1:25">
      <c r="A63" s="144">
        <v>72</v>
      </c>
      <c r="B63" s="540" t="str">
        <f>+VLOOKUP($A63,Master!$D$30:$G$226,4,FALSE)</f>
        <v>Primici od prodaje imovine</v>
      </c>
      <c r="C63" s="541"/>
      <c r="D63" s="541"/>
      <c r="E63" s="541"/>
      <c r="F63" s="541"/>
      <c r="G63" s="163">
        <f>'2023'!S63</f>
        <v>741849.74</v>
      </c>
      <c r="H63" s="163">
        <f>SUM('2023'!G137:H137)</f>
        <v>1000000</v>
      </c>
      <c r="I63" s="212">
        <f t="shared" si="9"/>
        <v>-258150.26</v>
      </c>
      <c r="J63" s="214">
        <f t="shared" si="1"/>
        <v>-0.25815025999999996</v>
      </c>
      <c r="K63" s="163">
        <f>SUM('2022'!G63:H63)</f>
        <v>780752.2</v>
      </c>
      <c r="L63" s="212">
        <f t="shared" si="10"/>
        <v>-38902.459999999963</v>
      </c>
      <c r="M63" s="216">
        <f t="shared" si="2"/>
        <v>-4.982689770198534E-2</v>
      </c>
      <c r="N63" s="163">
        <f>'2023'!H63</f>
        <v>77041.679999999993</v>
      </c>
      <c r="O63" s="163">
        <f>'2023'!H137</f>
        <v>500000</v>
      </c>
      <c r="P63" s="212">
        <f t="shared" si="11"/>
        <v>-422958.32</v>
      </c>
      <c r="Q63" s="214">
        <f t="shared" si="3"/>
        <v>-0.84591664</v>
      </c>
      <c r="R63" s="163">
        <f>'2022'!H63</f>
        <v>70539.22</v>
      </c>
      <c r="S63" s="212">
        <f t="shared" si="12"/>
        <v>6502.4599999999919</v>
      </c>
      <c r="T63" s="216">
        <f t="shared" si="5"/>
        <v>9.2182193111860267E-2</v>
      </c>
      <c r="W63" s="498"/>
      <c r="Y63" s="498"/>
    </row>
    <row r="64" spans="1:25" ht="15.75" thickBot="1">
      <c r="A64" s="144">
        <v>1004</v>
      </c>
      <c r="B64" s="223" t="str">
        <f>+VLOOKUP($A64,Master!$D$30:$G$226,4,FALSE)</f>
        <v>Povećanje / smanjenje depozita</v>
      </c>
      <c r="C64" s="224"/>
      <c r="D64" s="224"/>
      <c r="E64" s="224"/>
      <c r="F64" s="224"/>
      <c r="G64" s="317">
        <f>'2023'!S64</f>
        <v>8624202.8600000255</v>
      </c>
      <c r="H64" s="317">
        <f>SUM('2023'!G138:H138)</f>
        <v>126127013.81211185</v>
      </c>
      <c r="I64" s="226">
        <f t="shared" si="9"/>
        <v>-117502810.95211183</v>
      </c>
      <c r="J64" s="228">
        <f t="shared" si="1"/>
        <v>-0.93162287285381007</v>
      </c>
      <c r="K64" s="317">
        <f>SUM('2022'!G64:H64)</f>
        <v>72486578.75</v>
      </c>
      <c r="L64" s="226">
        <f t="shared" si="10"/>
        <v>-63862375.889999971</v>
      </c>
      <c r="M64" s="230">
        <f t="shared" si="2"/>
        <v>-0.88102345277262761</v>
      </c>
      <c r="N64" s="317">
        <f>'2023'!H64</f>
        <v>32470642.740000006</v>
      </c>
      <c r="O64" s="317">
        <f>'2023'!H138</f>
        <v>73381124.274519369</v>
      </c>
      <c r="P64" s="226">
        <f t="shared" si="11"/>
        <v>-40910481.534519359</v>
      </c>
      <c r="Q64" s="228">
        <f t="shared" si="3"/>
        <v>-0.55750687849198011</v>
      </c>
      <c r="R64" s="317">
        <f>'2022'!H64</f>
        <v>29857999.860000029</v>
      </c>
      <c r="S64" s="226">
        <f t="shared" si="12"/>
        <v>2612642.8799999766</v>
      </c>
      <c r="T64" s="230">
        <f t="shared" si="5"/>
        <v>8.7502273837842148E-2</v>
      </c>
      <c r="W64" s="498"/>
      <c r="Y64" s="498"/>
    </row>
    <row r="65" spans="6:18">
      <c r="G65" s="290"/>
    </row>
    <row r="66" spans="6:18">
      <c r="G66" s="5"/>
    </row>
    <row r="67" spans="6:18">
      <c r="F67" s="290"/>
      <c r="G67" s="5"/>
      <c r="H67" s="290"/>
      <c r="N67" s="498"/>
    </row>
    <row r="68" spans="6:18">
      <c r="G68" s="5"/>
    </row>
    <row r="69" spans="6:18">
      <c r="G69" s="5"/>
      <c r="R69" s="344"/>
    </row>
    <row r="70" spans="6:18">
      <c r="G70" s="5"/>
    </row>
  </sheetData>
  <sheetProtection algorithmName="SHA-512" hashValue="GRrcRmpU1tcowqLAhkzyVxOFq+XtmOECRx6L6j1HsgyTqHdm6df36fX/2cruxp0HI6C3DeE1GX8O0gRQiu4FZQ==" saltValue="FlZsafUSkA6lQ9ZK3nIQrw==" spinCount="100000" sheet="1" objects="1" scenarios="1"/>
  <mergeCells count="61"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</mergeCells>
  <pageMargins left="0.11811023622047245" right="0.11811023622047245" top="0.19685039370078741" bottom="0.19685039370078741" header="0.31496062992125984" footer="0.31496062992125984"/>
  <pageSetup paperSize="9" scale="5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46"/>
  <sheetViews>
    <sheetView zoomScaleNormal="100" workbookViewId="0">
      <pane ySplit="1" topLeftCell="A2" activePane="bottomLeft" state="frozen"/>
      <selection pane="bottomLeft" activeCell="U15" sqref="U15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3.42578125" style="258" customWidth="1"/>
    <col min="7" max="7" width="12" style="258" customWidth="1"/>
    <col min="8" max="8" width="12.28515625" style="258" customWidth="1"/>
    <col min="9" max="9" width="10.7109375" style="258" customWidth="1"/>
    <col min="10" max="10" width="14.42578125" style="258" customWidth="1"/>
    <col min="11" max="11" width="10.7109375" style="258" customWidth="1"/>
    <col min="12" max="12" width="12.28515625" style="258" customWidth="1"/>
    <col min="13" max="14" width="10.7109375" style="258" customWidth="1"/>
    <col min="15" max="16" width="12.28515625" style="258" customWidth="1"/>
    <col min="17" max="17" width="15.42578125" style="258" customWidth="1"/>
    <col min="18" max="18" width="10.7109375" style="258" customWidth="1"/>
    <col min="19" max="19" width="13.28515625" style="258" customWidth="1"/>
    <col min="20" max="20" width="10.7109375" style="258" customWidth="1"/>
    <col min="21" max="21" width="16.85546875" style="291" bestFit="1" customWidth="1"/>
    <col min="22" max="22" width="15.85546875" style="258" bestFit="1" customWidth="1"/>
    <col min="23" max="23" width="12" style="258" bestFit="1" customWidth="1"/>
    <col min="24" max="16384" width="9.140625" style="258"/>
  </cols>
  <sheetData>
    <row r="1" spans="1:23" s="1" customFormat="1" ht="3" customHeight="1">
      <c r="A1" s="69"/>
      <c r="G1" s="1" t="s">
        <v>92</v>
      </c>
      <c r="O1" s="1" t="s">
        <v>838</v>
      </c>
      <c r="U1" s="499"/>
    </row>
    <row r="2" spans="1:23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7"/>
      <c r="M2" s="126"/>
      <c r="N2" s="126"/>
      <c r="O2" s="126"/>
      <c r="P2" s="126"/>
      <c r="Q2" s="126"/>
      <c r="R2" s="126"/>
      <c r="S2" s="126"/>
      <c r="T2" s="126"/>
      <c r="U2" s="499"/>
    </row>
    <row r="3" spans="1:23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499"/>
    </row>
    <row r="4" spans="1:23" s="1" customFormat="1" ht="15">
      <c r="A4" s="231"/>
      <c r="B4" s="497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7"/>
      <c r="T4" s="361"/>
      <c r="U4" s="499"/>
    </row>
    <row r="5" spans="1:23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  <c r="U5" s="499"/>
    </row>
    <row r="6" spans="1:23" ht="13.5" thickBot="1">
      <c r="A6" s="144"/>
      <c r="B6" s="233"/>
      <c r="C6" s="233"/>
      <c r="D6" s="233"/>
      <c r="E6" s="233"/>
      <c r="F6" s="233"/>
      <c r="G6" s="234" t="s">
        <v>843</v>
      </c>
      <c r="H6" s="234" t="s">
        <v>844</v>
      </c>
      <c r="I6" s="234" t="s">
        <v>845</v>
      </c>
      <c r="J6" s="234" t="s">
        <v>846</v>
      </c>
      <c r="K6" s="234" t="s">
        <v>847</v>
      </c>
      <c r="L6" s="234" t="s">
        <v>848</v>
      </c>
      <c r="M6" s="234" t="s">
        <v>849</v>
      </c>
      <c r="N6" s="234" t="s">
        <v>850</v>
      </c>
      <c r="O6" s="234" t="s">
        <v>851</v>
      </c>
      <c r="P6" s="234" t="s">
        <v>852</v>
      </c>
      <c r="Q6" s="234" t="s">
        <v>853</v>
      </c>
      <c r="R6" s="234" t="s">
        <v>854</v>
      </c>
      <c r="S6" s="233"/>
      <c r="T6" s="233"/>
    </row>
    <row r="7" spans="1:23" ht="15" customHeight="1" thickBot="1">
      <c r="A7" s="144"/>
      <c r="B7" s="619" t="str">
        <f>+Master!G252</f>
        <v>Ostvarenje budžeta</v>
      </c>
      <c r="C7" s="551"/>
      <c r="D7" s="551"/>
      <c r="E7" s="551"/>
      <c r="F7" s="551"/>
      <c r="G7" s="559">
        <v>2023</v>
      </c>
      <c r="H7" s="560"/>
      <c r="I7" s="560"/>
      <c r="J7" s="560"/>
      <c r="K7" s="560"/>
      <c r="L7" s="560"/>
      <c r="M7" s="560"/>
      <c r="N7" s="560"/>
      <c r="O7" s="560"/>
      <c r="P7" s="560"/>
      <c r="Q7" s="560"/>
      <c r="R7" s="563"/>
      <c r="S7" s="235" t="str">
        <f>+Master!G249</f>
        <v>BDP</v>
      </c>
      <c r="T7" s="236">
        <v>6174600000</v>
      </c>
    </row>
    <row r="8" spans="1:23" ht="16.5" customHeight="1">
      <c r="A8" s="144"/>
      <c r="B8" s="552"/>
      <c r="C8" s="553"/>
      <c r="D8" s="553"/>
      <c r="E8" s="553"/>
      <c r="F8" s="554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59" t="str">
        <f>+Master!G247</f>
        <v>Jan - Dec</v>
      </c>
      <c r="T8" s="563"/>
    </row>
    <row r="9" spans="1:23" ht="13.5" thickBot="1">
      <c r="A9" s="144"/>
      <c r="B9" s="555"/>
      <c r="C9" s="556"/>
      <c r="D9" s="556"/>
      <c r="E9" s="556"/>
      <c r="F9" s="557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3" ht="13.5" thickBot="1">
      <c r="A10" s="150">
        <v>7</v>
      </c>
      <c r="B10" s="530" t="str">
        <f>+VLOOKUP($A10,Master!$D$30:$G$226,4,FALSE)</f>
        <v>Prihodi budžeta</v>
      </c>
      <c r="C10" s="531"/>
      <c r="D10" s="531"/>
      <c r="E10" s="531"/>
      <c r="F10" s="531"/>
      <c r="G10" s="151">
        <f>+G11+G19+SUM(G24:G28)</f>
        <v>167796991.21999997</v>
      </c>
      <c r="H10" s="151">
        <f t="shared" ref="H10:R10" si="1">+H11+H19+SUM(H24:H28)</f>
        <v>144248887.16999999</v>
      </c>
      <c r="I10" s="151">
        <f t="shared" si="1"/>
        <v>0</v>
      </c>
      <c r="J10" s="151">
        <f t="shared" si="1"/>
        <v>0</v>
      </c>
      <c r="K10" s="151">
        <f t="shared" si="1"/>
        <v>0</v>
      </c>
      <c r="L10" s="151">
        <f t="shared" si="1"/>
        <v>0</v>
      </c>
      <c r="M10" s="151">
        <f t="shared" si="1"/>
        <v>0</v>
      </c>
      <c r="N10" s="151">
        <f t="shared" si="1"/>
        <v>0</v>
      </c>
      <c r="O10" s="151">
        <f t="shared" si="1"/>
        <v>0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239">
        <f>+SUM(G10:R10)</f>
        <v>312045878.38999999</v>
      </c>
      <c r="T10" s="461">
        <f>+S10/$T$7*100</f>
        <v>5.0537019141320894</v>
      </c>
    </row>
    <row r="11" spans="1:23">
      <c r="A11" s="150">
        <v>711</v>
      </c>
      <c r="B11" s="520" t="str">
        <f>+VLOOKUP($A11,Master!$D$30:$G$226,4,FALSE)</f>
        <v>Porezi</v>
      </c>
      <c r="C11" s="521"/>
      <c r="D11" s="521"/>
      <c r="E11" s="521"/>
      <c r="F11" s="521"/>
      <c r="G11" s="157">
        <f t="shared" ref="G11:R11" si="2">+SUM(G12:G18)</f>
        <v>103490146.19</v>
      </c>
      <c r="H11" s="157">
        <f t="shared" si="2"/>
        <v>91059566.450000003</v>
      </c>
      <c r="I11" s="157">
        <f t="shared" si="2"/>
        <v>0</v>
      </c>
      <c r="J11" s="157">
        <f t="shared" si="2"/>
        <v>0</v>
      </c>
      <c r="K11" s="157">
        <f t="shared" si="2"/>
        <v>0</v>
      </c>
      <c r="L11" s="157">
        <f>+SUM(L12:L18)</f>
        <v>0</v>
      </c>
      <c r="M11" s="157">
        <f t="shared" si="2"/>
        <v>0</v>
      </c>
      <c r="N11" s="157">
        <f t="shared" si="2"/>
        <v>0</v>
      </c>
      <c r="O11" s="157">
        <f t="shared" si="2"/>
        <v>0</v>
      </c>
      <c r="P11" s="157">
        <f t="shared" si="2"/>
        <v>0</v>
      </c>
      <c r="Q11" s="157">
        <f t="shared" si="2"/>
        <v>0</v>
      </c>
      <c r="R11" s="240">
        <f t="shared" si="2"/>
        <v>0</v>
      </c>
      <c r="S11" s="241">
        <f>+SUM(G11:R11)</f>
        <v>194549712.63999999</v>
      </c>
      <c r="T11" s="462">
        <f t="shared" ref="T11:T64" si="3">+S11/$T$7*100</f>
        <v>3.1508067346872668</v>
      </c>
    </row>
    <row r="12" spans="1:23">
      <c r="A12" s="150">
        <v>7111</v>
      </c>
      <c r="B12" s="522" t="str">
        <f>+VLOOKUP($A12,Master!$D$30:$G$226,4,FALSE)</f>
        <v>Porez na dohodak fizičkih lica</v>
      </c>
      <c r="C12" s="523"/>
      <c r="D12" s="523"/>
      <c r="E12" s="523"/>
      <c r="F12" s="523"/>
      <c r="G12" s="163">
        <v>1481487.87</v>
      </c>
      <c r="H12" s="163">
        <v>3944575.24</v>
      </c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242">
        <f t="shared" ref="S12:S63" si="4">+SUM(G12:R12)</f>
        <v>5426063.1100000003</v>
      </c>
      <c r="T12" s="463">
        <f t="shared" si="3"/>
        <v>8.787715981602047E-2</v>
      </c>
    </row>
    <row r="13" spans="1:23">
      <c r="A13" s="150">
        <v>7112</v>
      </c>
      <c r="B13" s="522" t="str">
        <f>+VLOOKUP($A13,Master!$D$30:$G$226,4,FALSE)</f>
        <v>Porez na dobit pravnih lica</v>
      </c>
      <c r="C13" s="523"/>
      <c r="D13" s="523"/>
      <c r="E13" s="523"/>
      <c r="F13" s="523"/>
      <c r="G13" s="163">
        <v>1258566.3799999999</v>
      </c>
      <c r="H13" s="163">
        <v>3765090.36</v>
      </c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242">
        <f t="shared" si="4"/>
        <v>5023656.74</v>
      </c>
      <c r="T13" s="463">
        <f t="shared" si="3"/>
        <v>8.136003530593075E-2</v>
      </c>
    </row>
    <row r="14" spans="1:23">
      <c r="A14" s="150">
        <v>7113</v>
      </c>
      <c r="B14" s="522" t="str">
        <f>+VLOOKUP($A14,Master!$D$30:$G$226,4,FALSE)</f>
        <v>Porez na promet nepokretnosti</v>
      </c>
      <c r="C14" s="523"/>
      <c r="D14" s="523"/>
      <c r="E14" s="523"/>
      <c r="F14" s="523"/>
      <c r="G14" s="163">
        <v>0</v>
      </c>
      <c r="H14" s="163">
        <v>0</v>
      </c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242">
        <f t="shared" si="4"/>
        <v>0</v>
      </c>
      <c r="T14" s="463">
        <f t="shared" si="3"/>
        <v>0</v>
      </c>
    </row>
    <row r="15" spans="1:23">
      <c r="A15" s="150">
        <v>7114</v>
      </c>
      <c r="B15" s="522" t="str">
        <f>+VLOOKUP($A15,Master!$D$30:$G$226,4,FALSE)</f>
        <v>Porez na dodatu vrijednost</v>
      </c>
      <c r="C15" s="523"/>
      <c r="D15" s="523"/>
      <c r="E15" s="523"/>
      <c r="F15" s="523"/>
      <c r="G15" s="163">
        <v>79816016.629999995</v>
      </c>
      <c r="H15" s="163">
        <v>61023809.460000001</v>
      </c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242">
        <f t="shared" si="4"/>
        <v>140839826.09</v>
      </c>
      <c r="T15" s="463">
        <f t="shared" si="3"/>
        <v>2.2809546543905679</v>
      </c>
    </row>
    <row r="16" spans="1:23">
      <c r="A16" s="150">
        <v>7115</v>
      </c>
      <c r="B16" s="522" t="str">
        <f>+VLOOKUP($A16,Master!$D$30:$G$226,4,FALSE)</f>
        <v>Akcize</v>
      </c>
      <c r="C16" s="523"/>
      <c r="D16" s="523"/>
      <c r="E16" s="523"/>
      <c r="F16" s="523"/>
      <c r="G16" s="163">
        <v>17494328.440000001</v>
      </c>
      <c r="H16" s="163">
        <v>18190262.670000002</v>
      </c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242">
        <f t="shared" si="4"/>
        <v>35684591.109999999</v>
      </c>
      <c r="T16" s="463">
        <f t="shared" si="3"/>
        <v>0.57792555161467951</v>
      </c>
      <c r="W16" s="311"/>
    </row>
    <row r="17" spans="1:23">
      <c r="A17" s="150">
        <v>7116</v>
      </c>
      <c r="B17" s="522" t="str">
        <f>+VLOOKUP($A17,Master!$D$30:$G$226,4,FALSE)</f>
        <v>Porez na međunarodnu trgovinu i transakcije</v>
      </c>
      <c r="C17" s="523"/>
      <c r="D17" s="523"/>
      <c r="E17" s="523"/>
      <c r="F17" s="523"/>
      <c r="G17" s="163">
        <v>2467588.1800000002</v>
      </c>
      <c r="H17" s="163">
        <v>3220443.49</v>
      </c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242">
        <f t="shared" si="4"/>
        <v>5688031.6699999999</v>
      </c>
      <c r="T17" s="463">
        <f t="shared" si="3"/>
        <v>9.2119840475496387E-2</v>
      </c>
    </row>
    <row r="18" spans="1:23">
      <c r="A18" s="150">
        <v>7118</v>
      </c>
      <c r="B18" s="522" t="str">
        <f>+VLOOKUP($A18,Master!$D$30:$G$226,4,FALSE)</f>
        <v>Ostali državni porezi</v>
      </c>
      <c r="C18" s="523"/>
      <c r="D18" s="523"/>
      <c r="E18" s="523"/>
      <c r="F18" s="523"/>
      <c r="G18" s="163">
        <v>972158.69</v>
      </c>
      <c r="H18" s="163">
        <v>915385.23</v>
      </c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242">
        <f t="shared" si="4"/>
        <v>1887543.92</v>
      </c>
      <c r="T18" s="463">
        <f t="shared" si="3"/>
        <v>3.0569493084572279E-2</v>
      </c>
    </row>
    <row r="19" spans="1:23">
      <c r="A19" s="150">
        <v>712</v>
      </c>
      <c r="B19" s="524" t="str">
        <f>+VLOOKUP($A19,Master!$D$30:$G$226,4,FALSE)</f>
        <v>Doprinosi</v>
      </c>
      <c r="C19" s="525"/>
      <c r="D19" s="525"/>
      <c r="E19" s="525"/>
      <c r="F19" s="525"/>
      <c r="G19" s="169">
        <f>SUM(G20:G23)</f>
        <v>15617329.630000003</v>
      </c>
      <c r="H19" s="169">
        <f t="shared" ref="H19:R19" si="5">SUM(H20:H23)</f>
        <v>41494879.25999999</v>
      </c>
      <c r="I19" s="169">
        <f t="shared" si="5"/>
        <v>0</v>
      </c>
      <c r="J19" s="169">
        <f t="shared" si="5"/>
        <v>0</v>
      </c>
      <c r="K19" s="169">
        <f t="shared" si="5"/>
        <v>0</v>
      </c>
      <c r="L19" s="169">
        <f t="shared" si="5"/>
        <v>0</v>
      </c>
      <c r="M19" s="169">
        <f t="shared" si="5"/>
        <v>0</v>
      </c>
      <c r="N19" s="169">
        <f t="shared" si="5"/>
        <v>0</v>
      </c>
      <c r="O19" s="169">
        <f t="shared" si="5"/>
        <v>0</v>
      </c>
      <c r="P19" s="169">
        <f t="shared" si="5"/>
        <v>0</v>
      </c>
      <c r="Q19" s="169">
        <f t="shared" si="5"/>
        <v>0</v>
      </c>
      <c r="R19" s="169">
        <f t="shared" si="5"/>
        <v>0</v>
      </c>
      <c r="S19" s="243">
        <f t="shared" si="4"/>
        <v>57112208.889999993</v>
      </c>
      <c r="T19" s="464">
        <f t="shared" si="3"/>
        <v>0.92495398714086741</v>
      </c>
    </row>
    <row r="20" spans="1:23">
      <c r="A20" s="150">
        <v>7121</v>
      </c>
      <c r="B20" s="522" t="str">
        <f>+VLOOKUP($A20,Master!$D$30:$G$226,4,FALSE)</f>
        <v>Doprinosi za penzijsko i invalidsko osiguranje</v>
      </c>
      <c r="C20" s="523"/>
      <c r="D20" s="523"/>
      <c r="E20" s="523"/>
      <c r="F20" s="523"/>
      <c r="G20" s="163">
        <v>14209639.380000001</v>
      </c>
      <c r="H20" s="163">
        <v>37909924.049999997</v>
      </c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242">
        <f>+SUM(G20:R20)</f>
        <v>52119563.43</v>
      </c>
      <c r="T20" s="463">
        <f t="shared" si="3"/>
        <v>0.84409619133223213</v>
      </c>
    </row>
    <row r="21" spans="1:23">
      <c r="A21" s="150">
        <v>7122</v>
      </c>
      <c r="B21" s="522" t="str">
        <f>+VLOOKUP($A21,Master!$D$30:$G$226,4,FALSE)</f>
        <v>Doprinosi za zdravstveno osiguranje</v>
      </c>
      <c r="C21" s="523"/>
      <c r="D21" s="523"/>
      <c r="E21" s="523"/>
      <c r="F21" s="523"/>
      <c r="G21" s="163">
        <v>302309.90000000002</v>
      </c>
      <c r="H21" s="163">
        <v>645770.62</v>
      </c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242">
        <f t="shared" si="4"/>
        <v>948080.52</v>
      </c>
      <c r="T21" s="463">
        <f t="shared" si="3"/>
        <v>1.5354525313380623E-2</v>
      </c>
    </row>
    <row r="22" spans="1:23">
      <c r="A22" s="150">
        <v>7123</v>
      </c>
      <c r="B22" s="522" t="str">
        <f>+VLOOKUP($A22,Master!$D$30:$G$226,4,FALSE)</f>
        <v>Doprinosi za osiguranje od nezaposlenosti</v>
      </c>
      <c r="C22" s="523"/>
      <c r="D22" s="523"/>
      <c r="E22" s="523"/>
      <c r="F22" s="523"/>
      <c r="G22" s="163">
        <v>658854.47</v>
      </c>
      <c r="H22" s="163">
        <v>1731553.43</v>
      </c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242">
        <f t="shared" si="4"/>
        <v>2390407.9</v>
      </c>
      <c r="T22" s="463">
        <f t="shared" si="3"/>
        <v>3.8713566870728466E-2</v>
      </c>
    </row>
    <row r="23" spans="1:23">
      <c r="A23" s="150">
        <v>7124</v>
      </c>
      <c r="B23" s="522" t="str">
        <f>+VLOOKUP($A23,Master!$D$30:$G$226,4,FALSE)</f>
        <v>Ostali doprinosi</v>
      </c>
      <c r="C23" s="523"/>
      <c r="D23" s="523"/>
      <c r="E23" s="523"/>
      <c r="F23" s="523"/>
      <c r="G23" s="163">
        <v>446525.88</v>
      </c>
      <c r="H23" s="163">
        <v>1207631.1599999999</v>
      </c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242">
        <f t="shared" si="4"/>
        <v>1654157.04</v>
      </c>
      <c r="T23" s="463">
        <f t="shared" si="3"/>
        <v>2.678970362452629E-2</v>
      </c>
      <c r="W23" s="305"/>
    </row>
    <row r="24" spans="1:23">
      <c r="A24" s="150">
        <v>713</v>
      </c>
      <c r="B24" s="524" t="str">
        <f>+VLOOKUP($A24,Master!$D$30:$G$226,4,FALSE)</f>
        <v>Takse</v>
      </c>
      <c r="C24" s="525"/>
      <c r="D24" s="525"/>
      <c r="E24" s="525"/>
      <c r="F24" s="525"/>
      <c r="G24" s="175">
        <v>747597.88</v>
      </c>
      <c r="H24" s="175">
        <v>917683.81</v>
      </c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243">
        <f t="shared" si="4"/>
        <v>1665281.69</v>
      </c>
      <c r="T24" s="464">
        <f t="shared" si="3"/>
        <v>2.6969871570628055E-2</v>
      </c>
      <c r="W24" s="305"/>
    </row>
    <row r="25" spans="1:23">
      <c r="A25" s="150">
        <v>714</v>
      </c>
      <c r="B25" s="524" t="str">
        <f>+VLOOKUP($A25,Master!$D$30:$G$226,4,FALSE)</f>
        <v>Naknade</v>
      </c>
      <c r="C25" s="525"/>
      <c r="D25" s="525"/>
      <c r="E25" s="525"/>
      <c r="F25" s="525"/>
      <c r="G25" s="175">
        <v>11787074.770000001</v>
      </c>
      <c r="H25" s="175">
        <v>3748417.33</v>
      </c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243">
        <f t="shared" si="4"/>
        <v>15535492.100000001</v>
      </c>
      <c r="T25" s="464">
        <f t="shared" si="3"/>
        <v>0.25160321478314385</v>
      </c>
    </row>
    <row r="26" spans="1:23">
      <c r="A26" s="150">
        <v>715</v>
      </c>
      <c r="B26" s="524" t="str">
        <f>+VLOOKUP($A26,Master!$D$30:$G$226,4,FALSE)</f>
        <v>Ostali prihodi</v>
      </c>
      <c r="C26" s="525"/>
      <c r="D26" s="525"/>
      <c r="E26" s="525"/>
      <c r="F26" s="525"/>
      <c r="G26" s="175">
        <v>34599402.369999997</v>
      </c>
      <c r="H26" s="175">
        <v>2049489.18</v>
      </c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243">
        <f t="shared" si="4"/>
        <v>36648891.549999997</v>
      </c>
      <c r="T26" s="464">
        <f t="shared" si="3"/>
        <v>0.59354276471350365</v>
      </c>
    </row>
    <row r="27" spans="1:23">
      <c r="A27" s="150">
        <v>73</v>
      </c>
      <c r="B27" s="524" t="str">
        <f>+VLOOKUP($A27,Master!$D$30:$G$226,4,FALSE)</f>
        <v>Primici od otplate kredita i sredstva prenesena iz prethodne godine</v>
      </c>
      <c r="C27" s="525"/>
      <c r="D27" s="525"/>
      <c r="E27" s="525"/>
      <c r="F27" s="525"/>
      <c r="G27" s="175">
        <v>139531.07999999999</v>
      </c>
      <c r="H27" s="175">
        <v>1918469.65</v>
      </c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243">
        <f t="shared" si="4"/>
        <v>2058000.73</v>
      </c>
      <c r="T27" s="464">
        <f t="shared" si="3"/>
        <v>3.3330106079746055E-2</v>
      </c>
    </row>
    <row r="28" spans="1:23" ht="13.5" thickBot="1">
      <c r="A28" s="150">
        <v>74</v>
      </c>
      <c r="B28" s="528" t="str">
        <f>+VLOOKUP($A28,Master!$D$30:$G$226,4,FALSE)</f>
        <v>Donacije i transferi</v>
      </c>
      <c r="C28" s="529"/>
      <c r="D28" s="529"/>
      <c r="E28" s="529"/>
      <c r="F28" s="529"/>
      <c r="G28" s="175">
        <v>1415909.3</v>
      </c>
      <c r="H28" s="175">
        <v>3060381.49</v>
      </c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243">
        <f t="shared" si="4"/>
        <v>4476290.79</v>
      </c>
      <c r="T28" s="465">
        <f t="shared" si="3"/>
        <v>7.2495235156933235E-2</v>
      </c>
    </row>
    <row r="29" spans="1:23" ht="13.5" thickBot="1">
      <c r="A29" s="150">
        <v>4</v>
      </c>
      <c r="B29" s="530" t="str">
        <f>+VLOOKUP($A29,Master!$D$30:$G$226,4,FALSE)</f>
        <v>Izdaci budžeta</v>
      </c>
      <c r="C29" s="531"/>
      <c r="D29" s="531"/>
      <c r="E29" s="531"/>
      <c r="F29" s="531"/>
      <c r="G29" s="151">
        <f>+G30+G40+G46+SUM(G47:G51)</f>
        <v>114740420.36999999</v>
      </c>
      <c r="H29" s="151">
        <f t="shared" ref="H29:R29" si="6">+H30+H40+H46+SUM(H47:H51)</f>
        <v>171551959.19</v>
      </c>
      <c r="I29" s="151">
        <f t="shared" si="6"/>
        <v>0</v>
      </c>
      <c r="J29" s="151">
        <f t="shared" si="6"/>
        <v>0</v>
      </c>
      <c r="K29" s="151">
        <f t="shared" si="6"/>
        <v>0</v>
      </c>
      <c r="L29" s="151">
        <f t="shared" si="6"/>
        <v>0</v>
      </c>
      <c r="M29" s="151">
        <f t="shared" si="6"/>
        <v>0</v>
      </c>
      <c r="N29" s="151">
        <f t="shared" si="6"/>
        <v>0</v>
      </c>
      <c r="O29" s="151">
        <f t="shared" si="6"/>
        <v>0</v>
      </c>
      <c r="P29" s="151">
        <f t="shared" si="6"/>
        <v>0</v>
      </c>
      <c r="Q29" s="151">
        <f t="shared" si="6"/>
        <v>0</v>
      </c>
      <c r="R29" s="151">
        <f t="shared" si="6"/>
        <v>0</v>
      </c>
      <c r="S29" s="245">
        <f t="shared" si="4"/>
        <v>286292379.56</v>
      </c>
      <c r="T29" s="466">
        <f t="shared" si="3"/>
        <v>4.6366141865060087</v>
      </c>
    </row>
    <row r="30" spans="1:23">
      <c r="A30" s="150">
        <v>41</v>
      </c>
      <c r="B30" s="534" t="str">
        <f>+VLOOKUP($A30,Master!$D$30:$G$226,4,FALSE)</f>
        <v>Tekući izdaci</v>
      </c>
      <c r="C30" s="535"/>
      <c r="D30" s="535"/>
      <c r="E30" s="535"/>
      <c r="F30" s="535"/>
      <c r="G30" s="187">
        <f t="shared" ref="G30:R30" si="7">+SUM(G31:G39)</f>
        <v>53321799.279999994</v>
      </c>
      <c r="H30" s="187">
        <f t="shared" si="7"/>
        <v>71587829.420000032</v>
      </c>
      <c r="I30" s="187">
        <f t="shared" si="7"/>
        <v>0</v>
      </c>
      <c r="J30" s="187">
        <f t="shared" si="7"/>
        <v>0</v>
      </c>
      <c r="K30" s="187">
        <f t="shared" si="7"/>
        <v>0</v>
      </c>
      <c r="L30" s="187">
        <f t="shared" si="7"/>
        <v>0</v>
      </c>
      <c r="M30" s="187">
        <f t="shared" si="7"/>
        <v>0</v>
      </c>
      <c r="N30" s="187">
        <f t="shared" si="7"/>
        <v>0</v>
      </c>
      <c r="O30" s="187">
        <f t="shared" si="7"/>
        <v>0</v>
      </c>
      <c r="P30" s="187">
        <f t="shared" si="7"/>
        <v>0</v>
      </c>
      <c r="Q30" s="187">
        <f t="shared" si="7"/>
        <v>0</v>
      </c>
      <c r="R30" s="246">
        <f t="shared" si="7"/>
        <v>0</v>
      </c>
      <c r="S30" s="423">
        <f t="shared" si="4"/>
        <v>124909628.70000002</v>
      </c>
      <c r="T30" s="462">
        <f t="shared" si="3"/>
        <v>2.0229590370226416</v>
      </c>
      <c r="U30" s="500"/>
    </row>
    <row r="31" spans="1:23">
      <c r="A31" s="150">
        <v>411</v>
      </c>
      <c r="B31" s="522" t="str">
        <f>+VLOOKUP($A31,Master!$D$30:$G$226,4,FALSE)</f>
        <v>Bruto zarade i doprinosi na teret poslodavca</v>
      </c>
      <c r="C31" s="523"/>
      <c r="D31" s="523"/>
      <c r="E31" s="523"/>
      <c r="F31" s="523"/>
      <c r="G31" s="163">
        <v>45778601.380000003</v>
      </c>
      <c r="H31" s="163">
        <v>54859778.850000024</v>
      </c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242">
        <f t="shared" si="4"/>
        <v>100638380.23000002</v>
      </c>
      <c r="T31" s="463">
        <f t="shared" si="3"/>
        <v>1.6298769188287505</v>
      </c>
      <c r="U31" s="500"/>
    </row>
    <row r="32" spans="1:23">
      <c r="A32" s="150">
        <v>412</v>
      </c>
      <c r="B32" s="522" t="str">
        <f>+VLOOKUP($A32,Master!$D$30:$G$226,4,FALSE)</f>
        <v>Ostala lična primanja</v>
      </c>
      <c r="C32" s="523"/>
      <c r="D32" s="523"/>
      <c r="E32" s="523"/>
      <c r="F32" s="523"/>
      <c r="G32" s="163">
        <v>299493.63</v>
      </c>
      <c r="H32" s="163">
        <v>1011906.84</v>
      </c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242">
        <f t="shared" si="4"/>
        <v>1311400.47</v>
      </c>
      <c r="T32" s="463">
        <f t="shared" si="3"/>
        <v>2.1238630356622289E-2</v>
      </c>
      <c r="U32" s="500"/>
      <c r="V32" s="291"/>
    </row>
    <row r="33" spans="1:24">
      <c r="A33" s="150">
        <v>413</v>
      </c>
      <c r="B33" s="522" t="str">
        <f>+VLOOKUP($A33,Master!$D$30:$G$226,4,FALSE)</f>
        <v>Rashodi za materijal</v>
      </c>
      <c r="C33" s="523"/>
      <c r="D33" s="523"/>
      <c r="E33" s="523"/>
      <c r="F33" s="523"/>
      <c r="G33" s="163">
        <v>94282.16</v>
      </c>
      <c r="H33" s="163">
        <v>2774531.14</v>
      </c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242">
        <f t="shared" si="4"/>
        <v>2868813.3000000003</v>
      </c>
      <c r="T33" s="463">
        <f t="shared" si="3"/>
        <v>4.6461524633174621E-2</v>
      </c>
      <c r="U33" s="500"/>
    </row>
    <row r="34" spans="1:24" s="360" customFormat="1">
      <c r="A34" s="359">
        <v>414</v>
      </c>
      <c r="B34" s="617" t="str">
        <f>+VLOOKUP($A34,Master!$D$30:$G$226,4,FALSE)</f>
        <v>Rashodi za usluge</v>
      </c>
      <c r="C34" s="618"/>
      <c r="D34" s="618"/>
      <c r="E34" s="618"/>
      <c r="F34" s="618"/>
      <c r="G34" s="163">
        <v>878592.99</v>
      </c>
      <c r="H34" s="163">
        <v>3754705.58</v>
      </c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242">
        <f t="shared" si="4"/>
        <v>4633298.57</v>
      </c>
      <c r="T34" s="463">
        <f t="shared" si="3"/>
        <v>7.5038035986136759E-2</v>
      </c>
      <c r="U34" s="500"/>
    </row>
    <row r="35" spans="1:24">
      <c r="A35" s="150">
        <v>415</v>
      </c>
      <c r="B35" s="522" t="str">
        <f>+VLOOKUP($A35,Master!$D$30:$G$226,4,FALSE)</f>
        <v>Rashodi za tekuće održavanje</v>
      </c>
      <c r="C35" s="523"/>
      <c r="D35" s="523"/>
      <c r="E35" s="523"/>
      <c r="F35" s="523"/>
      <c r="G35" s="163">
        <v>4072.04</v>
      </c>
      <c r="H35" s="163">
        <v>554177.94999999995</v>
      </c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242">
        <f t="shared" si="4"/>
        <v>558249.99</v>
      </c>
      <c r="T35" s="463">
        <f t="shared" si="3"/>
        <v>9.0410713244582636E-3</v>
      </c>
      <c r="U35" s="500"/>
    </row>
    <row r="36" spans="1:24">
      <c r="A36" s="150">
        <v>416</v>
      </c>
      <c r="B36" s="522" t="str">
        <f>+VLOOKUP($A36,Master!$D$30:$G$226,4,FALSE)</f>
        <v>Kamate</v>
      </c>
      <c r="C36" s="523"/>
      <c r="D36" s="523"/>
      <c r="E36" s="523"/>
      <c r="F36" s="523"/>
      <c r="G36" s="163">
        <v>3966895.76</v>
      </c>
      <c r="H36" s="163">
        <v>2431066.79</v>
      </c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242">
        <f>+SUM(G36:R36)</f>
        <v>6397962.5499999998</v>
      </c>
      <c r="T36" s="463">
        <f t="shared" si="3"/>
        <v>0.10361744161565122</v>
      </c>
      <c r="U36" s="500"/>
      <c r="V36" s="291"/>
    </row>
    <row r="37" spans="1:24">
      <c r="A37" s="150">
        <v>417</v>
      </c>
      <c r="B37" s="522" t="str">
        <f>+VLOOKUP($A37,Master!$D$30:$G$226,4,FALSE)</f>
        <v>Renta</v>
      </c>
      <c r="C37" s="523"/>
      <c r="D37" s="523"/>
      <c r="E37" s="523"/>
      <c r="F37" s="523"/>
      <c r="G37" s="163">
        <v>2378.37</v>
      </c>
      <c r="H37" s="163">
        <v>930382.84</v>
      </c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242">
        <f t="shared" si="4"/>
        <v>932761.21</v>
      </c>
      <c r="T37" s="463">
        <f t="shared" si="3"/>
        <v>1.5106423250089073E-2</v>
      </c>
      <c r="U37" s="500"/>
      <c r="V37" s="291"/>
    </row>
    <row r="38" spans="1:24">
      <c r="A38" s="150">
        <v>418</v>
      </c>
      <c r="B38" s="522" t="str">
        <f>+VLOOKUP($A38,Master!$D$30:$G$226,4,FALSE)</f>
        <v>Subvencije</v>
      </c>
      <c r="C38" s="523"/>
      <c r="D38" s="523"/>
      <c r="E38" s="523"/>
      <c r="F38" s="523"/>
      <c r="G38" s="163">
        <v>1880948.3</v>
      </c>
      <c r="H38" s="163">
        <v>2045866.64</v>
      </c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242">
        <f t="shared" si="4"/>
        <v>3926814.94</v>
      </c>
      <c r="T38" s="463">
        <f t="shared" si="3"/>
        <v>6.3596264373400713E-2</v>
      </c>
      <c r="U38" s="500"/>
    </row>
    <row r="39" spans="1:24">
      <c r="A39" s="150">
        <v>419</v>
      </c>
      <c r="B39" s="522" t="str">
        <f>+VLOOKUP($A39,Master!$D$30:$G$226,4,FALSE)</f>
        <v>Ostali izdaci</v>
      </c>
      <c r="C39" s="523"/>
      <c r="D39" s="523"/>
      <c r="E39" s="523"/>
      <c r="F39" s="523"/>
      <c r="G39" s="163">
        <v>416534.65</v>
      </c>
      <c r="H39" s="163">
        <v>3225412.79</v>
      </c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242">
        <f t="shared" si="4"/>
        <v>3641947.44</v>
      </c>
      <c r="T39" s="463">
        <f t="shared" si="3"/>
        <v>5.8982726654358171E-2</v>
      </c>
      <c r="U39" s="500"/>
      <c r="V39" s="291"/>
    </row>
    <row r="40" spans="1:24">
      <c r="A40" s="150">
        <v>42</v>
      </c>
      <c r="B40" s="538" t="str">
        <f>+VLOOKUP($A40,Master!$D$30:$G$226,4,FALSE)</f>
        <v>Transferi za socijalnu zaštitu</v>
      </c>
      <c r="C40" s="539"/>
      <c r="D40" s="539"/>
      <c r="E40" s="539"/>
      <c r="F40" s="539"/>
      <c r="G40" s="193">
        <f>+SUM(G41:G45)</f>
        <v>58454756.119999997</v>
      </c>
      <c r="H40" s="193">
        <f t="shared" ref="H40:R40" si="8">+SUM(H41:H45)</f>
        <v>66352380.529999994</v>
      </c>
      <c r="I40" s="193">
        <f t="shared" si="8"/>
        <v>0</v>
      </c>
      <c r="J40" s="193">
        <f t="shared" si="8"/>
        <v>0</v>
      </c>
      <c r="K40" s="193">
        <f t="shared" si="8"/>
        <v>0</v>
      </c>
      <c r="L40" s="193">
        <f t="shared" si="8"/>
        <v>0</v>
      </c>
      <c r="M40" s="193">
        <f t="shared" si="8"/>
        <v>0</v>
      </c>
      <c r="N40" s="193">
        <f t="shared" si="8"/>
        <v>0</v>
      </c>
      <c r="O40" s="193">
        <f t="shared" si="8"/>
        <v>0</v>
      </c>
      <c r="P40" s="193">
        <f t="shared" si="8"/>
        <v>0</v>
      </c>
      <c r="Q40" s="193">
        <f t="shared" si="8"/>
        <v>0</v>
      </c>
      <c r="R40" s="193">
        <f t="shared" si="8"/>
        <v>0</v>
      </c>
      <c r="S40" s="486">
        <f t="shared" si="4"/>
        <v>124807136.64999999</v>
      </c>
      <c r="T40" s="487">
        <f t="shared" si="3"/>
        <v>2.0212991392154955</v>
      </c>
      <c r="U40" s="500"/>
    </row>
    <row r="41" spans="1:24">
      <c r="A41" s="150">
        <v>421</v>
      </c>
      <c r="B41" s="522" t="str">
        <f>+VLOOKUP($A41,Master!$D$30:$G$226,4,FALSE)</f>
        <v>Prava iz oblasti socijalne zaštite</v>
      </c>
      <c r="C41" s="523"/>
      <c r="D41" s="523"/>
      <c r="E41" s="523"/>
      <c r="F41" s="523"/>
      <c r="G41" s="163">
        <v>15193246.93</v>
      </c>
      <c r="H41" s="163">
        <v>18599658.190000001</v>
      </c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242">
        <f t="shared" si="4"/>
        <v>33792905.120000005</v>
      </c>
      <c r="T41" s="463">
        <f t="shared" si="3"/>
        <v>0.54728897612800842</v>
      </c>
      <c r="U41" s="500"/>
    </row>
    <row r="42" spans="1:24">
      <c r="A42" s="150">
        <v>422</v>
      </c>
      <c r="B42" s="522" t="str">
        <f>+VLOOKUP($A42,Master!$D$30:$G$226,4,FALSE)</f>
        <v>Sredstva za tehnološke viškove</v>
      </c>
      <c r="C42" s="523"/>
      <c r="D42" s="523"/>
      <c r="E42" s="523"/>
      <c r="F42" s="523"/>
      <c r="G42" s="163">
        <v>0</v>
      </c>
      <c r="H42" s="163">
        <v>2161292.37</v>
      </c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242">
        <f t="shared" si="4"/>
        <v>2161292.37</v>
      </c>
      <c r="T42" s="463">
        <f t="shared" si="3"/>
        <v>3.5002953551647072E-2</v>
      </c>
      <c r="U42" s="500"/>
      <c r="V42" s="291"/>
    </row>
    <row r="43" spans="1:24">
      <c r="A43" s="150">
        <v>423</v>
      </c>
      <c r="B43" s="522" t="str">
        <f>+VLOOKUP($A43,Master!$D$30:$G$226,4,FALSE)</f>
        <v>Prava iz oblasti penzijskog i invalidskog osiguranja</v>
      </c>
      <c r="C43" s="523"/>
      <c r="D43" s="523"/>
      <c r="E43" s="523"/>
      <c r="F43" s="523"/>
      <c r="G43" s="163">
        <v>42310100.469999999</v>
      </c>
      <c r="H43" s="163">
        <v>43437180.119999997</v>
      </c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242">
        <f t="shared" si="4"/>
        <v>85747280.590000004</v>
      </c>
      <c r="T43" s="463">
        <f t="shared" si="3"/>
        <v>1.3887098854986557</v>
      </c>
      <c r="U43" s="500"/>
    </row>
    <row r="44" spans="1:24">
      <c r="A44" s="150">
        <v>424</v>
      </c>
      <c r="B44" s="522" t="str">
        <f>+VLOOKUP($A44,Master!$D$30:$G$226,4,FALSE)</f>
        <v>Ostala prava iz oblasti zdravstvene zaštite</v>
      </c>
      <c r="C44" s="523"/>
      <c r="D44" s="523"/>
      <c r="E44" s="523"/>
      <c r="F44" s="523"/>
      <c r="G44" s="163">
        <v>951408.72</v>
      </c>
      <c r="H44" s="163">
        <v>1207435.98</v>
      </c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242">
        <f t="shared" si="4"/>
        <v>2158844.7000000002</v>
      </c>
      <c r="T44" s="463">
        <f t="shared" si="3"/>
        <v>3.4963312603245561E-2</v>
      </c>
      <c r="U44" s="500"/>
    </row>
    <row r="45" spans="1:24" s="360" customFormat="1">
      <c r="A45" s="359">
        <v>425</v>
      </c>
      <c r="B45" s="613" t="str">
        <f>+VLOOKUP($A45,Master!$D$30:$G$226,4,FALSE)</f>
        <v>Ostala prava iz zdravstvenog osiguranja</v>
      </c>
      <c r="C45" s="614"/>
      <c r="D45" s="614"/>
      <c r="E45" s="614"/>
      <c r="F45" s="614"/>
      <c r="G45" s="163">
        <v>0</v>
      </c>
      <c r="H45" s="163">
        <v>946813.87</v>
      </c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242">
        <f t="shared" si="4"/>
        <v>946813.87</v>
      </c>
      <c r="T45" s="463">
        <f t="shared" si="3"/>
        <v>1.5334011433939041E-2</v>
      </c>
      <c r="U45" s="500"/>
    </row>
    <row r="46" spans="1:24">
      <c r="A46" s="150">
        <v>43</v>
      </c>
      <c r="B46" s="536" t="str">
        <f>+VLOOKUP($A46,Master!$D$30:$G$226,4,FALSE)</f>
        <v xml:space="preserve">Transferi institucijama, pojedincima, nevladinom i javnom sektoru </v>
      </c>
      <c r="C46" s="537"/>
      <c r="D46" s="537"/>
      <c r="E46" s="537"/>
      <c r="F46" s="537"/>
      <c r="G46" s="175">
        <v>1575619.12</v>
      </c>
      <c r="H46" s="175">
        <v>24858213.859999999</v>
      </c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243">
        <f t="shared" si="4"/>
        <v>26433832.98</v>
      </c>
      <c r="T46" s="464">
        <f t="shared" si="3"/>
        <v>0.42810599844524339</v>
      </c>
      <c r="U46" s="500"/>
    </row>
    <row r="47" spans="1:24">
      <c r="A47" s="150">
        <v>44</v>
      </c>
      <c r="B47" s="536" t="str">
        <f>+VLOOKUP($A47,Master!$D$30:$G$226,4,FALSE)</f>
        <v>Kapitalni izdaci</v>
      </c>
      <c r="C47" s="537"/>
      <c r="D47" s="537"/>
      <c r="E47" s="537"/>
      <c r="F47" s="537"/>
      <c r="G47" s="175">
        <v>420202.34</v>
      </c>
      <c r="H47" s="175">
        <f>4946812.99-H58</f>
        <v>4450440.01</v>
      </c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243">
        <f t="shared" si="4"/>
        <v>4870642.3499999996</v>
      </c>
      <c r="T47" s="464">
        <f t="shared" si="3"/>
        <v>7.8881908949567578E-2</v>
      </c>
      <c r="U47" s="500"/>
      <c r="V47" s="291"/>
      <c r="W47" s="311"/>
      <c r="X47" s="311"/>
    </row>
    <row r="48" spans="1:24">
      <c r="A48" s="150">
        <v>451</v>
      </c>
      <c r="B48" s="615" t="str">
        <f>+VLOOKUP($A48,Master!$D$30:$G$226,4,FALSE)</f>
        <v>Pozajmice i krediti</v>
      </c>
      <c r="C48" s="616"/>
      <c r="D48" s="616"/>
      <c r="E48" s="616"/>
      <c r="F48" s="616"/>
      <c r="G48" s="163">
        <v>0</v>
      </c>
      <c r="H48" s="163">
        <v>1052216</v>
      </c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242">
        <f t="shared" si="4"/>
        <v>1052216</v>
      </c>
      <c r="T48" s="463">
        <f t="shared" si="3"/>
        <v>1.7041039095649919E-2</v>
      </c>
      <c r="U48" s="500"/>
      <c r="V48" s="311"/>
    </row>
    <row r="49" spans="1:21" s="360" customFormat="1">
      <c r="A49" s="359">
        <v>47</v>
      </c>
      <c r="B49" s="607" t="str">
        <f>+VLOOKUP($A49,Master!$D$30:$G$226,4,FALSE)</f>
        <v>Rezerve</v>
      </c>
      <c r="C49" s="608"/>
      <c r="D49" s="608"/>
      <c r="E49" s="608"/>
      <c r="F49" s="608"/>
      <c r="G49" s="163">
        <v>0</v>
      </c>
      <c r="H49" s="163">
        <v>198585.54</v>
      </c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242">
        <f t="shared" si="4"/>
        <v>198585.54</v>
      </c>
      <c r="T49" s="463">
        <f t="shared" si="3"/>
        <v>3.2161684967447284E-3</v>
      </c>
      <c r="U49" s="500"/>
    </row>
    <row r="50" spans="1:21" ht="13.5" thickBot="1">
      <c r="A50" s="150">
        <v>462</v>
      </c>
      <c r="B50" s="542" t="str">
        <f>+VLOOKUP($A50,Master!$D$30:$G$226,4,FALSE)</f>
        <v>Otplata garancija</v>
      </c>
      <c r="C50" s="543"/>
      <c r="D50" s="543"/>
      <c r="E50" s="543"/>
      <c r="F50" s="543"/>
      <c r="G50" s="163">
        <v>0</v>
      </c>
      <c r="H50" s="163">
        <v>1168915.48</v>
      </c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242">
        <f t="shared" si="4"/>
        <v>1168915.48</v>
      </c>
      <c r="T50" s="463">
        <f t="shared" si="3"/>
        <v>1.8931031645774626E-2</v>
      </c>
      <c r="U50" s="500"/>
    </row>
    <row r="51" spans="1:21" ht="13.5" thickBot="1">
      <c r="A51" s="144">
        <v>4630</v>
      </c>
      <c r="B51" s="609" t="str">
        <f>+VLOOKUP($A51,Master!$D$30:$G$226,4,TRUE)</f>
        <v>Otplata obaveza iz prethodnog perioda</v>
      </c>
      <c r="C51" s="610"/>
      <c r="D51" s="610"/>
      <c r="E51" s="610"/>
      <c r="F51" s="610"/>
      <c r="G51" s="457">
        <v>968043.51</v>
      </c>
      <c r="H51" s="457">
        <v>1883378.35</v>
      </c>
      <c r="I51" s="457"/>
      <c r="J51" s="457"/>
      <c r="K51" s="457"/>
      <c r="L51" s="457"/>
      <c r="M51" s="457"/>
      <c r="N51" s="457"/>
      <c r="O51" s="457"/>
      <c r="P51" s="457"/>
      <c r="Q51" s="457"/>
      <c r="R51" s="457"/>
      <c r="S51" s="424">
        <f>+SUM(G51:R51)</f>
        <v>2851421.8600000003</v>
      </c>
      <c r="T51" s="467">
        <f t="shared" si="3"/>
        <v>4.6179863634891335E-2</v>
      </c>
      <c r="U51" s="500"/>
    </row>
    <row r="52" spans="1:21" ht="13.5" thickBot="1">
      <c r="A52" s="70">
        <v>1005</v>
      </c>
      <c r="B52" s="611" t="str">
        <f>+VLOOKUP($A52,Master!$D$30:$G$228,4,FALSE)</f>
        <v>Neto povećanje obaveza</v>
      </c>
      <c r="C52" s="612"/>
      <c r="D52" s="612"/>
      <c r="E52" s="612"/>
      <c r="F52" s="612"/>
      <c r="G52" s="95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514">
        <v>0</v>
      </c>
      <c r="S52" s="115">
        <f>+SUM(G52:R52)</f>
        <v>0</v>
      </c>
      <c r="T52" s="468">
        <f t="shared" si="3"/>
        <v>0</v>
      </c>
    </row>
    <row r="53" spans="1:21" ht="13.5" thickBot="1">
      <c r="A53" s="144">
        <v>1000</v>
      </c>
      <c r="B53" s="544" t="str">
        <f>+VLOOKUP($A53,Master!$D$30:$G$226,4,FALSE)</f>
        <v>Suficit / deficit</v>
      </c>
      <c r="C53" s="545"/>
      <c r="D53" s="545"/>
      <c r="E53" s="545"/>
      <c r="F53" s="545"/>
      <c r="G53" s="151">
        <f t="shared" ref="G53:R53" si="9">+G10-G29</f>
        <v>53056570.849999979</v>
      </c>
      <c r="H53" s="151">
        <f t="shared" si="9"/>
        <v>-27303072.020000011</v>
      </c>
      <c r="I53" s="151">
        <f t="shared" si="9"/>
        <v>0</v>
      </c>
      <c r="J53" s="151">
        <f t="shared" si="9"/>
        <v>0</v>
      </c>
      <c r="K53" s="151">
        <f t="shared" si="9"/>
        <v>0</v>
      </c>
      <c r="L53" s="151">
        <f t="shared" si="9"/>
        <v>0</v>
      </c>
      <c r="M53" s="151">
        <f t="shared" si="9"/>
        <v>0</v>
      </c>
      <c r="N53" s="151">
        <f t="shared" si="9"/>
        <v>0</v>
      </c>
      <c r="O53" s="151">
        <f t="shared" si="9"/>
        <v>0</v>
      </c>
      <c r="P53" s="151">
        <f t="shared" si="9"/>
        <v>0</v>
      </c>
      <c r="Q53" s="151">
        <f t="shared" si="9"/>
        <v>0</v>
      </c>
      <c r="R53" s="151">
        <f t="shared" si="9"/>
        <v>0</v>
      </c>
      <c r="S53" s="248">
        <f>SUM(G53:R53)</f>
        <v>25753498.829999968</v>
      </c>
      <c r="T53" s="469">
        <f t="shared" si="3"/>
        <v>0.41708772762608048</v>
      </c>
    </row>
    <row r="54" spans="1:21" ht="13.5" thickBot="1">
      <c r="A54" s="144">
        <v>1001</v>
      </c>
      <c r="B54" s="546" t="str">
        <f>+VLOOKUP($A54,Master!$D$30:$G$226,4,FALSE)</f>
        <v>Primarni suficit/deficit</v>
      </c>
      <c r="C54" s="547"/>
      <c r="D54" s="547"/>
      <c r="E54" s="547"/>
      <c r="F54" s="547"/>
      <c r="G54" s="205">
        <f t="shared" ref="G54:R54" si="10">+G53+G36</f>
        <v>57023466.609999977</v>
      </c>
      <c r="H54" s="205">
        <f t="shared" si="10"/>
        <v>-24872005.230000012</v>
      </c>
      <c r="I54" s="205">
        <f t="shared" si="10"/>
        <v>0</v>
      </c>
      <c r="J54" s="205">
        <f t="shared" si="10"/>
        <v>0</v>
      </c>
      <c r="K54" s="205">
        <f t="shared" si="10"/>
        <v>0</v>
      </c>
      <c r="L54" s="205">
        <f t="shared" si="10"/>
        <v>0</v>
      </c>
      <c r="M54" s="205">
        <f t="shared" si="10"/>
        <v>0</v>
      </c>
      <c r="N54" s="205">
        <f t="shared" si="10"/>
        <v>0</v>
      </c>
      <c r="O54" s="205">
        <f t="shared" si="10"/>
        <v>0</v>
      </c>
      <c r="P54" s="205">
        <f t="shared" si="10"/>
        <v>0</v>
      </c>
      <c r="Q54" s="205">
        <f t="shared" si="10"/>
        <v>0</v>
      </c>
      <c r="R54" s="205">
        <f t="shared" si="10"/>
        <v>0</v>
      </c>
      <c r="S54" s="248">
        <f t="shared" si="4"/>
        <v>32151461.379999965</v>
      </c>
      <c r="T54" s="469">
        <f t="shared" si="3"/>
        <v>0.52070516924173171</v>
      </c>
    </row>
    <row r="55" spans="1:21">
      <c r="A55" s="144">
        <v>46</v>
      </c>
      <c r="B55" s="568" t="str">
        <f>+VLOOKUP($A55,Master!$D$30:$G$226,4,FALSE)</f>
        <v>Otplata dugova</v>
      </c>
      <c r="C55" s="569"/>
      <c r="D55" s="569"/>
      <c r="E55" s="569"/>
      <c r="F55" s="569"/>
      <c r="G55" s="193">
        <f t="shared" ref="G55:R55" si="11">+SUM(G56:G57)</f>
        <v>29896704.300000001</v>
      </c>
      <c r="H55" s="193">
        <f t="shared" si="11"/>
        <v>5811024.9299999997</v>
      </c>
      <c r="I55" s="193">
        <f t="shared" si="11"/>
        <v>0</v>
      </c>
      <c r="J55" s="175">
        <f t="shared" si="11"/>
        <v>0</v>
      </c>
      <c r="K55" s="193">
        <f t="shared" si="11"/>
        <v>0</v>
      </c>
      <c r="L55" s="193">
        <f t="shared" si="11"/>
        <v>0</v>
      </c>
      <c r="M55" s="193">
        <f t="shared" si="11"/>
        <v>0</v>
      </c>
      <c r="N55" s="193">
        <f t="shared" si="11"/>
        <v>0</v>
      </c>
      <c r="O55" s="193">
        <f t="shared" si="11"/>
        <v>0</v>
      </c>
      <c r="P55" s="193">
        <f t="shared" si="11"/>
        <v>0</v>
      </c>
      <c r="Q55" s="193">
        <f t="shared" si="11"/>
        <v>0</v>
      </c>
      <c r="R55" s="193">
        <f t="shared" si="11"/>
        <v>0</v>
      </c>
      <c r="S55" s="249">
        <f t="shared" si="4"/>
        <v>35707729.230000004</v>
      </c>
      <c r="T55" s="470">
        <f t="shared" si="3"/>
        <v>0.57830028228549224</v>
      </c>
    </row>
    <row r="56" spans="1:21">
      <c r="A56" s="144">
        <v>4611</v>
      </c>
      <c r="B56" s="564" t="str">
        <f>+VLOOKUP($A56,Master!$D$30:$G$226,4,FALSE)</f>
        <v>Otplata hartija od vrijednosti i kredita rezidentima</v>
      </c>
      <c r="C56" s="565"/>
      <c r="D56" s="565"/>
      <c r="E56" s="565"/>
      <c r="F56" s="565"/>
      <c r="G56" s="211">
        <v>1871833.35</v>
      </c>
      <c r="H56" s="211">
        <v>2400192.8199999998</v>
      </c>
      <c r="I56" s="211"/>
      <c r="J56" s="211"/>
      <c r="K56" s="211"/>
      <c r="L56" s="211"/>
      <c r="M56" s="211"/>
      <c r="N56" s="211"/>
      <c r="O56" s="211"/>
      <c r="P56" s="211"/>
      <c r="Q56" s="211"/>
      <c r="R56" s="211"/>
      <c r="S56" s="250">
        <f t="shared" si="4"/>
        <v>4272026.17</v>
      </c>
      <c r="T56" s="471">
        <f t="shared" si="3"/>
        <v>6.9187091795419944E-2</v>
      </c>
    </row>
    <row r="57" spans="1:21" ht="13.5" thickBot="1">
      <c r="A57" s="144">
        <v>4612</v>
      </c>
      <c r="B57" s="540" t="str">
        <f>+VLOOKUP($A57,Master!$D$30:$G$226,4,FALSE)</f>
        <v>Otplata hartija od vrijednosti i kredita nerezidentima</v>
      </c>
      <c r="C57" s="541"/>
      <c r="D57" s="541"/>
      <c r="E57" s="541"/>
      <c r="F57" s="541"/>
      <c r="G57" s="211">
        <v>28024870.949999999</v>
      </c>
      <c r="H57" s="211">
        <v>3410832.11</v>
      </c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50">
        <f t="shared" si="4"/>
        <v>31435703.059999999</v>
      </c>
      <c r="T57" s="471">
        <f t="shared" si="3"/>
        <v>0.5091131904900722</v>
      </c>
    </row>
    <row r="58" spans="1:21" ht="13.5" thickBot="1">
      <c r="A58" s="144">
        <v>4418</v>
      </c>
      <c r="B58" s="532" t="str">
        <f>+VLOOKUP($A58,Master!$D$30:$G$226,4,FALSE)</f>
        <v>Izdaci za kupovinu hartija od vrijednosti</v>
      </c>
      <c r="C58" s="533"/>
      <c r="D58" s="533"/>
      <c r="E58" s="533"/>
      <c r="F58" s="533"/>
      <c r="G58" s="459">
        <v>0</v>
      </c>
      <c r="H58" s="459">
        <v>496372.98</v>
      </c>
      <c r="I58" s="459">
        <v>0</v>
      </c>
      <c r="J58" s="459">
        <v>0</v>
      </c>
      <c r="K58" s="459">
        <v>0</v>
      </c>
      <c r="L58" s="459">
        <v>0</v>
      </c>
      <c r="M58" s="459">
        <v>0</v>
      </c>
      <c r="N58" s="459">
        <v>0</v>
      </c>
      <c r="O58" s="459"/>
      <c r="P58" s="459"/>
      <c r="Q58" s="459"/>
      <c r="R58" s="459"/>
      <c r="S58" s="249">
        <f>SUM(G58:R58)</f>
        <v>496372.98</v>
      </c>
      <c r="T58" s="472">
        <f t="shared" si="3"/>
        <v>8.0389495675833242E-3</v>
      </c>
    </row>
    <row r="59" spans="1:21" ht="13.5" thickBot="1">
      <c r="A59" s="144">
        <v>1002</v>
      </c>
      <c r="B59" s="566" t="str">
        <f>+VLOOKUP($A59,Master!$D$30:$G$226,4,FALSE)</f>
        <v>Nedostajuća sredstva</v>
      </c>
      <c r="C59" s="567"/>
      <c r="D59" s="567"/>
      <c r="E59" s="567"/>
      <c r="F59" s="567"/>
      <c r="G59" s="217">
        <f>+G53-G55-G58</f>
        <v>23159866.549999978</v>
      </c>
      <c r="H59" s="217">
        <f t="shared" ref="H59:R59" si="12">+H53-H55-H58</f>
        <v>-33610469.930000007</v>
      </c>
      <c r="I59" s="217">
        <f t="shared" si="12"/>
        <v>0</v>
      </c>
      <c r="J59" s="217">
        <f t="shared" si="12"/>
        <v>0</v>
      </c>
      <c r="K59" s="217">
        <f t="shared" si="12"/>
        <v>0</v>
      </c>
      <c r="L59" s="217">
        <f t="shared" si="12"/>
        <v>0</v>
      </c>
      <c r="M59" s="217">
        <f t="shared" si="12"/>
        <v>0</v>
      </c>
      <c r="N59" s="217">
        <f t="shared" si="12"/>
        <v>0</v>
      </c>
      <c r="O59" s="217">
        <f t="shared" si="12"/>
        <v>0</v>
      </c>
      <c r="P59" s="217">
        <f t="shared" si="12"/>
        <v>0</v>
      </c>
      <c r="Q59" s="217">
        <f t="shared" si="12"/>
        <v>0</v>
      </c>
      <c r="R59" s="217">
        <f t="shared" si="12"/>
        <v>0</v>
      </c>
      <c r="S59" s="251">
        <f t="shared" si="4"/>
        <v>-10450603.380000029</v>
      </c>
      <c r="T59" s="473">
        <f t="shared" si="3"/>
        <v>-0.16925150422699492</v>
      </c>
    </row>
    <row r="60" spans="1:21" ht="13.5" thickBot="1">
      <c r="A60" s="144">
        <v>1003</v>
      </c>
      <c r="B60" s="530" t="str">
        <f>+VLOOKUP($A60,Master!$D$30:$G$226,4,FALSE)</f>
        <v>Finansiranje</v>
      </c>
      <c r="C60" s="531"/>
      <c r="D60" s="531"/>
      <c r="E60" s="531"/>
      <c r="F60" s="531"/>
      <c r="G60" s="151">
        <f>+SUM(G61:G64)</f>
        <v>-23159866.549999982</v>
      </c>
      <c r="H60" s="151">
        <f t="shared" ref="H60:R60" si="13">+SUM(H61:H64)</f>
        <v>33610469.930000007</v>
      </c>
      <c r="I60" s="151">
        <f t="shared" si="13"/>
        <v>0</v>
      </c>
      <c r="J60" s="151">
        <f t="shared" si="13"/>
        <v>0</v>
      </c>
      <c r="K60" s="151">
        <f t="shared" si="13"/>
        <v>0</v>
      </c>
      <c r="L60" s="151">
        <f t="shared" si="13"/>
        <v>0</v>
      </c>
      <c r="M60" s="151">
        <f t="shared" si="13"/>
        <v>0</v>
      </c>
      <c r="N60" s="151">
        <f t="shared" si="13"/>
        <v>0</v>
      </c>
      <c r="O60" s="151">
        <f t="shared" si="13"/>
        <v>0</v>
      </c>
      <c r="P60" s="151">
        <f t="shared" si="13"/>
        <v>0</v>
      </c>
      <c r="Q60" s="151">
        <f t="shared" si="13"/>
        <v>0</v>
      </c>
      <c r="R60" s="151">
        <f t="shared" si="13"/>
        <v>0</v>
      </c>
      <c r="S60" s="252">
        <f t="shared" si="4"/>
        <v>10450603.380000025</v>
      </c>
      <c r="T60" s="474">
        <f t="shared" si="3"/>
        <v>0.16925150422699486</v>
      </c>
    </row>
    <row r="61" spans="1:21">
      <c r="A61" s="144">
        <v>7511</v>
      </c>
      <c r="B61" s="564" t="str">
        <f>+VLOOKUP($A61,Master!$D$30:$G$226,4,FALSE)</f>
        <v>Pozajmice i krediti od domaćih izvora</v>
      </c>
      <c r="C61" s="565"/>
      <c r="D61" s="565"/>
      <c r="E61" s="565"/>
      <c r="F61" s="565"/>
      <c r="G61" s="211">
        <v>0</v>
      </c>
      <c r="H61" s="211">
        <v>0</v>
      </c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50">
        <f t="shared" si="4"/>
        <v>0</v>
      </c>
      <c r="T61" s="471">
        <f t="shared" si="3"/>
        <v>0</v>
      </c>
    </row>
    <row r="62" spans="1:21">
      <c r="A62" s="144">
        <v>7512</v>
      </c>
      <c r="B62" s="540" t="str">
        <f>+VLOOKUP($A62,Master!$D$30:$G$226,4,FALSE)</f>
        <v>Pozajmice i krediti od inostranih izvora</v>
      </c>
      <c r="C62" s="541"/>
      <c r="D62" s="541"/>
      <c r="E62" s="541"/>
      <c r="F62" s="541"/>
      <c r="G62" s="211">
        <v>21765.27</v>
      </c>
      <c r="H62" s="211">
        <v>1062785.51</v>
      </c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50">
        <f t="shared" si="4"/>
        <v>1084550.78</v>
      </c>
      <c r="T62" s="471">
        <f t="shared" si="3"/>
        <v>1.7564713179801121E-2</v>
      </c>
    </row>
    <row r="63" spans="1:21">
      <c r="A63" s="144">
        <v>72</v>
      </c>
      <c r="B63" s="540" t="str">
        <f>+VLOOKUP($A63,Master!$D$30:$G$226,4,FALSE)</f>
        <v>Primici od prodaje imovine</v>
      </c>
      <c r="C63" s="541"/>
      <c r="D63" s="541"/>
      <c r="E63" s="541"/>
      <c r="F63" s="541"/>
      <c r="G63" s="211">
        <v>664808.06000000006</v>
      </c>
      <c r="H63" s="211">
        <v>77041.679999999993</v>
      </c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50">
        <f t="shared" si="4"/>
        <v>741849.74</v>
      </c>
      <c r="T63" s="471">
        <f t="shared" si="3"/>
        <v>1.2014539241408349E-2</v>
      </c>
    </row>
    <row r="64" spans="1:21" ht="13.5" thickBot="1">
      <c r="A64" s="144">
        <v>1004</v>
      </c>
      <c r="B64" s="223" t="str">
        <f>+VLOOKUP($A64,Master!$D$30:$G$226,4,FALSE)</f>
        <v>Povećanje / smanjenje depozita</v>
      </c>
      <c r="C64" s="224"/>
      <c r="D64" s="224"/>
      <c r="E64" s="224"/>
      <c r="F64" s="224"/>
      <c r="G64" s="225">
        <f>-G59-SUM(G61:G63)</f>
        <v>-23846439.87999998</v>
      </c>
      <c r="H64" s="225">
        <f t="shared" ref="H64:L64" si="14">-H59-SUM(H61:H63)</f>
        <v>32470642.740000006</v>
      </c>
      <c r="I64" s="225">
        <f t="shared" si="14"/>
        <v>0</v>
      </c>
      <c r="J64" s="225">
        <f t="shared" si="14"/>
        <v>0</v>
      </c>
      <c r="K64" s="225">
        <f t="shared" si="14"/>
        <v>0</v>
      </c>
      <c r="L64" s="225">
        <f t="shared" si="14"/>
        <v>0</v>
      </c>
      <c r="M64" s="225">
        <f t="shared" ref="M64:R64" si="15">-M59-SUM(M61:M63)</f>
        <v>0</v>
      </c>
      <c r="N64" s="225">
        <f t="shared" si="15"/>
        <v>0</v>
      </c>
      <c r="O64" s="225">
        <f t="shared" si="15"/>
        <v>0</v>
      </c>
      <c r="P64" s="225">
        <f t="shared" si="15"/>
        <v>0</v>
      </c>
      <c r="Q64" s="225">
        <f t="shared" si="15"/>
        <v>0</v>
      </c>
      <c r="R64" s="225">
        <f t="shared" si="15"/>
        <v>0</v>
      </c>
      <c r="S64" s="253">
        <f>+SUM(G64:R64)</f>
        <v>8624202.8600000255</v>
      </c>
      <c r="T64" s="475">
        <f t="shared" si="3"/>
        <v>0.13967225180578541</v>
      </c>
    </row>
    <row r="65" spans="7:18">
      <c r="R65" s="312"/>
    </row>
    <row r="66" spans="7:18">
      <c r="G66" s="311"/>
    </row>
    <row r="67" spans="7:18" hidden="1">
      <c r="G67" s="311"/>
    </row>
    <row r="68" spans="7:18" ht="9" hidden="1" customHeight="1"/>
    <row r="69" spans="7:18" hidden="1"/>
    <row r="70" spans="7:18" hidden="1"/>
    <row r="71" spans="7:18" hidden="1"/>
    <row r="72" spans="7:18" hidden="1"/>
    <row r="73" spans="7:18" hidden="1"/>
    <row r="74" spans="7:18" hidden="1"/>
    <row r="77" spans="7:18">
      <c r="Q77" s="311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6">+CONCATENATE(G6,"p")</f>
        <v>2023-01p</v>
      </c>
      <c r="H80" s="68" t="str">
        <f t="shared" si="16"/>
        <v>2023-02p</v>
      </c>
      <c r="I80" s="68" t="str">
        <f t="shared" si="16"/>
        <v>2023-03p</v>
      </c>
      <c r="J80" s="68" t="str">
        <f t="shared" si="16"/>
        <v>2023-04p</v>
      </c>
      <c r="K80" s="68" t="str">
        <f t="shared" si="16"/>
        <v>2023-05p</v>
      </c>
      <c r="L80" s="68" t="str">
        <f t="shared" si="16"/>
        <v>2023-06p</v>
      </c>
      <c r="M80" s="68" t="str">
        <f t="shared" si="16"/>
        <v>2023-07p</v>
      </c>
      <c r="N80" s="68" t="str">
        <f t="shared" si="16"/>
        <v>2023-08p</v>
      </c>
      <c r="O80" s="68" t="str">
        <f t="shared" si="16"/>
        <v>2023-09p</v>
      </c>
      <c r="P80" s="68" t="str">
        <f t="shared" si="16"/>
        <v>2023-10p</v>
      </c>
      <c r="Q80" s="68" t="str">
        <f t="shared" si="16"/>
        <v>2023-11p</v>
      </c>
      <c r="R80" s="68" t="str">
        <f t="shared" si="16"/>
        <v>2023-12p</v>
      </c>
    </row>
    <row r="81" spans="1:26" ht="15.75" customHeight="1" thickBot="1">
      <c r="B81" s="596" t="str">
        <f>+Master!G253</f>
        <v>Plan ostvarenja budžeta</v>
      </c>
      <c r="C81" s="597"/>
      <c r="D81" s="597"/>
      <c r="E81" s="597"/>
      <c r="F81" s="597"/>
      <c r="G81" s="604">
        <v>2023</v>
      </c>
      <c r="H81" s="605"/>
      <c r="I81" s="605"/>
      <c r="J81" s="605"/>
      <c r="K81" s="605"/>
      <c r="L81" s="605"/>
      <c r="M81" s="605"/>
      <c r="N81" s="605"/>
      <c r="O81" s="605"/>
      <c r="P81" s="605"/>
      <c r="Q81" s="605"/>
      <c r="R81" s="606"/>
      <c r="S81" s="107" t="str">
        <f>+S7</f>
        <v>BDP</v>
      </c>
      <c r="T81" s="108">
        <v>6174600000</v>
      </c>
    </row>
    <row r="82" spans="1:26" ht="15.75" customHeight="1">
      <c r="B82" s="598"/>
      <c r="C82" s="599"/>
      <c r="D82" s="599"/>
      <c r="E82" s="599"/>
      <c r="F82" s="600"/>
      <c r="G82" s="71" t="str">
        <f t="shared" ref="G82:R82" si="17">+G8</f>
        <v>Januar</v>
      </c>
      <c r="H82" s="71" t="str">
        <f t="shared" si="17"/>
        <v>Februar</v>
      </c>
      <c r="I82" s="71" t="str">
        <f t="shared" si="17"/>
        <v>Mart</v>
      </c>
      <c r="J82" s="71" t="str">
        <f t="shared" si="17"/>
        <v>April</v>
      </c>
      <c r="K82" s="71" t="str">
        <f t="shared" si="17"/>
        <v>Maj</v>
      </c>
      <c r="L82" s="71" t="str">
        <f t="shared" si="17"/>
        <v>Jun</v>
      </c>
      <c r="M82" s="71" t="str">
        <f t="shared" si="17"/>
        <v>Jul</v>
      </c>
      <c r="N82" s="71" t="str">
        <f t="shared" si="17"/>
        <v>Avgust</v>
      </c>
      <c r="O82" s="71" t="str">
        <f t="shared" si="17"/>
        <v>Septembar</v>
      </c>
      <c r="P82" s="71" t="str">
        <f t="shared" si="17"/>
        <v>Oktobar</v>
      </c>
      <c r="Q82" s="71" t="str">
        <f t="shared" si="17"/>
        <v>Novembar</v>
      </c>
      <c r="R82" s="71" t="str">
        <f t="shared" si="17"/>
        <v>Decembar</v>
      </c>
      <c r="S82" s="604" t="str">
        <f>+Master!G247</f>
        <v>Jan - Dec</v>
      </c>
      <c r="T82" s="606">
        <f>+T8</f>
        <v>0</v>
      </c>
    </row>
    <row r="83" spans="1:26" ht="13.5" thickBot="1">
      <c r="B83" s="601"/>
      <c r="C83" s="602"/>
      <c r="D83" s="602"/>
      <c r="E83" s="602"/>
      <c r="F83" s="603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6" ht="13.5" thickBot="1">
      <c r="A84" s="116" t="str">
        <f t="shared" ref="A84:A138" si="18">+CONCATENATE(A10,"p")</f>
        <v>7p</v>
      </c>
      <c r="B84" s="570" t="str">
        <f>+VLOOKUP(LEFT($A84,LEN(A84)-1)*1,Master!$D$30:$G$226,4,FALSE)</f>
        <v>Prihodi budžeta</v>
      </c>
      <c r="C84" s="571"/>
      <c r="D84" s="571"/>
      <c r="E84" s="571"/>
      <c r="F84" s="571"/>
      <c r="G84" s="93">
        <f t="shared" ref="G84:Q84" si="19">+G85+G93+SUM(G98:G102)</f>
        <v>153112731.45240748</v>
      </c>
      <c r="H84" s="93">
        <f t="shared" si="19"/>
        <v>127832756.55548061</v>
      </c>
      <c r="I84" s="93">
        <f t="shared" si="19"/>
        <v>201740232.63025409</v>
      </c>
      <c r="J84" s="93">
        <f t="shared" si="19"/>
        <v>197163981.770235</v>
      </c>
      <c r="K84" s="93">
        <f t="shared" si="19"/>
        <v>158296327.97128749</v>
      </c>
      <c r="L84" s="93">
        <f t="shared" si="19"/>
        <v>167200464.48127508</v>
      </c>
      <c r="M84" s="93">
        <f t="shared" si="19"/>
        <v>181861975.69392896</v>
      </c>
      <c r="N84" s="93">
        <f t="shared" si="19"/>
        <v>202109513.21302867</v>
      </c>
      <c r="O84" s="93">
        <f t="shared" si="19"/>
        <v>185021882.2158348</v>
      </c>
      <c r="P84" s="93">
        <f t="shared" si="19"/>
        <v>177565269.2391125</v>
      </c>
      <c r="Q84" s="93">
        <f t="shared" si="19"/>
        <v>168967337.33964974</v>
      </c>
      <c r="R84" s="93">
        <f>+R85+R93+SUM(R98:R102)</f>
        <v>226593742.01140162</v>
      </c>
      <c r="S84" s="452">
        <f>+SUM(G84:R84)</f>
        <v>2147466214.5738959</v>
      </c>
      <c r="T84" s="476">
        <f>+S84/$T$81*100</f>
        <v>34.779033695687104</v>
      </c>
      <c r="U84" s="258"/>
    </row>
    <row r="85" spans="1:26">
      <c r="A85" s="116" t="str">
        <f t="shared" si="18"/>
        <v>711p</v>
      </c>
      <c r="B85" s="594" t="str">
        <f>+VLOOKUP(LEFT($A85,LEN(A85)-1)*1,Master!$D$30:$G$226,4,FALSE)</f>
        <v>Porezi</v>
      </c>
      <c r="C85" s="595"/>
      <c r="D85" s="595"/>
      <c r="E85" s="595"/>
      <c r="F85" s="595"/>
      <c r="G85" s="79">
        <f t="shared" ref="G85:R85" si="20">+SUM(G86:G92)</f>
        <v>89053259.19649069</v>
      </c>
      <c r="H85" s="79">
        <f t="shared" si="20"/>
        <v>86133720.726993382</v>
      </c>
      <c r="I85" s="79">
        <f t="shared" si="20"/>
        <v>151611174.865978</v>
      </c>
      <c r="J85" s="79">
        <f t="shared" si="20"/>
        <v>145526098.37503338</v>
      </c>
      <c r="K85" s="79">
        <f t="shared" si="20"/>
        <v>114721167.87287787</v>
      </c>
      <c r="L85" s="79">
        <f t="shared" si="20"/>
        <v>116649816.05907366</v>
      </c>
      <c r="M85" s="79">
        <f t="shared" si="20"/>
        <v>123219445.94451815</v>
      </c>
      <c r="N85" s="79">
        <f t="shared" si="20"/>
        <v>144506632.21078962</v>
      </c>
      <c r="O85" s="79">
        <f t="shared" si="20"/>
        <v>130700085.51141171</v>
      </c>
      <c r="P85" s="79">
        <f t="shared" si="20"/>
        <v>120588265.76124729</v>
      </c>
      <c r="Q85" s="79">
        <f t="shared" si="20"/>
        <v>112197774.08556552</v>
      </c>
      <c r="R85" s="80">
        <f t="shared" si="20"/>
        <v>130556572.94447696</v>
      </c>
      <c r="S85" s="111">
        <f t="shared" ref="S85:S137" si="21">+SUM(G85:R85)</f>
        <v>1465464013.5544562</v>
      </c>
      <c r="T85" s="462">
        <f t="shared" ref="T85:T138" si="22">+S85/$T$81*100</f>
        <v>23.733748154608499</v>
      </c>
      <c r="V85" s="311"/>
    </row>
    <row r="86" spans="1:26">
      <c r="A86" s="116" t="str">
        <f t="shared" si="18"/>
        <v>7111p</v>
      </c>
      <c r="B86" s="586" t="str">
        <f>+VLOOKUP(LEFT($A86,LEN(A86)-1)*1,Master!$D$30:$G$229,4,FALSE)</f>
        <v>Porez na dohodak fizičkih lica</v>
      </c>
      <c r="C86" s="587"/>
      <c r="D86" s="587"/>
      <c r="E86" s="587"/>
      <c r="F86" s="587"/>
      <c r="G86" s="87">
        <v>2070902.7064199252</v>
      </c>
      <c r="H86" s="87">
        <v>4571441.5054620681</v>
      </c>
      <c r="I86" s="87">
        <v>4416792.289274618</v>
      </c>
      <c r="J86" s="87">
        <v>5257739.5478638252</v>
      </c>
      <c r="K86" s="87">
        <v>4986046.1475269934</v>
      </c>
      <c r="L86" s="87">
        <v>4944578.7228755346</v>
      </c>
      <c r="M86" s="87">
        <v>5364995.4780979399</v>
      </c>
      <c r="N86" s="87">
        <v>5116178.4586187964</v>
      </c>
      <c r="O86" s="87">
        <v>5045281.5655734073</v>
      </c>
      <c r="P86" s="87">
        <v>5285963.732247252</v>
      </c>
      <c r="Q86" s="87">
        <v>4877225.8311620513</v>
      </c>
      <c r="R86" s="87">
        <v>9102707.6780775897</v>
      </c>
      <c r="S86" s="112">
        <f t="shared" si="21"/>
        <v>61039853.663200006</v>
      </c>
      <c r="T86" s="463">
        <f t="shared" si="22"/>
        <v>0.98856369097917274</v>
      </c>
      <c r="V86" s="311"/>
    </row>
    <row r="87" spans="1:26">
      <c r="A87" s="116" t="str">
        <f t="shared" si="18"/>
        <v>7112p</v>
      </c>
      <c r="B87" s="586" t="str">
        <f>+VLOOKUP(LEFT($A87,LEN(A87)-1)*1,Master!$D$30:$G$229,4,FALSE)</f>
        <v>Porez na dobit pravnih lica</v>
      </c>
      <c r="C87" s="587"/>
      <c r="D87" s="587"/>
      <c r="E87" s="587"/>
      <c r="F87" s="587"/>
      <c r="G87" s="87">
        <v>534161.88979689125</v>
      </c>
      <c r="H87" s="87">
        <v>2931735.7925026831</v>
      </c>
      <c r="I87" s="87">
        <v>52182708.518122546</v>
      </c>
      <c r="J87" s="87">
        <v>38816261.383036874</v>
      </c>
      <c r="K87" s="87">
        <v>2899918.0051999893</v>
      </c>
      <c r="L87" s="87">
        <v>4080555.7993856557</v>
      </c>
      <c r="M87" s="87">
        <v>2527233.3334094649</v>
      </c>
      <c r="N87" s="87">
        <v>3169336.8152234615</v>
      </c>
      <c r="O87" s="87">
        <v>3538278.3583860644</v>
      </c>
      <c r="P87" s="87">
        <v>1664293.4786487306</v>
      </c>
      <c r="Q87" s="87">
        <v>2887333.7182166665</v>
      </c>
      <c r="R87" s="87">
        <v>6416604.0733927749</v>
      </c>
      <c r="S87" s="112">
        <f t="shared" si="21"/>
        <v>121648421.1653218</v>
      </c>
      <c r="T87" s="463">
        <f t="shared" si="22"/>
        <v>1.9701425382263109</v>
      </c>
      <c r="V87" s="311"/>
    </row>
    <row r="88" spans="1:26">
      <c r="A88" s="116" t="str">
        <f t="shared" si="18"/>
        <v>7113p</v>
      </c>
      <c r="B88" s="586" t="str">
        <f>+VLOOKUP(LEFT($A88,LEN(A88)-1)*1,Master!$D$30:$G$229,4,FALSE)</f>
        <v>Porez na promet nepokretnosti</v>
      </c>
      <c r="C88" s="587"/>
      <c r="D88" s="587"/>
      <c r="E88" s="587"/>
      <c r="F88" s="587"/>
      <c r="G88" s="87">
        <v>0</v>
      </c>
      <c r="H88" s="87">
        <v>0</v>
      </c>
      <c r="I88" s="87">
        <v>0</v>
      </c>
      <c r="J88" s="87">
        <v>0</v>
      </c>
      <c r="K88" s="87">
        <v>0</v>
      </c>
      <c r="L88" s="87">
        <v>0</v>
      </c>
      <c r="M88" s="87">
        <v>0</v>
      </c>
      <c r="N88" s="87">
        <v>0</v>
      </c>
      <c r="O88" s="87">
        <v>0</v>
      </c>
      <c r="P88" s="87">
        <v>0</v>
      </c>
      <c r="Q88" s="87">
        <v>0</v>
      </c>
      <c r="R88" s="87">
        <v>0</v>
      </c>
      <c r="S88" s="112">
        <f t="shared" si="21"/>
        <v>0</v>
      </c>
      <c r="T88" s="463">
        <f t="shared" si="22"/>
        <v>0</v>
      </c>
      <c r="V88" s="311"/>
    </row>
    <row r="89" spans="1:26">
      <c r="A89" s="116" t="str">
        <f t="shared" si="18"/>
        <v>7114p</v>
      </c>
      <c r="B89" s="586" t="str">
        <f>+VLOOKUP(LEFT($A89,LEN(A89)-1)*1,Master!$D$30:$G$229,4,FALSE)</f>
        <v>Porez na dodatu vrijednost</v>
      </c>
      <c r="C89" s="587"/>
      <c r="D89" s="587"/>
      <c r="E89" s="587"/>
      <c r="F89" s="587"/>
      <c r="G89" s="87">
        <v>65000000</v>
      </c>
      <c r="H89" s="87">
        <v>59157257.036181271</v>
      </c>
      <c r="I89" s="87">
        <v>70779064.900745258</v>
      </c>
      <c r="J89" s="87">
        <v>77609564.108106285</v>
      </c>
      <c r="K89" s="87">
        <v>80764321.173744261</v>
      </c>
      <c r="L89" s="87">
        <v>82000000</v>
      </c>
      <c r="M89" s="87">
        <v>86587361.219999999</v>
      </c>
      <c r="N89" s="87">
        <v>99000000</v>
      </c>
      <c r="O89" s="87">
        <v>89355645.696232229</v>
      </c>
      <c r="P89" s="87">
        <v>85000000</v>
      </c>
      <c r="Q89" s="87">
        <v>80002523.512198836</v>
      </c>
      <c r="R89" s="87">
        <v>83726072.568305194</v>
      </c>
      <c r="S89" s="112">
        <f t="shared" si="21"/>
        <v>958981810.21551323</v>
      </c>
      <c r="T89" s="463">
        <f t="shared" si="22"/>
        <v>15.531075862655285</v>
      </c>
      <c r="V89" s="311"/>
    </row>
    <row r="90" spans="1:26">
      <c r="A90" s="116" t="str">
        <f t="shared" si="18"/>
        <v>7115p</v>
      </c>
      <c r="B90" s="586" t="str">
        <f>+VLOOKUP(LEFT($A90,LEN(A90)-1)*1,Master!$D$30:$G$229,4,FALSE)</f>
        <v>Akcize</v>
      </c>
      <c r="C90" s="587"/>
      <c r="D90" s="587"/>
      <c r="E90" s="587"/>
      <c r="F90" s="587"/>
      <c r="G90" s="87">
        <v>18950000</v>
      </c>
      <c r="H90" s="87">
        <v>16468285.819688315</v>
      </c>
      <c r="I90" s="87">
        <v>20008845.7876136</v>
      </c>
      <c r="J90" s="87">
        <v>19694697.412667502</v>
      </c>
      <c r="K90" s="87">
        <v>21753669.00624115</v>
      </c>
      <c r="L90" s="87">
        <v>20861971.060195781</v>
      </c>
      <c r="M90" s="87">
        <v>23890190.547238827</v>
      </c>
      <c r="N90" s="87">
        <v>31837007.557229187</v>
      </c>
      <c r="O90" s="87">
        <v>27952742.360335764</v>
      </c>
      <c r="P90" s="87">
        <v>24243081.612867884</v>
      </c>
      <c r="Q90" s="87">
        <v>19387116.28225591</v>
      </c>
      <c r="R90" s="87">
        <v>26404567.592340976</v>
      </c>
      <c r="S90" s="112">
        <f t="shared" si="21"/>
        <v>271452175.03867495</v>
      </c>
      <c r="T90" s="463">
        <f t="shared" si="22"/>
        <v>4.3962714190178307</v>
      </c>
      <c r="V90" s="311"/>
      <c r="X90" s="257"/>
      <c r="Y90" s="257"/>
      <c r="Z90" s="257"/>
    </row>
    <row r="91" spans="1:26">
      <c r="A91" s="116" t="str">
        <f t="shared" si="18"/>
        <v>7116p</v>
      </c>
      <c r="B91" s="586" t="str">
        <f>+VLOOKUP(LEFT($A91,LEN(A91)-1)*1,Master!$D$30:$G$229,4,FALSE)</f>
        <v>Porez na međunarodnu trgovinu i transakcije</v>
      </c>
      <c r="C91" s="587"/>
      <c r="D91" s="587"/>
      <c r="E91" s="587"/>
      <c r="F91" s="587"/>
      <c r="G91" s="87">
        <v>1690050.6290672496</v>
      </c>
      <c r="H91" s="87">
        <v>2149690.2071043747</v>
      </c>
      <c r="I91" s="87">
        <v>3285503.6338270181</v>
      </c>
      <c r="J91" s="87">
        <v>3112309.3959054868</v>
      </c>
      <c r="K91" s="87">
        <v>3395864.9730360894</v>
      </c>
      <c r="L91" s="87">
        <v>3721386.9341526693</v>
      </c>
      <c r="M91" s="87">
        <v>3649795.5179858184</v>
      </c>
      <c r="N91" s="87">
        <v>4254913.4315361446</v>
      </c>
      <c r="O91" s="87">
        <v>3771141.3156107357</v>
      </c>
      <c r="P91" s="87">
        <v>3431995.0529172528</v>
      </c>
      <c r="Q91" s="87">
        <v>3902366.8888178305</v>
      </c>
      <c r="R91" s="87">
        <v>3887332.176758409</v>
      </c>
      <c r="S91" s="112">
        <f t="shared" si="21"/>
        <v>40252350.156719081</v>
      </c>
      <c r="T91" s="463">
        <f t="shared" si="22"/>
        <v>0.6519021500456561</v>
      </c>
      <c r="V91" s="311"/>
    </row>
    <row r="92" spans="1:26">
      <c r="A92" s="116" t="str">
        <f t="shared" si="18"/>
        <v>7118p</v>
      </c>
      <c r="B92" s="586" t="str">
        <f>+VLOOKUP(LEFT($A92,LEN(A92)-1)*1,Master!$D$30:$G$229,4,FALSE)</f>
        <v>Ostali državni porezi</v>
      </c>
      <c r="C92" s="587"/>
      <c r="D92" s="587"/>
      <c r="E92" s="587"/>
      <c r="F92" s="587"/>
      <c r="G92" s="87">
        <v>808143.97120662592</v>
      </c>
      <c r="H92" s="87">
        <v>855310.36605466809</v>
      </c>
      <c r="I92" s="87">
        <v>938259.73639494251</v>
      </c>
      <c r="J92" s="87">
        <v>1035526.5274533973</v>
      </c>
      <c r="K92" s="87">
        <v>921348.56712938857</v>
      </c>
      <c r="L92" s="87">
        <v>1041323.5424640164</v>
      </c>
      <c r="M92" s="87">
        <v>1199869.8477860999</v>
      </c>
      <c r="N92" s="87">
        <v>1129195.9481820336</v>
      </c>
      <c r="O92" s="87">
        <v>1036996.2152735114</v>
      </c>
      <c r="P92" s="87">
        <v>962931.88456615142</v>
      </c>
      <c r="Q92" s="87">
        <v>1141207.8529142153</v>
      </c>
      <c r="R92" s="87">
        <v>1019288.8556020237</v>
      </c>
      <c r="S92" s="112">
        <f t="shared" si="21"/>
        <v>12089403.315027073</v>
      </c>
      <c r="T92" s="463">
        <f t="shared" si="22"/>
        <v>0.19579249368423984</v>
      </c>
      <c r="V92" s="311"/>
    </row>
    <row r="93" spans="1:26">
      <c r="A93" s="116" t="str">
        <f t="shared" si="18"/>
        <v>712p</v>
      </c>
      <c r="B93" s="592" t="str">
        <f>+VLOOKUP(LEFT($A93,LEN(A93)-1)*1,Master!$D$30:$G$229,4,FALSE)</f>
        <v>Doprinosi</v>
      </c>
      <c r="C93" s="593"/>
      <c r="D93" s="593"/>
      <c r="E93" s="593"/>
      <c r="F93" s="593"/>
      <c r="G93" s="81">
        <f>+SUM(G94:G97)</f>
        <v>14028547.954861166</v>
      </c>
      <c r="H93" s="81">
        <f t="shared" ref="H93:R93" si="23">+SUM(H94:H97)</f>
        <v>35494684.891336001</v>
      </c>
      <c r="I93" s="479">
        <f t="shared" si="23"/>
        <v>34746900.973094396</v>
      </c>
      <c r="J93" s="81">
        <f t="shared" si="23"/>
        <v>42833596.089660697</v>
      </c>
      <c r="K93" s="81">
        <f t="shared" si="23"/>
        <v>31865136.166640289</v>
      </c>
      <c r="L93" s="81">
        <f t="shared" si="23"/>
        <v>38887014.54653661</v>
      </c>
      <c r="M93" s="81">
        <f t="shared" si="23"/>
        <v>41674957.146424204</v>
      </c>
      <c r="N93" s="81">
        <f t="shared" si="23"/>
        <v>39623582.115929469</v>
      </c>
      <c r="O93" s="81">
        <f t="shared" si="23"/>
        <v>38556106.773443051</v>
      </c>
      <c r="P93" s="81">
        <f t="shared" si="23"/>
        <v>41225764.80063308</v>
      </c>
      <c r="Q93" s="81">
        <f t="shared" si="23"/>
        <v>39258499.915648282</v>
      </c>
      <c r="R93" s="82">
        <f t="shared" si="23"/>
        <v>76561513.993556961</v>
      </c>
      <c r="S93" s="113">
        <f t="shared" si="21"/>
        <v>474756305.36776417</v>
      </c>
      <c r="T93" s="464">
        <f t="shared" si="22"/>
        <v>7.6888592842899008</v>
      </c>
      <c r="V93" s="311"/>
    </row>
    <row r="94" spans="1:26">
      <c r="A94" s="116" t="str">
        <f t="shared" si="18"/>
        <v>7121p</v>
      </c>
      <c r="B94" s="586" t="str">
        <f>+VLOOKUP(LEFT($A94,LEN(A94)-1)*1,Master!$D$30:$G$229,4,FALSE)</f>
        <v>Doprinosi za penzijsko i invalidsko osiguranje</v>
      </c>
      <c r="C94" s="587"/>
      <c r="D94" s="587"/>
      <c r="E94" s="587"/>
      <c r="F94" s="587"/>
      <c r="G94" s="87">
        <v>12922296.768241206</v>
      </c>
      <c r="H94" s="87">
        <v>32778046.640397433</v>
      </c>
      <c r="I94" s="87">
        <v>31885035.782585178</v>
      </c>
      <c r="J94" s="87">
        <v>39517642.627177365</v>
      </c>
      <c r="K94" s="87">
        <v>29460956.519365169</v>
      </c>
      <c r="L94" s="87">
        <v>35997729.315968178</v>
      </c>
      <c r="M94" s="87">
        <v>38602836.994617537</v>
      </c>
      <c r="N94" s="87">
        <v>36676993.713693559</v>
      </c>
      <c r="O94" s="87">
        <v>35626366.833726309</v>
      </c>
      <c r="P94" s="87">
        <v>38068802.692633055</v>
      </c>
      <c r="Q94" s="87">
        <v>36305288.307839207</v>
      </c>
      <c r="R94" s="87">
        <v>70883550.649357751</v>
      </c>
      <c r="S94" s="112">
        <f t="shared" si="21"/>
        <v>438725546.84560192</v>
      </c>
      <c r="T94" s="463">
        <f t="shared" si="22"/>
        <v>7.1053274195187051</v>
      </c>
      <c r="V94" s="311"/>
      <c r="W94" s="311"/>
    </row>
    <row r="95" spans="1:26">
      <c r="A95" s="116" t="str">
        <f t="shared" si="18"/>
        <v>7122p</v>
      </c>
      <c r="B95" s="586" t="str">
        <f>+VLOOKUP(LEFT($A95,LEN(A95)-1)*1,Master!$D$30:$G$229,4,FALSE)</f>
        <v>Doprinosi za zdravstveno osiguranje</v>
      </c>
      <c r="C95" s="587"/>
      <c r="D95" s="587"/>
      <c r="E95" s="587"/>
      <c r="F95" s="587"/>
      <c r="G95" s="87">
        <v>100023.86869410829</v>
      </c>
      <c r="H95" s="87">
        <v>100023.86869410829</v>
      </c>
      <c r="I95" s="87">
        <v>100023.86869410829</v>
      </c>
      <c r="J95" s="87">
        <v>100023.86869410829</v>
      </c>
      <c r="K95" s="87">
        <v>100023.86869410829</v>
      </c>
      <c r="L95" s="87">
        <v>100023.86869410829</v>
      </c>
      <c r="M95" s="87">
        <v>100023.86869410829</v>
      </c>
      <c r="N95" s="87">
        <v>100023.86869410829</v>
      </c>
      <c r="O95" s="87">
        <v>100023.86869410829</v>
      </c>
      <c r="P95" s="87">
        <v>100023.86869410829</v>
      </c>
      <c r="Q95" s="87">
        <v>100023.86869410829</v>
      </c>
      <c r="R95" s="87">
        <v>100023.86869410829</v>
      </c>
      <c r="S95" s="112">
        <f t="shared" si="21"/>
        <v>1200286.4243292995</v>
      </c>
      <c r="T95" s="463">
        <f t="shared" si="22"/>
        <v>1.9439096043942922E-2</v>
      </c>
      <c r="V95" s="311"/>
    </row>
    <row r="96" spans="1:26">
      <c r="A96" s="116" t="str">
        <f t="shared" si="18"/>
        <v>7123p</v>
      </c>
      <c r="B96" s="586" t="str">
        <f>+VLOOKUP(LEFT($A96,LEN(A96)-1)*1,Master!$D$30:$G$229,4,FALSE)</f>
        <v>Doprinosi za osiguranje od nezaposlenosti</v>
      </c>
      <c r="C96" s="587"/>
      <c r="D96" s="587"/>
      <c r="E96" s="587"/>
      <c r="F96" s="587"/>
      <c r="G96" s="87">
        <v>619197.91655976803</v>
      </c>
      <c r="H96" s="87">
        <v>1562283.5053246473</v>
      </c>
      <c r="I96" s="87">
        <v>1529231.4074864856</v>
      </c>
      <c r="J96" s="87">
        <v>1852310.804590398</v>
      </c>
      <c r="K96" s="87">
        <v>1381579.4426863664</v>
      </c>
      <c r="L96" s="87">
        <v>1646351.3865687051</v>
      </c>
      <c r="M96" s="87">
        <v>1773247.4402761667</v>
      </c>
      <c r="N96" s="87">
        <v>1691805.2177619261</v>
      </c>
      <c r="O96" s="87">
        <v>1673177.7559083714</v>
      </c>
      <c r="P96" s="87">
        <v>1765599.6533184864</v>
      </c>
      <c r="Q96" s="87">
        <v>1660050.5394028926</v>
      </c>
      <c r="R96" s="87">
        <v>3206078.6416049507</v>
      </c>
      <c r="S96" s="112">
        <f t="shared" si="21"/>
        <v>20360913.711489163</v>
      </c>
      <c r="T96" s="463">
        <f t="shared" si="22"/>
        <v>0.32975275663993076</v>
      </c>
      <c r="V96" s="311"/>
    </row>
    <row r="97" spans="1:23">
      <c r="A97" s="116" t="str">
        <f t="shared" si="18"/>
        <v>7124p</v>
      </c>
      <c r="B97" s="586" t="str">
        <f>+VLOOKUP(LEFT($A97,LEN(A97)-1)*1,Master!$D$30:$G$229,4,FALSE)</f>
        <v>Ostali doprinosi</v>
      </c>
      <c r="C97" s="587"/>
      <c r="D97" s="587"/>
      <c r="E97" s="587"/>
      <c r="F97" s="587"/>
      <c r="G97" s="87">
        <v>387029.40136608307</v>
      </c>
      <c r="H97" s="87">
        <v>1054330.8769198155</v>
      </c>
      <c r="I97" s="87">
        <v>1232609.9143286212</v>
      </c>
      <c r="J97" s="87">
        <v>1363618.7891988268</v>
      </c>
      <c r="K97" s="87">
        <v>922576.33589464275</v>
      </c>
      <c r="L97" s="87">
        <v>1142909.9753056148</v>
      </c>
      <c r="M97" s="87">
        <v>1198848.8428363875</v>
      </c>
      <c r="N97" s="87">
        <v>1154759.3157798722</v>
      </c>
      <c r="O97" s="87">
        <v>1156538.3151142579</v>
      </c>
      <c r="P97" s="87">
        <v>1291338.5859874277</v>
      </c>
      <c r="Q97" s="87">
        <v>1193137.199712065</v>
      </c>
      <c r="R97" s="87">
        <v>2371860.8339001467</v>
      </c>
      <c r="S97" s="112">
        <f t="shared" si="21"/>
        <v>14469558.386343762</v>
      </c>
      <c r="T97" s="463">
        <f t="shared" si="22"/>
        <v>0.23434001208732166</v>
      </c>
      <c r="V97" s="311"/>
    </row>
    <row r="98" spans="1:23">
      <c r="A98" s="116" t="str">
        <f t="shared" si="18"/>
        <v>713p</v>
      </c>
      <c r="B98" s="592" t="str">
        <f>+VLOOKUP(LEFT($A98,LEN(A98)-1)*1,Master!$D$30:$G$229,4,FALSE)</f>
        <v>Takse</v>
      </c>
      <c r="C98" s="593"/>
      <c r="D98" s="593"/>
      <c r="E98" s="593"/>
      <c r="F98" s="593"/>
      <c r="G98" s="83">
        <v>670553.32707319653</v>
      </c>
      <c r="H98" s="83">
        <v>853610.81100259756</v>
      </c>
      <c r="I98" s="83">
        <v>866806.93435184658</v>
      </c>
      <c r="J98" s="83">
        <v>1045994.3342145921</v>
      </c>
      <c r="K98" s="83">
        <v>975864.39322560804</v>
      </c>
      <c r="L98" s="83">
        <v>1069123.3509492602</v>
      </c>
      <c r="M98" s="83">
        <v>1754495.9179910745</v>
      </c>
      <c r="N98" s="83">
        <v>1873370.8901127889</v>
      </c>
      <c r="O98" s="83">
        <v>1507509.8465881622</v>
      </c>
      <c r="P98" s="83">
        <v>1219130.6368902784</v>
      </c>
      <c r="Q98" s="83">
        <v>1025348.8829897568</v>
      </c>
      <c r="R98" s="83">
        <v>1389128.8981358397</v>
      </c>
      <c r="S98" s="113">
        <f t="shared" si="21"/>
        <v>14250938.223525003</v>
      </c>
      <c r="T98" s="464">
        <f t="shared" si="22"/>
        <v>0.23079937523928679</v>
      </c>
      <c r="V98" s="311"/>
    </row>
    <row r="99" spans="1:23">
      <c r="A99" s="116" t="str">
        <f t="shared" si="18"/>
        <v>714p</v>
      </c>
      <c r="B99" s="592" t="str">
        <f>+VLOOKUP(LEFT($A99,LEN(A99)-1)*1,Master!$D$30:$G$229,4,FALSE)</f>
        <v>Naknade</v>
      </c>
      <c r="C99" s="593"/>
      <c r="D99" s="593"/>
      <c r="E99" s="593"/>
      <c r="F99" s="593"/>
      <c r="G99" s="83">
        <v>12301859.137453955</v>
      </c>
      <c r="H99" s="83">
        <v>1737839.0434846203</v>
      </c>
      <c r="I99" s="83">
        <v>2414564.2682698909</v>
      </c>
      <c r="J99" s="83">
        <v>2360898.2221326954</v>
      </c>
      <c r="K99" s="83">
        <v>1893341.290231579</v>
      </c>
      <c r="L99" s="83">
        <v>3087651.9216982825</v>
      </c>
      <c r="M99" s="83">
        <v>2833106.8014261499</v>
      </c>
      <c r="N99" s="83">
        <v>1908379.2093100648</v>
      </c>
      <c r="O99" s="83">
        <v>2810433.9965217365</v>
      </c>
      <c r="P99" s="83">
        <v>3370011.6773951356</v>
      </c>
      <c r="Q99" s="83">
        <v>2865853.2964798021</v>
      </c>
      <c r="R99" s="83">
        <v>4104318.4117466188</v>
      </c>
      <c r="S99" s="113">
        <f t="shared" si="21"/>
        <v>41688257.276150532</v>
      </c>
      <c r="T99" s="464">
        <f t="shared" si="22"/>
        <v>0.67515721303648069</v>
      </c>
      <c r="V99" s="311"/>
    </row>
    <row r="100" spans="1:23">
      <c r="A100" s="116" t="str">
        <f t="shared" si="18"/>
        <v>715p</v>
      </c>
      <c r="B100" s="592" t="str">
        <f>+VLOOKUP(LEFT($A100,LEN(A100)-1)*1,Master!$D$30:$G$229,4,FALSE)</f>
        <v>Ostali prihodi</v>
      </c>
      <c r="C100" s="593"/>
      <c r="D100" s="593"/>
      <c r="E100" s="593"/>
      <c r="F100" s="593"/>
      <c r="G100" s="83">
        <v>35476989.500013761</v>
      </c>
      <c r="H100" s="83">
        <v>1666927.9695483148</v>
      </c>
      <c r="I100" s="83">
        <v>1797638.0792588741</v>
      </c>
      <c r="J100" s="83">
        <v>1832014.0594961573</v>
      </c>
      <c r="K100" s="83">
        <v>4733890.0403573457</v>
      </c>
      <c r="L100" s="83">
        <v>2822218.6125436462</v>
      </c>
      <c r="M100" s="83">
        <v>9067540.6215341613</v>
      </c>
      <c r="N100" s="83">
        <v>9516386.4239806794</v>
      </c>
      <c r="O100" s="83">
        <v>8077599.8803823311</v>
      </c>
      <c r="P100" s="83">
        <v>7745200.2754089963</v>
      </c>
      <c r="Q100" s="83">
        <v>8762559.2854723595</v>
      </c>
      <c r="R100" s="83">
        <v>8676446.8240033779</v>
      </c>
      <c r="S100" s="113">
        <f t="shared" si="21"/>
        <v>100175411.57200001</v>
      </c>
      <c r="T100" s="464">
        <f t="shared" si="22"/>
        <v>1.6223789649855862</v>
      </c>
      <c r="V100" s="311"/>
    </row>
    <row r="101" spans="1:23">
      <c r="A101" s="116" t="str">
        <f t="shared" si="18"/>
        <v>73p</v>
      </c>
      <c r="B101" s="592" t="str">
        <f>+VLOOKUP(LEFT($A101,LEN(A101)-1)*1,Master!$D$30:$G$229,4,FALSE)</f>
        <v>Primici od otplate kredita i sredstva prenesena iz prethodne godine</v>
      </c>
      <c r="C101" s="593"/>
      <c r="D101" s="593"/>
      <c r="E101" s="593"/>
      <c r="F101" s="593"/>
      <c r="G101" s="83">
        <v>81522.336514710114</v>
      </c>
      <c r="H101" s="83">
        <v>445973.11311571056</v>
      </c>
      <c r="I101" s="83">
        <v>303147.50930105889</v>
      </c>
      <c r="J101" s="83">
        <v>411671.2919196891</v>
      </c>
      <c r="K101" s="83">
        <v>953218.81017704192</v>
      </c>
      <c r="L101" s="83">
        <v>1530930.5926958604</v>
      </c>
      <c r="M101" s="83">
        <v>158719.86425742233</v>
      </c>
      <c r="N101" s="83">
        <v>1527452.9651282593</v>
      </c>
      <c r="O101" s="83">
        <v>216436.80971001115</v>
      </c>
      <c r="P101" s="83">
        <v>263186.6897599264</v>
      </c>
      <c r="Q101" s="83">
        <v>1703592.4757162347</v>
      </c>
      <c r="R101" s="83">
        <v>2152051.5417040759</v>
      </c>
      <c r="S101" s="113">
        <f t="shared" si="21"/>
        <v>9747904</v>
      </c>
      <c r="T101" s="464">
        <f t="shared" si="22"/>
        <v>0.15787101998510025</v>
      </c>
      <c r="V101" s="311"/>
      <c r="W101" s="311"/>
    </row>
    <row r="102" spans="1:23" ht="13.5" thickBot="1">
      <c r="A102" s="116" t="str">
        <f t="shared" si="18"/>
        <v>74p</v>
      </c>
      <c r="B102" s="588" t="str">
        <f>+VLOOKUP(LEFT($A102,LEN(A102)-1)*1,Master!$D$30:$G$229,4,FALSE)</f>
        <v>Donacije i transferi</v>
      </c>
      <c r="C102" s="589"/>
      <c r="D102" s="589"/>
      <c r="E102" s="589"/>
      <c r="F102" s="589"/>
      <c r="G102" s="83">
        <v>1500000</v>
      </c>
      <c r="H102" s="83">
        <v>1500000</v>
      </c>
      <c r="I102" s="83">
        <v>10000000</v>
      </c>
      <c r="J102" s="83">
        <v>3153709.3977777776</v>
      </c>
      <c r="K102" s="83">
        <v>3153709.3977777776</v>
      </c>
      <c r="L102" s="83">
        <v>3153709.3977777776</v>
      </c>
      <c r="M102" s="83">
        <v>3153709.3977777776</v>
      </c>
      <c r="N102" s="83">
        <v>3153709.3977777776</v>
      </c>
      <c r="O102" s="83">
        <v>3153709.3977777776</v>
      </c>
      <c r="P102" s="83">
        <v>3153709.3977777776</v>
      </c>
      <c r="Q102" s="83">
        <v>3153709.3977777776</v>
      </c>
      <c r="R102" s="83">
        <v>3153709.3977777776</v>
      </c>
      <c r="S102" s="114">
        <f t="shared" si="21"/>
        <v>41383384.580000006</v>
      </c>
      <c r="T102" s="465">
        <f t="shared" si="22"/>
        <v>0.67021968354225381</v>
      </c>
      <c r="V102" s="311"/>
    </row>
    <row r="103" spans="1:23" ht="13.5" thickBot="1">
      <c r="A103" s="116" t="str">
        <f t="shared" si="18"/>
        <v>4p</v>
      </c>
      <c r="B103" s="570" t="str">
        <f>+VLOOKUP(LEFT($A103,LEN(A103)-1)*1,Master!$D$30:$G$229,4,FALSE)</f>
        <v>Izdaci budžeta</v>
      </c>
      <c r="C103" s="571"/>
      <c r="D103" s="571"/>
      <c r="E103" s="571"/>
      <c r="F103" s="571"/>
      <c r="G103" s="93">
        <f t="shared" ref="G103:R103" si="24">+G104+G114+G120+SUM(G121:G125)</f>
        <v>175509865.05999997</v>
      </c>
      <c r="H103" s="93">
        <f t="shared" si="24"/>
        <v>194904102.36999997</v>
      </c>
      <c r="I103" s="93">
        <f t="shared" si="24"/>
        <v>204056525.62</v>
      </c>
      <c r="J103" s="93">
        <f t="shared" si="24"/>
        <v>215049716.38000003</v>
      </c>
      <c r="K103" s="93">
        <f t="shared" si="24"/>
        <v>199767991.34</v>
      </c>
      <c r="L103" s="93">
        <f t="shared" si="24"/>
        <v>194478060.15000001</v>
      </c>
      <c r="M103" s="93">
        <f t="shared" si="24"/>
        <v>237229120.77000004</v>
      </c>
      <c r="N103" s="93">
        <f t="shared" si="24"/>
        <v>208577181.37000003</v>
      </c>
      <c r="O103" s="93">
        <f t="shared" si="24"/>
        <v>212332628.14999998</v>
      </c>
      <c r="P103" s="93">
        <f t="shared" si="24"/>
        <v>219165654.14000002</v>
      </c>
      <c r="Q103" s="93">
        <f t="shared" si="24"/>
        <v>215801622.55000001</v>
      </c>
      <c r="R103" s="93">
        <f t="shared" si="24"/>
        <v>236910680.68000001</v>
      </c>
      <c r="S103" s="450">
        <f>+SUM(G103:R103)</f>
        <v>2513783148.5799999</v>
      </c>
      <c r="T103" s="477">
        <f t="shared" si="22"/>
        <v>40.711676036990248</v>
      </c>
      <c r="V103" s="291"/>
    </row>
    <row r="104" spans="1:23">
      <c r="A104" s="116" t="str">
        <f t="shared" si="18"/>
        <v>41p</v>
      </c>
      <c r="B104" s="590" t="str">
        <f>+VLOOKUP(LEFT($A104,LEN(A104)-1)*1,Master!$D$30:$G$229,4,FALSE)</f>
        <v>Tekući izdaci</v>
      </c>
      <c r="C104" s="591"/>
      <c r="D104" s="591"/>
      <c r="E104" s="591"/>
      <c r="F104" s="591"/>
      <c r="G104" s="85">
        <f t="shared" ref="G104:R104" si="25">+SUM(G105:G113)</f>
        <v>71899625.829999968</v>
      </c>
      <c r="H104" s="85">
        <f t="shared" si="25"/>
        <v>80973595.029999986</v>
      </c>
      <c r="I104" s="85">
        <f t="shared" si="25"/>
        <v>81069361.99000001</v>
      </c>
      <c r="J104" s="85">
        <f t="shared" si="25"/>
        <v>100567396.8</v>
      </c>
      <c r="K104" s="85">
        <f t="shared" si="25"/>
        <v>84597904.25999999</v>
      </c>
      <c r="L104" s="85">
        <f t="shared" si="25"/>
        <v>78964000.50999999</v>
      </c>
      <c r="M104" s="85">
        <f t="shared" si="25"/>
        <v>94970976.420000017</v>
      </c>
      <c r="N104" s="85">
        <f t="shared" si="25"/>
        <v>81866855.860000014</v>
      </c>
      <c r="O104" s="85">
        <f t="shared" si="25"/>
        <v>80815803.73999998</v>
      </c>
      <c r="P104" s="85">
        <f t="shared" si="25"/>
        <v>93936445.850000009</v>
      </c>
      <c r="Q104" s="85">
        <f t="shared" si="25"/>
        <v>91854698.299999997</v>
      </c>
      <c r="R104" s="86">
        <f t="shared" si="25"/>
        <v>112771922.60000001</v>
      </c>
      <c r="S104" s="111">
        <f t="shared" si="21"/>
        <v>1054288587.1899999</v>
      </c>
      <c r="T104" s="462">
        <f t="shared" si="22"/>
        <v>17.074605435007932</v>
      </c>
      <c r="V104" s="291"/>
      <c r="W104" s="291"/>
    </row>
    <row r="105" spans="1:23">
      <c r="A105" s="116" t="str">
        <f t="shared" si="18"/>
        <v>411p</v>
      </c>
      <c r="B105" s="586" t="str">
        <f>+VLOOKUP(LEFT($A105,LEN(A105)-1)*1,Master!$D$30:$G$229,4,FALSE)</f>
        <v>Bruto zarade i doprinosi na teret poslodavca</v>
      </c>
      <c r="C105" s="587"/>
      <c r="D105" s="587"/>
      <c r="E105" s="587"/>
      <c r="F105" s="587"/>
      <c r="G105" s="87">
        <v>40912611.519999981</v>
      </c>
      <c r="H105" s="87">
        <v>53719884.62999998</v>
      </c>
      <c r="I105" s="87">
        <v>53690308.509999998</v>
      </c>
      <c r="J105" s="87">
        <v>51811285.369999997</v>
      </c>
      <c r="K105" s="87">
        <v>51811014.989999995</v>
      </c>
      <c r="L105" s="87">
        <v>51811018.119999997</v>
      </c>
      <c r="M105" s="87">
        <v>51929663.729999997</v>
      </c>
      <c r="N105" s="87">
        <v>51915159.310000002</v>
      </c>
      <c r="O105" s="87">
        <v>51913746.32</v>
      </c>
      <c r="P105" s="87">
        <v>51913177.569999985</v>
      </c>
      <c r="Q105" s="87">
        <v>51907184.879999995</v>
      </c>
      <c r="R105" s="87">
        <f>63970907.57+366.55</f>
        <v>63971274.119999997</v>
      </c>
      <c r="S105" s="112">
        <f t="shared" si="21"/>
        <v>627306329.07000005</v>
      </c>
      <c r="T105" s="463">
        <f t="shared" si="22"/>
        <v>10.159465051501313</v>
      </c>
      <c r="V105" s="516"/>
    </row>
    <row r="106" spans="1:23">
      <c r="A106" s="116" t="str">
        <f t="shared" si="18"/>
        <v>412p</v>
      </c>
      <c r="B106" s="586" t="str">
        <f>+VLOOKUP(LEFT($A106,LEN(A106)-1)*1,Master!$D$30:$G$229,4,FALSE)</f>
        <v>Ostala lična primanja</v>
      </c>
      <c r="C106" s="587"/>
      <c r="D106" s="587"/>
      <c r="E106" s="587"/>
      <c r="F106" s="587"/>
      <c r="G106" s="87">
        <v>1165964.5099999995</v>
      </c>
      <c r="H106" s="87">
        <v>1655470.5600000005</v>
      </c>
      <c r="I106" s="87">
        <v>1609325.4600000002</v>
      </c>
      <c r="J106" s="87">
        <v>1540575.46</v>
      </c>
      <c r="K106" s="87">
        <v>1497392.13</v>
      </c>
      <c r="L106" s="87">
        <v>1495762.0999999996</v>
      </c>
      <c r="M106" s="87">
        <v>1729357.3499999999</v>
      </c>
      <c r="N106" s="87">
        <v>1675061.92</v>
      </c>
      <c r="O106" s="87">
        <v>1685727.83</v>
      </c>
      <c r="P106" s="87">
        <v>1678180.67</v>
      </c>
      <c r="Q106" s="87">
        <v>1850540.7499999998</v>
      </c>
      <c r="R106" s="87">
        <v>2068659.9999999998</v>
      </c>
      <c r="S106" s="112">
        <f t="shared" si="21"/>
        <v>19652018.739999998</v>
      </c>
      <c r="T106" s="463">
        <f t="shared" si="22"/>
        <v>0.31827193243287011</v>
      </c>
      <c r="V106" s="516"/>
    </row>
    <row r="107" spans="1:23">
      <c r="A107" s="116" t="str">
        <f t="shared" si="18"/>
        <v>413p</v>
      </c>
      <c r="B107" s="586" t="str">
        <f>+VLOOKUP(LEFT($A107,LEN(A107)-1)*1,Master!$D$30:$G$229,4,FALSE)</f>
        <v>Rashodi za materijal</v>
      </c>
      <c r="C107" s="587"/>
      <c r="D107" s="587"/>
      <c r="E107" s="587"/>
      <c r="F107" s="587"/>
      <c r="G107" s="87">
        <v>5182242.0599999996</v>
      </c>
      <c r="H107" s="87">
        <v>3920733.4100000006</v>
      </c>
      <c r="I107" s="87">
        <v>3493205.9000000008</v>
      </c>
      <c r="J107" s="87">
        <v>3370769.6700000009</v>
      </c>
      <c r="K107" s="87">
        <v>3856859.5300000012</v>
      </c>
      <c r="L107" s="87">
        <v>5585838.6699999999</v>
      </c>
      <c r="M107" s="87">
        <v>7274194.5</v>
      </c>
      <c r="N107" s="87">
        <v>4335388.25</v>
      </c>
      <c r="O107" s="87">
        <v>4231272.1999999993</v>
      </c>
      <c r="P107" s="87">
        <v>4144269.8699999992</v>
      </c>
      <c r="Q107" s="87">
        <v>4526021.2399999993</v>
      </c>
      <c r="R107" s="87">
        <f>3848934.29-43000</f>
        <v>3805934.29</v>
      </c>
      <c r="S107" s="112">
        <f t="shared" si="21"/>
        <v>53726729.589999996</v>
      </c>
      <c r="T107" s="463">
        <f t="shared" si="22"/>
        <v>0.8701248597479998</v>
      </c>
      <c r="V107" s="516"/>
    </row>
    <row r="108" spans="1:23">
      <c r="A108" s="116" t="str">
        <f t="shared" si="18"/>
        <v>414p</v>
      </c>
      <c r="B108" s="586" t="str">
        <f>+VLOOKUP(LEFT($A108,LEN(A108)-1)*1,Master!$D$30:$G$229,4,FALSE)</f>
        <v>Rashodi za usluge</v>
      </c>
      <c r="C108" s="587"/>
      <c r="D108" s="587"/>
      <c r="E108" s="587"/>
      <c r="F108" s="587"/>
      <c r="G108" s="87">
        <v>4903806.9999999953</v>
      </c>
      <c r="H108" s="87">
        <v>5497012.4799999967</v>
      </c>
      <c r="I108" s="87">
        <v>5255623.4299999969</v>
      </c>
      <c r="J108" s="87">
        <v>4569713.719999996</v>
      </c>
      <c r="K108" s="87">
        <v>4499440.6099999957</v>
      </c>
      <c r="L108" s="87">
        <v>4528417.7899999954</v>
      </c>
      <c r="M108" s="87">
        <v>6713144.6699999999</v>
      </c>
      <c r="N108" s="87">
        <v>6175898.5099999979</v>
      </c>
      <c r="O108" s="87">
        <v>6240994.7799999993</v>
      </c>
      <c r="P108" s="87">
        <v>6091379.0299999975</v>
      </c>
      <c r="Q108" s="87">
        <v>6109468.629999999</v>
      </c>
      <c r="R108" s="87">
        <f>5878859.37-49097</f>
        <v>5829762.3700000001</v>
      </c>
      <c r="S108" s="112">
        <f t="shared" si="21"/>
        <v>66414663.019999959</v>
      </c>
      <c r="T108" s="463">
        <f t="shared" si="22"/>
        <v>1.0756107767304759</v>
      </c>
      <c r="V108" s="516"/>
    </row>
    <row r="109" spans="1:23">
      <c r="A109" s="116" t="str">
        <f t="shared" si="18"/>
        <v>415p</v>
      </c>
      <c r="B109" s="586" t="str">
        <f>+VLOOKUP(LEFT($A109,LEN(A109)-1)*1,Master!$D$30:$G$229,4,FALSE)</f>
        <v>Rashodi za tekuće održavanje</v>
      </c>
      <c r="C109" s="587"/>
      <c r="D109" s="587"/>
      <c r="E109" s="587"/>
      <c r="F109" s="587"/>
      <c r="G109" s="87">
        <v>2513250.9200000004</v>
      </c>
      <c r="H109" s="87">
        <v>2548372.8700000006</v>
      </c>
      <c r="I109" s="87">
        <v>2555227.9700000002</v>
      </c>
      <c r="J109" s="87">
        <v>2542473.6500000004</v>
      </c>
      <c r="K109" s="87">
        <v>2537575.9700000007</v>
      </c>
      <c r="L109" s="87">
        <v>2476854.13</v>
      </c>
      <c r="M109" s="87">
        <v>3526793.7800000003</v>
      </c>
      <c r="N109" s="87">
        <v>3499062.67</v>
      </c>
      <c r="O109" s="87">
        <v>3410065.46</v>
      </c>
      <c r="P109" s="87">
        <v>3389523.09</v>
      </c>
      <c r="Q109" s="87">
        <v>3371550.8900000006</v>
      </c>
      <c r="R109" s="87">
        <v>3208370.3400000008</v>
      </c>
      <c r="S109" s="112">
        <f t="shared" si="21"/>
        <v>35579121.740000002</v>
      </c>
      <c r="T109" s="463">
        <f t="shared" si="22"/>
        <v>0.57621743497554501</v>
      </c>
      <c r="V109" s="516"/>
    </row>
    <row r="110" spans="1:23">
      <c r="A110" s="116" t="str">
        <f t="shared" si="18"/>
        <v>416p</v>
      </c>
      <c r="B110" s="586" t="str">
        <f>+VLOOKUP(LEFT($A110,LEN(A110)-1)*1,Master!$D$30:$G$229,4,FALSE)</f>
        <v>Kamate</v>
      </c>
      <c r="C110" s="587"/>
      <c r="D110" s="587"/>
      <c r="E110" s="587"/>
      <c r="F110" s="587"/>
      <c r="G110" s="87">
        <v>5442120.379999999</v>
      </c>
      <c r="H110" s="87">
        <v>2441310.6099999994</v>
      </c>
      <c r="I110" s="87">
        <v>2001828.5300000005</v>
      </c>
      <c r="J110" s="87">
        <v>24590093.790000003</v>
      </c>
      <c r="K110" s="87">
        <v>10610307.359999999</v>
      </c>
      <c r="L110" s="87">
        <v>3076552.5300000007</v>
      </c>
      <c r="M110" s="87">
        <v>9738888.0899999999</v>
      </c>
      <c r="N110" s="87">
        <v>2779747.3099999996</v>
      </c>
      <c r="O110" s="87">
        <v>1876426.6100000003</v>
      </c>
      <c r="P110" s="87">
        <v>14798289.619999999</v>
      </c>
      <c r="Q110" s="87">
        <v>8831135.459999999</v>
      </c>
      <c r="R110" s="87">
        <v>23741109.09</v>
      </c>
      <c r="S110" s="112">
        <f t="shared" si="21"/>
        <v>109927809.38000001</v>
      </c>
      <c r="T110" s="463">
        <f t="shared" si="22"/>
        <v>1.7803227639037349</v>
      </c>
      <c r="V110" s="516"/>
    </row>
    <row r="111" spans="1:23">
      <c r="A111" s="116" t="str">
        <f t="shared" si="18"/>
        <v>417p</v>
      </c>
      <c r="B111" s="586" t="str">
        <f>+VLOOKUP(LEFT($A111,LEN(A111)-1)*1,Master!$D$30:$G$229,4,FALSE)</f>
        <v>Renta</v>
      </c>
      <c r="C111" s="587"/>
      <c r="D111" s="587"/>
      <c r="E111" s="587"/>
      <c r="F111" s="587"/>
      <c r="G111" s="87">
        <v>1013549.2999999997</v>
      </c>
      <c r="H111" s="87">
        <v>924144.61999999965</v>
      </c>
      <c r="I111" s="87">
        <v>907422.25999999966</v>
      </c>
      <c r="J111" s="87">
        <v>908352.60999999964</v>
      </c>
      <c r="K111" s="87">
        <v>914133.31999999983</v>
      </c>
      <c r="L111" s="87">
        <v>900023.33999999985</v>
      </c>
      <c r="M111" s="87">
        <v>1080755.29</v>
      </c>
      <c r="N111" s="87">
        <v>1073045.7599999998</v>
      </c>
      <c r="O111" s="87">
        <v>1082703.83</v>
      </c>
      <c r="P111" s="87">
        <v>1160848.45</v>
      </c>
      <c r="Q111" s="87">
        <v>1121692.7700000003</v>
      </c>
      <c r="R111" s="87">
        <f>1082716.93+84917.8-0.01</f>
        <v>1167634.72</v>
      </c>
      <c r="S111" s="112">
        <f t="shared" si="21"/>
        <v>12254306.269999998</v>
      </c>
      <c r="T111" s="463">
        <f t="shared" si="22"/>
        <v>0.19846315988080193</v>
      </c>
      <c r="V111" s="516"/>
    </row>
    <row r="112" spans="1:23">
      <c r="A112" s="116" t="str">
        <f t="shared" si="18"/>
        <v>418p</v>
      </c>
      <c r="B112" s="586" t="str">
        <f>+VLOOKUP(LEFT($A112,LEN(A112)-1)*1,Master!$D$30:$G$229,4,FALSE)</f>
        <v>Subvencije</v>
      </c>
      <c r="C112" s="587"/>
      <c r="D112" s="587"/>
      <c r="E112" s="587"/>
      <c r="F112" s="587"/>
      <c r="G112" s="87">
        <v>5902017.9700000007</v>
      </c>
      <c r="H112" s="87">
        <v>5336017.9700000007</v>
      </c>
      <c r="I112" s="87">
        <v>5216117.9700000007</v>
      </c>
      <c r="J112" s="87">
        <v>5169451.3000000007</v>
      </c>
      <c r="K112" s="87">
        <v>4981951.32</v>
      </c>
      <c r="L112" s="87">
        <v>4982351.3599999994</v>
      </c>
      <c r="M112" s="87">
        <v>5318459.6400000006</v>
      </c>
      <c r="N112" s="87">
        <v>4749126.3100000005</v>
      </c>
      <c r="O112" s="87">
        <v>4841793.18</v>
      </c>
      <c r="P112" s="87">
        <v>4841792.9800000004</v>
      </c>
      <c r="Q112" s="87">
        <v>4841792.9800000004</v>
      </c>
      <c r="R112" s="87">
        <v>4792392.9800000004</v>
      </c>
      <c r="S112" s="112">
        <f t="shared" si="21"/>
        <v>60973265.960000008</v>
      </c>
      <c r="T112" s="463">
        <f t="shared" si="22"/>
        <v>0.98748527775078565</v>
      </c>
      <c r="V112" s="516"/>
    </row>
    <row r="113" spans="1:22">
      <c r="A113" s="116" t="str">
        <f t="shared" si="18"/>
        <v>419p</v>
      </c>
      <c r="B113" s="586" t="str">
        <f>+VLOOKUP(LEFT($A113,LEN(A113)-1)*1,Master!$D$30:$G$229,4,FALSE)</f>
        <v>Ostali izdaci</v>
      </c>
      <c r="C113" s="587"/>
      <c r="D113" s="587"/>
      <c r="E113" s="587"/>
      <c r="F113" s="587"/>
      <c r="G113" s="87">
        <v>4864062.17</v>
      </c>
      <c r="H113" s="87">
        <v>4930647.88</v>
      </c>
      <c r="I113" s="87">
        <v>6340301.9600000009</v>
      </c>
      <c r="J113" s="87">
        <v>6064681.2299999986</v>
      </c>
      <c r="K113" s="87">
        <v>3889229.03</v>
      </c>
      <c r="L113" s="87">
        <v>4107182.4699999997</v>
      </c>
      <c r="M113" s="87">
        <v>7659719.3700000038</v>
      </c>
      <c r="N113" s="87">
        <v>5664365.820000004</v>
      </c>
      <c r="O113" s="87">
        <v>5533073.530000004</v>
      </c>
      <c r="P113" s="87">
        <v>5918984.570000004</v>
      </c>
      <c r="Q113" s="87">
        <v>9295310.6999999993</v>
      </c>
      <c r="R113" s="87">
        <f>4255973.43-69188.7-0.04</f>
        <v>4186784.6899999995</v>
      </c>
      <c r="S113" s="112">
        <f t="shared" si="21"/>
        <v>68454343.420000017</v>
      </c>
      <c r="T113" s="463">
        <f t="shared" si="22"/>
        <v>1.1086441780844105</v>
      </c>
      <c r="V113" s="516"/>
    </row>
    <row r="114" spans="1:22">
      <c r="A114" s="116" t="str">
        <f t="shared" si="18"/>
        <v>42p</v>
      </c>
      <c r="B114" s="582" t="str">
        <f>+VLOOKUP(LEFT($A114,LEN(A114)-1)*1,Master!$D$30:$G$229,4,FALSE)</f>
        <v>Transferi za socijalnu zaštitu</v>
      </c>
      <c r="C114" s="583"/>
      <c r="D114" s="583"/>
      <c r="E114" s="583"/>
      <c r="F114" s="583"/>
      <c r="G114" s="84">
        <f t="shared" ref="G114:R114" si="26">+SUM(G115:G119)</f>
        <v>64631162.970000006</v>
      </c>
      <c r="H114" s="84">
        <f t="shared" si="26"/>
        <v>64593275.310000002</v>
      </c>
      <c r="I114" s="84">
        <f t="shared" si="26"/>
        <v>64593275.430000007</v>
      </c>
      <c r="J114" s="84">
        <f t="shared" si="26"/>
        <v>64693275.430000007</v>
      </c>
      <c r="K114" s="84">
        <f t="shared" si="26"/>
        <v>64693275.430000007</v>
      </c>
      <c r="L114" s="84">
        <f t="shared" si="26"/>
        <v>64793279.390000008</v>
      </c>
      <c r="M114" s="84">
        <f t="shared" si="26"/>
        <v>66194886.530000009</v>
      </c>
      <c r="N114" s="84">
        <f t="shared" si="26"/>
        <v>66197971.850000009</v>
      </c>
      <c r="O114" s="84">
        <f t="shared" si="26"/>
        <v>66197971.850000009</v>
      </c>
      <c r="P114" s="84">
        <f t="shared" si="26"/>
        <v>66197971.760000005</v>
      </c>
      <c r="Q114" s="84">
        <f t="shared" si="26"/>
        <v>66197971.850000009</v>
      </c>
      <c r="R114" s="84">
        <f t="shared" si="26"/>
        <v>66197971.939999998</v>
      </c>
      <c r="S114" s="113">
        <f t="shared" si="21"/>
        <v>785182289.74000001</v>
      </c>
      <c r="T114" s="464">
        <f t="shared" si="22"/>
        <v>12.716326397499433</v>
      </c>
      <c r="V114" s="311"/>
    </row>
    <row r="115" spans="1:22">
      <c r="A115" s="116" t="str">
        <f t="shared" si="18"/>
        <v>421p</v>
      </c>
      <c r="B115" s="586" t="str">
        <f>+VLOOKUP(LEFT($A115,LEN(A115)-1)*1,Master!$D$30:$G$229,4,FALSE)</f>
        <v>Prava iz oblasti socijalne zaštite</v>
      </c>
      <c r="C115" s="587"/>
      <c r="D115" s="587"/>
      <c r="E115" s="587"/>
      <c r="F115" s="587"/>
      <c r="G115" s="87">
        <v>15844748.540000001</v>
      </c>
      <c r="H115" s="87">
        <v>15844748.42</v>
      </c>
      <c r="I115" s="87">
        <v>15844748.540000001</v>
      </c>
      <c r="J115" s="87">
        <v>15844748.540000001</v>
      </c>
      <c r="K115" s="87">
        <v>15844748.540000001</v>
      </c>
      <c r="L115" s="87">
        <v>15844748.540000001</v>
      </c>
      <c r="M115" s="87">
        <v>15846148.98</v>
      </c>
      <c r="N115" s="87">
        <v>15849234.300000001</v>
      </c>
      <c r="O115" s="87">
        <v>15849234.300000001</v>
      </c>
      <c r="P115" s="87">
        <v>15849234.300000001</v>
      </c>
      <c r="Q115" s="87">
        <v>15849234.300000001</v>
      </c>
      <c r="R115" s="87">
        <v>15849234.41</v>
      </c>
      <c r="S115" s="112">
        <f t="shared" si="21"/>
        <v>190160811.71000004</v>
      </c>
      <c r="T115" s="463">
        <f t="shared" si="22"/>
        <v>3.0797268116153282</v>
      </c>
      <c r="V115" s="516"/>
    </row>
    <row r="116" spans="1:22">
      <c r="A116" s="116" t="str">
        <f t="shared" si="18"/>
        <v>422p</v>
      </c>
      <c r="B116" s="586" t="str">
        <f>+VLOOKUP(LEFT($A116,LEN(A116)-1)*1,Master!$D$30:$G$229,4,FALSE)</f>
        <v>Sredstva za tehnološke viškove</v>
      </c>
      <c r="C116" s="587"/>
      <c r="D116" s="587"/>
      <c r="E116" s="587"/>
      <c r="F116" s="587"/>
      <c r="G116" s="87">
        <v>1909150.6700000002</v>
      </c>
      <c r="H116" s="87">
        <v>1909150.6700000002</v>
      </c>
      <c r="I116" s="87">
        <v>1909150.6700000002</v>
      </c>
      <c r="J116" s="87">
        <v>1909150.6700000002</v>
      </c>
      <c r="K116" s="87">
        <v>1909150.6700000002</v>
      </c>
      <c r="L116" s="87">
        <v>1909154.6300000001</v>
      </c>
      <c r="M116" s="87">
        <v>2859361.33</v>
      </c>
      <c r="N116" s="87">
        <v>2859361.33</v>
      </c>
      <c r="O116" s="87">
        <v>2859361.33</v>
      </c>
      <c r="P116" s="87">
        <v>2859361.33</v>
      </c>
      <c r="Q116" s="87">
        <v>2859361.33</v>
      </c>
      <c r="R116" s="87">
        <v>2859361.37</v>
      </c>
      <c r="S116" s="112">
        <f t="shared" si="21"/>
        <v>28611075.999999996</v>
      </c>
      <c r="T116" s="463">
        <f t="shared" si="22"/>
        <v>0.46336727885207135</v>
      </c>
      <c r="V116" s="516"/>
    </row>
    <row r="117" spans="1:22">
      <c r="A117" s="116" t="str">
        <f t="shared" si="18"/>
        <v>423p</v>
      </c>
      <c r="B117" s="586" t="str">
        <f>+VLOOKUP(LEFT($A117,LEN(A117)-1)*1,Master!$D$30:$G$229,4,FALSE)</f>
        <v>Prava iz oblasti penzijskog i invalidskog osiguranja</v>
      </c>
      <c r="C117" s="587"/>
      <c r="D117" s="587"/>
      <c r="E117" s="587"/>
      <c r="F117" s="587"/>
      <c r="G117" s="87">
        <v>44272263.760000005</v>
      </c>
      <c r="H117" s="87">
        <v>44134376.220000006</v>
      </c>
      <c r="I117" s="87">
        <v>44134376.220000006</v>
      </c>
      <c r="J117" s="87">
        <v>44134376.220000006</v>
      </c>
      <c r="K117" s="87">
        <v>44134376.220000006</v>
      </c>
      <c r="L117" s="87">
        <v>44134376.220000006</v>
      </c>
      <c r="M117" s="87">
        <v>44134376.220000006</v>
      </c>
      <c r="N117" s="87">
        <v>44134376.220000006</v>
      </c>
      <c r="O117" s="87">
        <v>44134376.220000006</v>
      </c>
      <c r="P117" s="87">
        <v>44134376.130000003</v>
      </c>
      <c r="Q117" s="87">
        <v>44134376.220000006</v>
      </c>
      <c r="R117" s="87">
        <v>44134376.159999996</v>
      </c>
      <c r="S117" s="112">
        <f t="shared" si="21"/>
        <v>529750402.03000009</v>
      </c>
      <c r="T117" s="463">
        <f t="shared" si="22"/>
        <v>8.5795096367376029</v>
      </c>
      <c r="V117" s="516"/>
    </row>
    <row r="118" spans="1:22">
      <c r="A118" s="116" t="str">
        <f t="shared" si="18"/>
        <v>424p</v>
      </c>
      <c r="B118" s="586" t="str">
        <f>+VLOOKUP(LEFT($A118,LEN(A118)-1)*1,Master!$D$30:$G$229,4,FALSE)</f>
        <v>Ostala prava iz oblasti zdravstvene zaštite</v>
      </c>
      <c r="C118" s="587"/>
      <c r="D118" s="587"/>
      <c r="E118" s="587"/>
      <c r="F118" s="587"/>
      <c r="G118" s="87">
        <v>1755000</v>
      </c>
      <c r="H118" s="87">
        <v>1755000</v>
      </c>
      <c r="I118" s="87">
        <v>1755000</v>
      </c>
      <c r="J118" s="87">
        <v>1755000</v>
      </c>
      <c r="K118" s="87">
        <v>1755000</v>
      </c>
      <c r="L118" s="87">
        <v>1755000</v>
      </c>
      <c r="M118" s="87">
        <v>1755000</v>
      </c>
      <c r="N118" s="87">
        <v>1755000</v>
      </c>
      <c r="O118" s="87">
        <v>1755000</v>
      </c>
      <c r="P118" s="87">
        <v>1755000</v>
      </c>
      <c r="Q118" s="87">
        <v>1755000</v>
      </c>
      <c r="R118" s="87">
        <v>1755000</v>
      </c>
      <c r="S118" s="112">
        <f t="shared" si="21"/>
        <v>21060000</v>
      </c>
      <c r="T118" s="463">
        <f t="shared" si="22"/>
        <v>0.34107472548829071</v>
      </c>
      <c r="V118" s="516"/>
    </row>
    <row r="119" spans="1:22">
      <c r="A119" s="116" t="str">
        <f t="shared" si="18"/>
        <v>425p</v>
      </c>
      <c r="B119" s="586" t="str">
        <f>+VLOOKUP(LEFT($A119,LEN(A119)-1)*1,Master!$D$30:$G$229,4,FALSE)</f>
        <v>Ostala prava iz zdravstvenog osiguranja</v>
      </c>
      <c r="C119" s="587"/>
      <c r="D119" s="587"/>
      <c r="E119" s="587"/>
      <c r="F119" s="587"/>
      <c r="G119" s="87">
        <v>850000</v>
      </c>
      <c r="H119" s="87">
        <v>950000</v>
      </c>
      <c r="I119" s="87">
        <v>950000</v>
      </c>
      <c r="J119" s="87">
        <v>1050000</v>
      </c>
      <c r="K119" s="87">
        <v>1050000</v>
      </c>
      <c r="L119" s="87">
        <v>1150000</v>
      </c>
      <c r="M119" s="87">
        <v>1600000</v>
      </c>
      <c r="N119" s="87">
        <v>1600000</v>
      </c>
      <c r="O119" s="87">
        <v>1600000</v>
      </c>
      <c r="P119" s="87">
        <v>1600000</v>
      </c>
      <c r="Q119" s="87">
        <v>1600000</v>
      </c>
      <c r="R119" s="87">
        <v>1600000</v>
      </c>
      <c r="S119" s="112">
        <f t="shared" si="21"/>
        <v>15600000</v>
      </c>
      <c r="T119" s="463">
        <f t="shared" si="22"/>
        <v>0.25264794480614128</v>
      </c>
      <c r="V119" s="516"/>
    </row>
    <row r="120" spans="1:22">
      <c r="A120" s="116" t="str">
        <f t="shared" si="18"/>
        <v>43p</v>
      </c>
      <c r="B120" s="584" t="str">
        <f>+VLOOKUP(LEFT($A120,LEN(A120)-1)*1,Master!$D$30:$G$229,4,FALSE)</f>
        <v xml:space="preserve">Transferi institucijama, pojedincima, nevladinom i javnom sektoru </v>
      </c>
      <c r="C120" s="585"/>
      <c r="D120" s="585"/>
      <c r="E120" s="585"/>
      <c r="F120" s="585"/>
      <c r="G120" s="83">
        <v>13426609.789999997</v>
      </c>
      <c r="H120" s="83">
        <v>24954537.810000002</v>
      </c>
      <c r="I120" s="83">
        <v>33895566.079999998</v>
      </c>
      <c r="J120" s="83">
        <v>24784469.770000003</v>
      </c>
      <c r="K120" s="83">
        <v>25016309.34</v>
      </c>
      <c r="L120" s="83">
        <v>25865702.82</v>
      </c>
      <c r="M120" s="83">
        <v>44313993.49000001</v>
      </c>
      <c r="N120" s="83">
        <v>30937460.280000001</v>
      </c>
      <c r="O120" s="83">
        <v>36630444.020000003</v>
      </c>
      <c r="P120" s="83">
        <v>31446133.059999999</v>
      </c>
      <c r="Q120" s="83">
        <v>30458525.310000002</v>
      </c>
      <c r="R120" s="83">
        <f>31380558.45-680724.2+0.04</f>
        <v>30699834.289999999</v>
      </c>
      <c r="S120" s="113">
        <f>+SUM(G120:R120)</f>
        <v>352429586.06000006</v>
      </c>
      <c r="T120" s="464">
        <f t="shared" si="22"/>
        <v>5.7077314491626998</v>
      </c>
      <c r="V120" s="516"/>
    </row>
    <row r="121" spans="1:22">
      <c r="A121" s="116" t="str">
        <f t="shared" si="18"/>
        <v>44p</v>
      </c>
      <c r="B121" s="584" t="str">
        <f>+VLOOKUP(LEFT($A121,LEN(A121)-1)*1,Master!$D$30:$G$229,4,FALSE)</f>
        <v>Kapitalni izdaci</v>
      </c>
      <c r="C121" s="585"/>
      <c r="D121" s="585"/>
      <c r="E121" s="585"/>
      <c r="F121" s="585"/>
      <c r="G121" s="83">
        <f>20412001.55-G132</f>
        <v>20405334.879999999</v>
      </c>
      <c r="H121" s="83">
        <f>18094316.04-H132</f>
        <v>18087649.369999997</v>
      </c>
      <c r="I121" s="83">
        <f>19062944.96-I132</f>
        <v>18677278.289999999</v>
      </c>
      <c r="J121" s="83">
        <f>19443197.22-J132</f>
        <v>19136530.549999997</v>
      </c>
      <c r="K121" s="83">
        <f>19674125.2-K132</f>
        <v>19667458.529999997</v>
      </c>
      <c r="L121" s="83">
        <f>18915702.28-L132</f>
        <v>18909035.630000003</v>
      </c>
      <c r="M121" s="83">
        <f>26124418.27-M132</f>
        <v>26114418.27</v>
      </c>
      <c r="N121" s="83">
        <f>23948047.32-N132</f>
        <v>23938047.32</v>
      </c>
      <c r="O121" s="83">
        <f>22585312.23-O132</f>
        <v>22575312.23</v>
      </c>
      <c r="P121" s="83">
        <f>21462007.16-P132</f>
        <v>21452007.16</v>
      </c>
      <c r="Q121" s="83">
        <f>21427329.81-Q132</f>
        <v>21417329.809999999</v>
      </c>
      <c r="R121" s="83">
        <f>20634123.89+74001-R132</f>
        <v>20698124.890000001</v>
      </c>
      <c r="S121" s="113">
        <f>+SUM(G121:R121)</f>
        <v>251078526.93000001</v>
      </c>
      <c r="T121" s="464">
        <f t="shared" si="22"/>
        <v>4.0663124239626862</v>
      </c>
      <c r="U121" s="311"/>
      <c r="V121" s="516"/>
    </row>
    <row r="122" spans="1:22">
      <c r="A122" s="116" t="str">
        <f t="shared" si="18"/>
        <v>451p</v>
      </c>
      <c r="B122" s="576" t="str">
        <f>+VLOOKUP(LEFT($A122,LEN(A122)-1)*1,Master!$D$30:$G$229,4,FALSE)</f>
        <v>Pozajmice i krediti</v>
      </c>
      <c r="C122" s="577"/>
      <c r="D122" s="577"/>
      <c r="E122" s="577"/>
      <c r="F122" s="577"/>
      <c r="G122" s="87">
        <v>1607</v>
      </c>
      <c r="H122" s="87">
        <v>1001600</v>
      </c>
      <c r="I122" s="87">
        <v>501600</v>
      </c>
      <c r="J122" s="87">
        <v>501600</v>
      </c>
      <c r="K122" s="87">
        <v>491600</v>
      </c>
      <c r="L122" s="87">
        <v>491600</v>
      </c>
      <c r="M122" s="87">
        <v>2400</v>
      </c>
      <c r="N122" s="87">
        <v>2400</v>
      </c>
      <c r="O122" s="87">
        <v>502400</v>
      </c>
      <c r="P122" s="87">
        <v>502400</v>
      </c>
      <c r="Q122" s="87">
        <v>262400</v>
      </c>
      <c r="R122" s="87">
        <v>262400</v>
      </c>
      <c r="S122" s="112">
        <f t="shared" si="21"/>
        <v>4524007</v>
      </c>
      <c r="T122" s="463">
        <f t="shared" si="22"/>
        <v>7.3268017361448515E-2</v>
      </c>
      <c r="U122" s="311"/>
      <c r="V122" s="516"/>
    </row>
    <row r="123" spans="1:22">
      <c r="A123" s="116" t="str">
        <f t="shared" si="18"/>
        <v>47p</v>
      </c>
      <c r="B123" s="576" t="str">
        <f>+VLOOKUP(LEFT($A123,LEN(A123)-1)*1,Master!$D$30:$G$229,4,FALSE)</f>
        <v>Rezerve</v>
      </c>
      <c r="C123" s="577"/>
      <c r="D123" s="577"/>
      <c r="E123" s="577"/>
      <c r="F123" s="577"/>
      <c r="G123" s="87">
        <v>2554609.09</v>
      </c>
      <c r="H123" s="87">
        <v>3237333.25</v>
      </c>
      <c r="I123" s="87">
        <v>3237333.25</v>
      </c>
      <c r="J123" s="87">
        <v>3237333.25</v>
      </c>
      <c r="K123" s="87">
        <v>3237333.25</v>
      </c>
      <c r="L123" s="87">
        <v>3237333.25</v>
      </c>
      <c r="M123" s="87">
        <v>3237333.25</v>
      </c>
      <c r="N123" s="87">
        <v>3237333.25</v>
      </c>
      <c r="O123" s="87">
        <v>3237333.25</v>
      </c>
      <c r="P123" s="87">
        <v>3237333.25</v>
      </c>
      <c r="Q123" s="87">
        <v>3237333.25</v>
      </c>
      <c r="R123" s="87">
        <f>3237333.25+682724.2-0.04</f>
        <v>3920057.41</v>
      </c>
      <c r="S123" s="112">
        <f t="shared" si="21"/>
        <v>38847999</v>
      </c>
      <c r="T123" s="463">
        <f t="shared" si="22"/>
        <v>0.62915814789621993</v>
      </c>
      <c r="U123" s="311"/>
      <c r="V123" s="516"/>
    </row>
    <row r="124" spans="1:22">
      <c r="A124" s="116" t="str">
        <f t="shared" si="18"/>
        <v>462p</v>
      </c>
      <c r="B124" s="576" t="str">
        <f>+VLOOKUP(LEFT($A124,LEN(A124)-1)*1,Master!$D$30:$G$229,4,FALSE)</f>
        <v>Otplata garancija</v>
      </c>
      <c r="C124" s="577"/>
      <c r="D124" s="577"/>
      <c r="E124" s="577"/>
      <c r="F124" s="577"/>
      <c r="G124" s="87">
        <v>0.16</v>
      </c>
      <c r="H124" s="87">
        <v>0.16</v>
      </c>
      <c r="I124" s="87">
        <v>0.16</v>
      </c>
      <c r="J124" s="87">
        <v>0.16</v>
      </c>
      <c r="K124" s="87">
        <v>0.16</v>
      </c>
      <c r="L124" s="87">
        <v>0.16</v>
      </c>
      <c r="M124" s="87">
        <v>0.16</v>
      </c>
      <c r="N124" s="87">
        <v>0.16</v>
      </c>
      <c r="O124" s="87">
        <v>0.16</v>
      </c>
      <c r="P124" s="87">
        <v>0.16</v>
      </c>
      <c r="Q124" s="87">
        <v>0.16</v>
      </c>
      <c r="R124" s="87">
        <v>0.24</v>
      </c>
      <c r="S124" s="112">
        <f t="shared" si="21"/>
        <v>1.9999999999999998</v>
      </c>
      <c r="T124" s="463">
        <f t="shared" si="22"/>
        <v>3.23907621546335E-8</v>
      </c>
      <c r="U124" s="311"/>
      <c r="V124" s="516"/>
    </row>
    <row r="125" spans="1:22">
      <c r="A125" s="117" t="str">
        <f t="shared" si="18"/>
        <v>4630p</v>
      </c>
      <c r="B125" s="576" t="str">
        <f>+VLOOKUP(LEFT($A125,LEN(A125)-1)*1,Master!$D$30:$G$229,4,FALSE)</f>
        <v>Otplata obaveza iz prethodnog perioda</v>
      </c>
      <c r="C125" s="577"/>
      <c r="D125" s="577"/>
      <c r="E125" s="577"/>
      <c r="F125" s="577"/>
      <c r="G125" s="87">
        <v>2590915.3400000045</v>
      </c>
      <c r="H125" s="87">
        <v>2056111.4400000044</v>
      </c>
      <c r="I125" s="87">
        <v>2082110.4200000043</v>
      </c>
      <c r="J125" s="87">
        <v>2129110.4200000046</v>
      </c>
      <c r="K125" s="87">
        <v>2064110.3700000043</v>
      </c>
      <c r="L125" s="87">
        <v>2217108.3900000043</v>
      </c>
      <c r="M125" s="87">
        <v>2395112.6500000046</v>
      </c>
      <c r="N125" s="87">
        <v>2397112.6500000046</v>
      </c>
      <c r="O125" s="87">
        <v>2373362.9000000046</v>
      </c>
      <c r="P125" s="87">
        <v>2393362.9000000046</v>
      </c>
      <c r="Q125" s="87">
        <v>2373363.8700000048</v>
      </c>
      <c r="R125" s="87">
        <v>2360369.3100000061</v>
      </c>
      <c r="S125" s="103">
        <f>+SUM(G125:R125)</f>
        <v>27432150.66000006</v>
      </c>
      <c r="T125" s="471">
        <f t="shared" si="22"/>
        <v>0.44427413370906715</v>
      </c>
      <c r="U125" s="311"/>
      <c r="V125" s="516"/>
    </row>
    <row r="126" spans="1:22" ht="13.5" thickBot="1">
      <c r="A126" s="116" t="str">
        <f t="shared" si="18"/>
        <v>1005p</v>
      </c>
      <c r="B126" s="576" t="str">
        <f>+VLOOKUP(LEFT($A126,LEN(A126)-1)*1,Master!$D$30:$G$229,4,FALSE)</f>
        <v>Neto povećanje obaveza</v>
      </c>
      <c r="C126" s="577"/>
      <c r="D126" s="577"/>
      <c r="E126" s="577"/>
      <c r="F126" s="577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8">
        <f t="shared" si="22"/>
        <v>0</v>
      </c>
      <c r="U126" s="311"/>
      <c r="V126" s="311"/>
    </row>
    <row r="127" spans="1:22" ht="13.5" thickBot="1">
      <c r="A127" s="117" t="str">
        <f t="shared" si="18"/>
        <v>1000p</v>
      </c>
      <c r="B127" s="578" t="str">
        <f>+VLOOKUP(LEFT($A127,LEN(A127)-1)*1,Master!$D$30:$G$226,4,FALSE)</f>
        <v>Suficit / deficit</v>
      </c>
      <c r="C127" s="579"/>
      <c r="D127" s="579"/>
      <c r="E127" s="579"/>
      <c r="F127" s="579"/>
      <c r="G127" s="93">
        <f t="shared" ref="G127:R127" si="27">+G84-G103</f>
        <v>-22397133.607592493</v>
      </c>
      <c r="H127" s="93">
        <f t="shared" si="27"/>
        <v>-67071345.814519361</v>
      </c>
      <c r="I127" s="93">
        <f t="shared" si="27"/>
        <v>-2316292.9897459149</v>
      </c>
      <c r="J127" s="93">
        <f t="shared" si="27"/>
        <v>-17885734.609765023</v>
      </c>
      <c r="K127" s="93">
        <f t="shared" si="27"/>
        <v>-41471663.368712515</v>
      </c>
      <c r="L127" s="93">
        <f t="shared" si="27"/>
        <v>-27277595.668724924</v>
      </c>
      <c r="M127" s="93">
        <f t="shared" si="27"/>
        <v>-55367145.076071084</v>
      </c>
      <c r="N127" s="93">
        <f t="shared" si="27"/>
        <v>-6467668.1569713652</v>
      </c>
      <c r="O127" s="93">
        <f t="shared" si="27"/>
        <v>-27310745.93416518</v>
      </c>
      <c r="P127" s="93">
        <f t="shared" si="27"/>
        <v>-41600384.900887519</v>
      </c>
      <c r="Q127" s="93">
        <f t="shared" si="27"/>
        <v>-46834285.210350275</v>
      </c>
      <c r="R127" s="93">
        <f t="shared" si="27"/>
        <v>-10316938.668598384</v>
      </c>
      <c r="S127" s="106">
        <f t="shared" si="21"/>
        <v>-366316934.00610411</v>
      </c>
      <c r="T127" s="469">
        <f t="shared" si="22"/>
        <v>-5.932642341303147</v>
      </c>
      <c r="U127" s="311"/>
      <c r="V127" s="311"/>
    </row>
    <row r="128" spans="1:22" ht="13.5" thickBot="1">
      <c r="A128" s="117" t="str">
        <f t="shared" si="18"/>
        <v>1001p</v>
      </c>
      <c r="B128" s="580" t="str">
        <f>+VLOOKUP(LEFT($A128,LEN(A128)-1)*1,Master!$D$30:$G$226,4,FALSE)</f>
        <v>Primarni suficit/deficit</v>
      </c>
      <c r="C128" s="581"/>
      <c r="D128" s="581"/>
      <c r="E128" s="581"/>
      <c r="F128" s="581"/>
      <c r="G128" s="94">
        <f>+G127+G110</f>
        <v>-16955013.227592494</v>
      </c>
      <c r="H128" s="94">
        <f t="shared" ref="H128:R128" si="28">+H127+H110</f>
        <v>-64630035.204519361</v>
      </c>
      <c r="I128" s="94">
        <f t="shared" si="28"/>
        <v>-314464.45974591444</v>
      </c>
      <c r="J128" s="94">
        <f t="shared" si="28"/>
        <v>6704359.1802349798</v>
      </c>
      <c r="K128" s="94">
        <f t="shared" si="28"/>
        <v>-30861356.008712515</v>
      </c>
      <c r="L128" s="94">
        <f t="shared" si="28"/>
        <v>-24201043.138724923</v>
      </c>
      <c r="M128" s="94">
        <f t="shared" si="28"/>
        <v>-45628256.98607108</v>
      </c>
      <c r="N128" s="94">
        <f t="shared" si="28"/>
        <v>-3687920.8469713656</v>
      </c>
      <c r="O128" s="94">
        <f t="shared" si="28"/>
        <v>-25434319.32416518</v>
      </c>
      <c r="P128" s="94">
        <f t="shared" si="28"/>
        <v>-26802095.280887522</v>
      </c>
      <c r="Q128" s="94">
        <f t="shared" si="28"/>
        <v>-38003149.750350274</v>
      </c>
      <c r="R128" s="94">
        <f t="shared" si="28"/>
        <v>13424170.421401616</v>
      </c>
      <c r="S128" s="106">
        <f t="shared" si="21"/>
        <v>-256389124.626104</v>
      </c>
      <c r="T128" s="469">
        <f t="shared" si="22"/>
        <v>-4.1523195773994104</v>
      </c>
      <c r="U128" s="311"/>
      <c r="V128" s="311"/>
    </row>
    <row r="129" spans="1:22">
      <c r="A129" s="117" t="str">
        <f t="shared" si="18"/>
        <v>46p</v>
      </c>
      <c r="B129" s="582" t="str">
        <f>+VLOOKUP(LEFT($A129,LEN(A129)-1)*1,Master!$D$30:$G$226,4,FALSE)</f>
        <v>Otplata dugova</v>
      </c>
      <c r="C129" s="583"/>
      <c r="D129" s="583"/>
      <c r="E129" s="583"/>
      <c r="F129" s="583"/>
      <c r="G129" s="84">
        <f>+SUM(G130:G131)</f>
        <v>30842089.259999998</v>
      </c>
      <c r="H129" s="84">
        <f t="shared" ref="H129:R129" si="29">+SUM(H130:H131)</f>
        <v>6803111.790000001</v>
      </c>
      <c r="I129" s="84">
        <f t="shared" si="29"/>
        <v>9004349.7899999991</v>
      </c>
      <c r="J129" s="84">
        <f t="shared" si="29"/>
        <v>7976370.0700000003</v>
      </c>
      <c r="K129" s="84">
        <f t="shared" si="29"/>
        <v>92780108.99000001</v>
      </c>
      <c r="L129" s="84">
        <f t="shared" si="29"/>
        <v>14226825.530000001</v>
      </c>
      <c r="M129" s="483">
        <f t="shared" ref="M129" si="30">+SUM(M130:M131)</f>
        <v>40968432.359999999</v>
      </c>
      <c r="N129" s="84">
        <f t="shared" si="29"/>
        <v>9320542.290000001</v>
      </c>
      <c r="O129" s="84">
        <f t="shared" si="29"/>
        <v>19467352.800000001</v>
      </c>
      <c r="P129" s="84">
        <f t="shared" si="29"/>
        <v>19749872.740000002</v>
      </c>
      <c r="Q129" s="84">
        <f t="shared" si="29"/>
        <v>64752298.200000003</v>
      </c>
      <c r="R129" s="84">
        <f t="shared" si="29"/>
        <v>22194542.870000001</v>
      </c>
      <c r="S129" s="104">
        <f t="shared" si="21"/>
        <v>338085896.69000006</v>
      </c>
      <c r="T129" s="470">
        <f t="shared" si="22"/>
        <v>5.4754299337608927</v>
      </c>
      <c r="U129" s="311"/>
      <c r="V129" s="311"/>
    </row>
    <row r="130" spans="1:22">
      <c r="A130" s="117" t="str">
        <f t="shared" si="18"/>
        <v>4611p</v>
      </c>
      <c r="B130" s="574" t="str">
        <f>+VLOOKUP(LEFT($A130,LEN(A130)-1)*1,Master!$D$30:$G$226,4,FALSE)</f>
        <v>Otplata hartija od vrijednosti i kredita rezidentima</v>
      </c>
      <c r="C130" s="575"/>
      <c r="D130" s="575"/>
      <c r="E130" s="575"/>
      <c r="F130" s="575"/>
      <c r="G130" s="96">
        <v>2477159.06</v>
      </c>
      <c r="H130" s="96">
        <v>2428191.7600000002</v>
      </c>
      <c r="I130" s="96">
        <v>938890.91</v>
      </c>
      <c r="J130" s="96">
        <v>2699238.12</v>
      </c>
      <c r="K130" s="96">
        <v>45296973.57</v>
      </c>
      <c r="L130" s="96">
        <v>3740213.81</v>
      </c>
      <c r="M130" s="96">
        <v>2522037.56</v>
      </c>
      <c r="N130" s="96">
        <v>2461861.56</v>
      </c>
      <c r="O130" s="96">
        <v>746378.5</v>
      </c>
      <c r="P130" s="96">
        <v>12943542.380000001</v>
      </c>
      <c r="Q130" s="96">
        <v>19547811.449999999</v>
      </c>
      <c r="R130" s="96">
        <v>753598.01</v>
      </c>
      <c r="S130" s="103">
        <f t="shared" si="21"/>
        <v>96555896.690000013</v>
      </c>
      <c r="T130" s="471">
        <f t="shared" si="22"/>
        <v>1.5637595421565773</v>
      </c>
      <c r="U130" s="311"/>
      <c r="V130" s="311"/>
    </row>
    <row r="131" spans="1:22" ht="13.5" thickBot="1">
      <c r="A131" s="117" t="str">
        <f t="shared" si="18"/>
        <v>4612p</v>
      </c>
      <c r="B131" s="576" t="str">
        <f>+VLOOKUP(LEFT($A131,LEN(A131)-1)*1,Master!$D$30:$G$226,4,FALSE)</f>
        <v>Otplata hartija od vrijednosti i kredita nerezidentima</v>
      </c>
      <c r="C131" s="577"/>
      <c r="D131" s="577"/>
      <c r="E131" s="577"/>
      <c r="F131" s="577"/>
      <c r="G131" s="96">
        <v>28364930.199999999</v>
      </c>
      <c r="H131" s="96">
        <v>4374920.03</v>
      </c>
      <c r="I131" s="96">
        <v>8065458.8799999999</v>
      </c>
      <c r="J131" s="96">
        <v>5277131.95</v>
      </c>
      <c r="K131" s="96">
        <v>47483135.420000002</v>
      </c>
      <c r="L131" s="96">
        <v>10486611.720000001</v>
      </c>
      <c r="M131" s="96">
        <v>38446394.799999997</v>
      </c>
      <c r="N131" s="96">
        <v>6858680.7300000004</v>
      </c>
      <c r="O131" s="96">
        <v>18720974.300000001</v>
      </c>
      <c r="P131" s="96">
        <v>6806330.3600000003</v>
      </c>
      <c r="Q131" s="96">
        <v>45204486.75</v>
      </c>
      <c r="R131" s="96">
        <v>21440944.859999999</v>
      </c>
      <c r="S131" s="103">
        <f t="shared" si="21"/>
        <v>241530000</v>
      </c>
      <c r="T131" s="471">
        <f t="shared" si="22"/>
        <v>3.9116703916043147</v>
      </c>
      <c r="U131" s="311"/>
      <c r="V131" s="311"/>
    </row>
    <row r="132" spans="1:22" ht="13.5" thickBot="1">
      <c r="A132" s="117" t="str">
        <f t="shared" si="18"/>
        <v>4418p</v>
      </c>
      <c r="B132" s="570" t="str">
        <f>+VLOOKUP(LEFT($A132,LEN(A132)-1)*1,Master!$D$30:$G$226,4,FALSE)</f>
        <v>Izdaci za kupovinu hartija od vrijednosti</v>
      </c>
      <c r="C132" s="571"/>
      <c r="D132" s="571"/>
      <c r="E132" s="571"/>
      <c r="F132" s="571"/>
      <c r="G132" s="93">
        <v>6666.67</v>
      </c>
      <c r="H132" s="93">
        <v>6666.67</v>
      </c>
      <c r="I132" s="93">
        <v>385666.67</v>
      </c>
      <c r="J132" s="93">
        <v>306666.67</v>
      </c>
      <c r="K132" s="93">
        <v>6666.67</v>
      </c>
      <c r="L132" s="93">
        <v>6666.65</v>
      </c>
      <c r="M132" s="93">
        <v>10000</v>
      </c>
      <c r="N132" s="93">
        <v>10000</v>
      </c>
      <c r="O132" s="93">
        <v>10000</v>
      </c>
      <c r="P132" s="93">
        <v>10000</v>
      </c>
      <c r="Q132" s="93">
        <v>10000</v>
      </c>
      <c r="R132" s="93">
        <v>10000</v>
      </c>
      <c r="S132" s="448">
        <f t="shared" si="21"/>
        <v>779000</v>
      </c>
      <c r="T132" s="478">
        <f t="shared" si="22"/>
        <v>1.2616201859229747E-2</v>
      </c>
      <c r="U132" s="311"/>
      <c r="V132" s="311"/>
    </row>
    <row r="133" spans="1:22" ht="13.5" thickBot="1">
      <c r="A133" s="117" t="str">
        <f t="shared" si="18"/>
        <v>1002p</v>
      </c>
      <c r="B133" s="572" t="str">
        <f>+VLOOKUP(LEFT($A133,LEN(A133)-1)*1,Master!$D$30:$G$226,4,FALSE)</f>
        <v>Nedostajuća sredstva</v>
      </c>
      <c r="C133" s="573"/>
      <c r="D133" s="573"/>
      <c r="E133" s="573"/>
      <c r="F133" s="573"/>
      <c r="G133" s="77">
        <f t="shared" ref="G133:R133" si="31">+G127-G129-G132</f>
        <v>-53245889.537592493</v>
      </c>
      <c r="H133" s="77">
        <f t="shared" si="31"/>
        <v>-73881124.274519369</v>
      </c>
      <c r="I133" s="77">
        <f t="shared" si="31"/>
        <v>-11706309.449745914</v>
      </c>
      <c r="J133" s="77">
        <f t="shared" si="31"/>
        <v>-26168771.349765025</v>
      </c>
      <c r="K133" s="77">
        <f t="shared" si="31"/>
        <v>-134258439.02871251</v>
      </c>
      <c r="L133" s="77">
        <f t="shared" si="31"/>
        <v>-41511087.848724924</v>
      </c>
      <c r="M133" s="77">
        <f t="shared" si="31"/>
        <v>-96345577.436071083</v>
      </c>
      <c r="N133" s="77">
        <f t="shared" si="31"/>
        <v>-15798210.446971366</v>
      </c>
      <c r="O133" s="77">
        <f t="shared" si="31"/>
        <v>-46788098.734165177</v>
      </c>
      <c r="P133" s="77">
        <f t="shared" si="31"/>
        <v>-61360257.640887521</v>
      </c>
      <c r="Q133" s="77">
        <f t="shared" si="31"/>
        <v>-111596583.41035028</v>
      </c>
      <c r="R133" s="77">
        <f t="shared" si="31"/>
        <v>-32521481.538598385</v>
      </c>
      <c r="S133" s="109">
        <f t="shared" si="21"/>
        <v>-705181830.69610417</v>
      </c>
      <c r="T133" s="473">
        <f t="shared" si="22"/>
        <v>-11.420688476923269</v>
      </c>
      <c r="U133" s="311"/>
      <c r="V133" s="311"/>
    </row>
    <row r="134" spans="1:22" ht="13.5" thickBot="1">
      <c r="A134" s="117" t="str">
        <f t="shared" si="18"/>
        <v>1003p</v>
      </c>
      <c r="B134" s="570" t="str">
        <f>+VLOOKUP(LEFT($A134,LEN(A134)-1)*1,Master!$D$30:$G$226,4,FALSE)</f>
        <v>Finansiranje</v>
      </c>
      <c r="C134" s="571"/>
      <c r="D134" s="571"/>
      <c r="E134" s="571"/>
      <c r="F134" s="571"/>
      <c r="G134" s="93">
        <f t="shared" ref="G134:R134" si="32">+SUM(G135:G138)</f>
        <v>53245889.537592493</v>
      </c>
      <c r="H134" s="93">
        <f t="shared" si="32"/>
        <v>73881124.274519369</v>
      </c>
      <c r="I134" s="93">
        <f t="shared" si="32"/>
        <v>11706309.449745908</v>
      </c>
      <c r="J134" s="93">
        <f t="shared" si="32"/>
        <v>26168771.349765025</v>
      </c>
      <c r="K134" s="93">
        <f t="shared" si="32"/>
        <v>134258439.02871251</v>
      </c>
      <c r="L134" s="93">
        <f t="shared" si="32"/>
        <v>41511087.848724924</v>
      </c>
      <c r="M134" s="93">
        <f t="shared" si="32"/>
        <v>96345577.436071083</v>
      </c>
      <c r="N134" s="93">
        <f t="shared" si="32"/>
        <v>15798210.446971366</v>
      </c>
      <c r="O134" s="93">
        <f t="shared" si="32"/>
        <v>46788098.734165192</v>
      </c>
      <c r="P134" s="93">
        <f t="shared" si="32"/>
        <v>61360257.640887521</v>
      </c>
      <c r="Q134" s="93">
        <f t="shared" si="32"/>
        <v>111596583.41035028</v>
      </c>
      <c r="R134" s="93">
        <f t="shared" si="32"/>
        <v>32521481.538598385</v>
      </c>
      <c r="S134" s="110">
        <f t="shared" si="21"/>
        <v>705181830.69610417</v>
      </c>
      <c r="T134" s="474">
        <f t="shared" si="22"/>
        <v>11.420688476923269</v>
      </c>
      <c r="U134" s="311"/>
      <c r="V134" s="311"/>
    </row>
    <row r="135" spans="1:22">
      <c r="A135" s="117" t="str">
        <f t="shared" si="18"/>
        <v>7511p</v>
      </c>
      <c r="B135" s="574" t="str">
        <f>+VLOOKUP(LEFT($A135,LEN(A135)-1)*1,Master!$D$30:$G$226,4,FALSE)</f>
        <v>Pozajmice i krediti od domaćih izvora</v>
      </c>
      <c r="C135" s="575"/>
      <c r="D135" s="575"/>
      <c r="E135" s="575"/>
      <c r="F135" s="575"/>
      <c r="G135" s="96">
        <v>0</v>
      </c>
      <c r="H135" s="96">
        <v>0</v>
      </c>
      <c r="I135" s="96">
        <v>100000000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1"/>
        <v>100000000</v>
      </c>
      <c r="T135" s="471">
        <f t="shared" si="22"/>
        <v>1.6195381077316748</v>
      </c>
      <c r="U135" s="311"/>
      <c r="V135" s="311"/>
    </row>
    <row r="136" spans="1:22">
      <c r="A136" s="117" t="str">
        <f t="shared" si="18"/>
        <v>7512p</v>
      </c>
      <c r="B136" s="576" t="str">
        <f>+VLOOKUP(LEFT($A136,LEN(A136)-1)*1,Master!$D$30:$G$226,4,FALSE)</f>
        <v>Pozajmice i krediti od inostranih izvora</v>
      </c>
      <c r="C136" s="577"/>
      <c r="D136" s="577"/>
      <c r="E136" s="577"/>
      <c r="F136" s="577"/>
      <c r="G136" s="96">
        <v>0</v>
      </c>
      <c r="H136" s="96">
        <v>0</v>
      </c>
      <c r="I136" s="96">
        <v>0</v>
      </c>
      <c r="J136" s="96">
        <v>0</v>
      </c>
      <c r="K136" s="96">
        <v>0</v>
      </c>
      <c r="L136" s="96">
        <v>0</v>
      </c>
      <c r="M136" s="96">
        <v>0</v>
      </c>
      <c r="N136" s="96">
        <v>0</v>
      </c>
      <c r="O136" s="517">
        <v>499181830.68901968</v>
      </c>
      <c r="P136" s="96">
        <v>0</v>
      </c>
      <c r="Q136" s="96">
        <v>0</v>
      </c>
      <c r="R136" s="96">
        <v>0</v>
      </c>
      <c r="S136" s="103">
        <f t="shared" si="21"/>
        <v>499181830.68901968</v>
      </c>
      <c r="T136" s="471">
        <f t="shared" si="22"/>
        <v>8.084439974881283</v>
      </c>
      <c r="U136" s="311"/>
      <c r="V136" s="311"/>
    </row>
    <row r="137" spans="1:22">
      <c r="A137" s="117" t="str">
        <f t="shared" si="18"/>
        <v>72p</v>
      </c>
      <c r="B137" s="576" t="str">
        <f>+VLOOKUP(LEFT($A137,LEN(A137)-1)*1,Master!$D$30:$G$226,4,FALSE)</f>
        <v>Primici od prodaje imovine</v>
      </c>
      <c r="C137" s="577"/>
      <c r="D137" s="577"/>
      <c r="E137" s="577"/>
      <c r="F137" s="577"/>
      <c r="G137" s="96">
        <v>500000</v>
      </c>
      <c r="H137" s="96">
        <v>500000</v>
      </c>
      <c r="I137" s="96">
        <v>500000</v>
      </c>
      <c r="J137" s="96">
        <v>500000</v>
      </c>
      <c r="K137" s="96">
        <v>500000</v>
      </c>
      <c r="L137" s="96">
        <v>500000</v>
      </c>
      <c r="M137" s="96">
        <v>500000</v>
      </c>
      <c r="N137" s="96">
        <v>500000</v>
      </c>
      <c r="O137" s="96">
        <v>500000</v>
      </c>
      <c r="P137" s="96">
        <v>500000</v>
      </c>
      <c r="Q137" s="96">
        <v>500000</v>
      </c>
      <c r="R137" s="96">
        <v>500000</v>
      </c>
      <c r="S137" s="103">
        <f t="shared" si="21"/>
        <v>6000000</v>
      </c>
      <c r="T137" s="471">
        <f t="shared" si="22"/>
        <v>9.7172286463900498E-2</v>
      </c>
      <c r="U137" s="311"/>
      <c r="V137" s="311"/>
    </row>
    <row r="138" spans="1:22" ht="13.5" thickBot="1">
      <c r="A138" s="117" t="str">
        <f t="shared" si="18"/>
        <v>1004p</v>
      </c>
      <c r="B138" s="98" t="str">
        <f>+VLOOKUP(LEFT($A138,LEN(A138)-1)*1,Master!$D$30:$G$226,4,FALSE)</f>
        <v>Povećanje / smanjenje depozita</v>
      </c>
      <c r="C138" s="99"/>
      <c r="D138" s="99"/>
      <c r="E138" s="99"/>
      <c r="F138" s="99"/>
      <c r="G138" s="97">
        <f>-G133-SUM(G135:G137)</f>
        <v>52745889.537592493</v>
      </c>
      <c r="H138" s="97">
        <f t="shared" ref="H138:R138" si="33">-H133-SUM(H135:H137)</f>
        <v>73381124.274519369</v>
      </c>
      <c r="I138" s="97">
        <f t="shared" si="33"/>
        <v>-88793690.550254092</v>
      </c>
      <c r="J138" s="97">
        <f t="shared" si="33"/>
        <v>25668771.349765025</v>
      </c>
      <c r="K138" s="97">
        <f t="shared" si="33"/>
        <v>133758439.02871251</v>
      </c>
      <c r="L138" s="97">
        <f t="shared" si="33"/>
        <v>41011087.848724924</v>
      </c>
      <c r="M138" s="97">
        <f t="shared" si="33"/>
        <v>95845577.436071083</v>
      </c>
      <c r="N138" s="97">
        <f t="shared" si="33"/>
        <v>15298210.446971366</v>
      </c>
      <c r="O138" s="97">
        <f t="shared" si="33"/>
        <v>-452893731.95485449</v>
      </c>
      <c r="P138" s="97">
        <f t="shared" si="33"/>
        <v>60860257.640887521</v>
      </c>
      <c r="Q138" s="97">
        <f t="shared" si="33"/>
        <v>111096583.41035028</v>
      </c>
      <c r="R138" s="97">
        <f t="shared" si="33"/>
        <v>32021481.538598385</v>
      </c>
      <c r="S138" s="105">
        <f>+SUM(G138:R138)</f>
        <v>100000000.00708437</v>
      </c>
      <c r="T138" s="475">
        <f t="shared" si="22"/>
        <v>1.6195381078464091</v>
      </c>
      <c r="U138" s="311"/>
      <c r="V138" s="311"/>
    </row>
    <row r="140" spans="1:22">
      <c r="G140" s="311"/>
    </row>
    <row r="141" spans="1:22">
      <c r="G141" s="311"/>
      <c r="H141" s="311"/>
      <c r="I141" s="311"/>
      <c r="J141" s="311"/>
      <c r="K141" s="311"/>
      <c r="L141" s="311"/>
      <c r="M141" s="311"/>
      <c r="N141" s="311"/>
      <c r="O141" s="311"/>
      <c r="P141" s="311"/>
      <c r="Q141" s="311"/>
      <c r="R141" s="311"/>
    </row>
    <row r="142" spans="1:22">
      <c r="N142" s="311"/>
    </row>
    <row r="144" spans="1:22">
      <c r="S144" s="484"/>
    </row>
    <row r="145" spans="19:19">
      <c r="S145" s="311"/>
    </row>
    <row r="146" spans="19:19">
      <c r="S146" s="311"/>
    </row>
  </sheetData>
  <sheetProtection algorithmName="SHA-512" hashValue="JOOFrH7PrWcHt3Nl8I9KCfjuIGFj0Z+T/N3sARQBOS/6PH+6aNVJvDsxmzZ7jj3Fg5kSNxoUwZADYXUl85ldVg==" saltValue="HrtdstTwZJAn316DFjGdpA==" spinCount="100000" sheet="1" objects="1" scenarios="1"/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46"/>
  <sheetViews>
    <sheetView zoomScaleNormal="100" workbookViewId="0">
      <pane ySplit="1" topLeftCell="A2" activePane="bottomLeft" state="frozen"/>
      <selection pane="bottomLeft" activeCell="G64" sqref="G64:H64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3.42578125" style="258" customWidth="1"/>
    <col min="7" max="7" width="12" style="258" customWidth="1"/>
    <col min="8" max="8" width="12.28515625" style="258" customWidth="1"/>
    <col min="9" max="9" width="10.7109375" style="258" customWidth="1"/>
    <col min="10" max="10" width="14.42578125" style="258" customWidth="1"/>
    <col min="11" max="11" width="10.7109375" style="258" customWidth="1"/>
    <col min="12" max="12" width="12.28515625" style="258" customWidth="1"/>
    <col min="13" max="14" width="10.7109375" style="258" customWidth="1"/>
    <col min="15" max="16" width="12.28515625" style="258" customWidth="1"/>
    <col min="17" max="17" width="15.42578125" style="258" customWidth="1"/>
    <col min="18" max="18" width="10.7109375" style="258" customWidth="1"/>
    <col min="19" max="19" width="13.28515625" style="258" customWidth="1"/>
    <col min="20" max="20" width="10.7109375" style="258" customWidth="1"/>
    <col min="21" max="21" width="16.85546875" style="291" bestFit="1" customWidth="1"/>
    <col min="22" max="22" width="15.85546875" style="258" bestFit="1" customWidth="1"/>
    <col min="23" max="23" width="17.5703125" style="258" customWidth="1"/>
    <col min="24" max="16384" width="9.140625" style="258"/>
  </cols>
  <sheetData>
    <row r="1" spans="1:23" s="1" customFormat="1" ht="3" customHeight="1">
      <c r="A1" s="69"/>
      <c r="G1" s="1" t="s">
        <v>92</v>
      </c>
      <c r="O1" s="1" t="s">
        <v>838</v>
      </c>
      <c r="U1" s="499"/>
    </row>
    <row r="2" spans="1:23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7"/>
      <c r="M2" s="126"/>
      <c r="N2" s="126"/>
      <c r="O2" s="126"/>
      <c r="P2" s="126"/>
      <c r="Q2" s="126"/>
      <c r="R2" s="126"/>
      <c r="S2" s="126"/>
      <c r="T2" s="126"/>
      <c r="U2" s="499"/>
    </row>
    <row r="3" spans="1:23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499"/>
    </row>
    <row r="4" spans="1:23" s="1" customFormat="1" ht="15">
      <c r="A4" s="231"/>
      <c r="B4" s="497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7"/>
      <c r="T4" s="361"/>
      <c r="U4" s="499"/>
    </row>
    <row r="5" spans="1:23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  <c r="U5" s="499"/>
    </row>
    <row r="6" spans="1:23" ht="13.5" thickBot="1">
      <c r="A6" s="144"/>
      <c r="B6" s="233"/>
      <c r="C6" s="233"/>
      <c r="D6" s="233"/>
      <c r="E6" s="233"/>
      <c r="F6" s="233"/>
      <c r="G6" s="234" t="s">
        <v>825</v>
      </c>
      <c r="H6" s="234" t="s">
        <v>826</v>
      </c>
      <c r="I6" s="234" t="s">
        <v>827</v>
      </c>
      <c r="J6" s="234" t="s">
        <v>828</v>
      </c>
      <c r="K6" s="234" t="s">
        <v>829</v>
      </c>
      <c r="L6" s="234" t="s">
        <v>830</v>
      </c>
      <c r="M6" s="234" t="s">
        <v>831</v>
      </c>
      <c r="N6" s="234" t="s">
        <v>832</v>
      </c>
      <c r="O6" s="234" t="s">
        <v>833</v>
      </c>
      <c r="P6" s="234" t="s">
        <v>834</v>
      </c>
      <c r="Q6" s="234" t="s">
        <v>835</v>
      </c>
      <c r="R6" s="234" t="s">
        <v>836</v>
      </c>
      <c r="S6" s="233"/>
      <c r="T6" s="233"/>
    </row>
    <row r="7" spans="1:23" ht="15" customHeight="1" thickBot="1">
      <c r="A7" s="144"/>
      <c r="B7" s="619" t="str">
        <f>+Master!G252</f>
        <v>Ostvarenje budžeta</v>
      </c>
      <c r="C7" s="551"/>
      <c r="D7" s="551"/>
      <c r="E7" s="551"/>
      <c r="F7" s="551"/>
      <c r="G7" s="559">
        <v>2022</v>
      </c>
      <c r="H7" s="560"/>
      <c r="I7" s="560"/>
      <c r="J7" s="560"/>
      <c r="K7" s="560"/>
      <c r="L7" s="560"/>
      <c r="M7" s="560"/>
      <c r="N7" s="560"/>
      <c r="O7" s="560"/>
      <c r="P7" s="560"/>
      <c r="Q7" s="560"/>
      <c r="R7" s="563"/>
      <c r="S7" s="235" t="str">
        <f>+Master!G249</f>
        <v>BDP</v>
      </c>
      <c r="T7" s="236">
        <v>5796761000</v>
      </c>
    </row>
    <row r="8" spans="1:23" ht="16.5" customHeight="1">
      <c r="A8" s="144"/>
      <c r="B8" s="552"/>
      <c r="C8" s="553"/>
      <c r="D8" s="553"/>
      <c r="E8" s="553"/>
      <c r="F8" s="554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59" t="str">
        <f>+Master!G247</f>
        <v>Jan - Dec</v>
      </c>
      <c r="T8" s="563"/>
    </row>
    <row r="9" spans="1:23" ht="13.5" thickBot="1">
      <c r="A9" s="144"/>
      <c r="B9" s="555"/>
      <c r="C9" s="556"/>
      <c r="D9" s="556"/>
      <c r="E9" s="556"/>
      <c r="F9" s="557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3" ht="13.5" thickBot="1">
      <c r="A10" s="150">
        <v>7</v>
      </c>
      <c r="B10" s="530" t="str">
        <f>+VLOOKUP($A10,Master!$D$30:$G$226,4,FALSE)</f>
        <v>Prihodi budžeta</v>
      </c>
      <c r="C10" s="531"/>
      <c r="D10" s="531"/>
      <c r="E10" s="531"/>
      <c r="F10" s="531"/>
      <c r="G10" s="151">
        <f>+G11+G19+SUM(G24:G28)</f>
        <v>107815206.7</v>
      </c>
      <c r="H10" s="151">
        <f t="shared" ref="H10:R10" si="1">+H11+H19+SUM(H24:H28)</f>
        <v>124648051.66</v>
      </c>
      <c r="I10" s="151">
        <f t="shared" si="1"/>
        <v>184180987.31</v>
      </c>
      <c r="J10" s="151">
        <f t="shared" si="1"/>
        <v>182005041.20000002</v>
      </c>
      <c r="K10" s="151">
        <f t="shared" si="1"/>
        <v>154767660.19999999</v>
      </c>
      <c r="L10" s="151">
        <f t="shared" si="1"/>
        <v>169115492.40000004</v>
      </c>
      <c r="M10" s="151">
        <f t="shared" si="1"/>
        <v>165776838.45999998</v>
      </c>
      <c r="N10" s="151">
        <f t="shared" si="1"/>
        <v>195547069.71999997</v>
      </c>
      <c r="O10" s="151">
        <f t="shared" si="1"/>
        <v>175641720.11000001</v>
      </c>
      <c r="P10" s="151">
        <f t="shared" si="1"/>
        <v>168344009.69</v>
      </c>
      <c r="Q10" s="151">
        <f t="shared" si="1"/>
        <v>162487550.83000001</v>
      </c>
      <c r="R10" s="151">
        <f t="shared" si="1"/>
        <v>220180815.28000003</v>
      </c>
      <c r="S10" s="239">
        <f>+SUM(G10:R10)</f>
        <v>2010510443.5600002</v>
      </c>
      <c r="T10" s="461">
        <f>+S10/$T$7*100</f>
        <v>34.68334201737833</v>
      </c>
      <c r="V10" s="311"/>
    </row>
    <row r="11" spans="1:23">
      <c r="A11" s="150">
        <v>711</v>
      </c>
      <c r="B11" s="520" t="str">
        <f>+VLOOKUP($A11,Master!$D$30:$G$226,4,FALSE)</f>
        <v>Porezi</v>
      </c>
      <c r="C11" s="521"/>
      <c r="D11" s="521"/>
      <c r="E11" s="521"/>
      <c r="F11" s="521"/>
      <c r="G11" s="157">
        <f t="shared" ref="G11:R11" si="2">+SUM(G12:G18)</f>
        <v>80559495.530000001</v>
      </c>
      <c r="H11" s="157">
        <f t="shared" si="2"/>
        <v>83215985.099999994</v>
      </c>
      <c r="I11" s="157">
        <f t="shared" si="2"/>
        <v>136363333.32000002</v>
      </c>
      <c r="J11" s="157">
        <f t="shared" si="2"/>
        <v>133978505.54000001</v>
      </c>
      <c r="K11" s="157">
        <f t="shared" si="2"/>
        <v>112630389.3</v>
      </c>
      <c r="L11" s="157">
        <f>+SUM(L12:L18)</f>
        <v>115551273.18000002</v>
      </c>
      <c r="M11" s="157">
        <f t="shared" si="2"/>
        <v>118591394.48</v>
      </c>
      <c r="N11" s="157">
        <f t="shared" si="2"/>
        <v>138239036.15999997</v>
      </c>
      <c r="O11" s="157">
        <f t="shared" si="2"/>
        <v>121261181.33999999</v>
      </c>
      <c r="P11" s="157">
        <f t="shared" si="2"/>
        <v>118807466.67</v>
      </c>
      <c r="Q11" s="157">
        <f t="shared" si="2"/>
        <v>102838730.77</v>
      </c>
      <c r="R11" s="240">
        <f t="shared" si="2"/>
        <v>119096364.02</v>
      </c>
      <c r="S11" s="241">
        <f>+SUM(G11:R11)</f>
        <v>1381133155.4100001</v>
      </c>
      <c r="T11" s="462">
        <f t="shared" ref="T11:T64" si="3">+S11/$T$7*100</f>
        <v>23.825946169076147</v>
      </c>
      <c r="V11" s="311"/>
    </row>
    <row r="12" spans="1:23">
      <c r="A12" s="150">
        <v>7111</v>
      </c>
      <c r="B12" s="522" t="str">
        <f>+VLOOKUP($A12,Master!$D$30:$G$226,4,FALSE)</f>
        <v>Porez na dohodak fizičkih lica</v>
      </c>
      <c r="C12" s="523"/>
      <c r="D12" s="523"/>
      <c r="E12" s="523"/>
      <c r="F12" s="523"/>
      <c r="G12" s="163">
        <v>6139790.5700000003</v>
      </c>
      <c r="H12" s="163">
        <v>7672775.8099999996</v>
      </c>
      <c r="I12" s="163">
        <v>6664350.6399999997</v>
      </c>
      <c r="J12" s="163">
        <v>8050769.3899999997</v>
      </c>
      <c r="K12" s="163">
        <v>8176244.7699999996</v>
      </c>
      <c r="L12" s="163">
        <v>7322347.5800000001</v>
      </c>
      <c r="M12" s="163">
        <v>8156090.4900000002</v>
      </c>
      <c r="N12" s="163">
        <v>7377958</v>
      </c>
      <c r="O12" s="163">
        <v>5598868.9900000002</v>
      </c>
      <c r="P12" s="163">
        <v>5264087.58</v>
      </c>
      <c r="Q12" s="163">
        <v>4566627.0199999996</v>
      </c>
      <c r="R12" s="163">
        <v>8051099.2599999998</v>
      </c>
      <c r="S12" s="242">
        <f t="shared" ref="S12:S63" si="4">+SUM(G12:R12)</f>
        <v>83041010.100000009</v>
      </c>
      <c r="T12" s="463">
        <f t="shared" si="3"/>
        <v>1.4325415538091015</v>
      </c>
      <c r="V12" s="311"/>
    </row>
    <row r="13" spans="1:23">
      <c r="A13" s="150">
        <v>7112</v>
      </c>
      <c r="B13" s="522" t="str">
        <f>+VLOOKUP($A13,Master!$D$30:$G$226,4,FALSE)</f>
        <v>Porez na dobit pravnih lica</v>
      </c>
      <c r="C13" s="523"/>
      <c r="D13" s="523"/>
      <c r="E13" s="523"/>
      <c r="F13" s="523"/>
      <c r="G13" s="163">
        <v>395935.5</v>
      </c>
      <c r="H13" s="163">
        <v>2173083.29</v>
      </c>
      <c r="I13" s="163">
        <v>38679260.32</v>
      </c>
      <c r="J13" s="163">
        <v>28771681.68</v>
      </c>
      <c r="K13" s="163">
        <v>2149499.0699999998</v>
      </c>
      <c r="L13" s="163">
        <v>3024620.31</v>
      </c>
      <c r="M13" s="163">
        <v>1873254.93</v>
      </c>
      <c r="N13" s="163">
        <v>2349199.71</v>
      </c>
      <c r="O13" s="163">
        <v>2622669.34</v>
      </c>
      <c r="P13" s="163">
        <v>1233620.1499999999</v>
      </c>
      <c r="Q13" s="163">
        <v>2140171.25</v>
      </c>
      <c r="R13" s="163">
        <v>4756163.6100000003</v>
      </c>
      <c r="S13" s="242">
        <f t="shared" si="4"/>
        <v>90169159.159999996</v>
      </c>
      <c r="T13" s="463">
        <f t="shared" si="3"/>
        <v>1.5555093466851573</v>
      </c>
      <c r="V13" s="311"/>
    </row>
    <row r="14" spans="1:23">
      <c r="A14" s="150">
        <v>7113</v>
      </c>
      <c r="B14" s="522" t="str">
        <f>+VLOOKUP($A14,Master!$D$30:$G$226,4,FALSE)</f>
        <v>Porez na promet nepokretnosti</v>
      </c>
      <c r="C14" s="523"/>
      <c r="D14" s="523"/>
      <c r="E14" s="523"/>
      <c r="F14" s="523"/>
      <c r="G14" s="163">
        <v>146340.34</v>
      </c>
      <c r="H14" s="163">
        <v>168193.65</v>
      </c>
      <c r="I14" s="163">
        <v>233459.66</v>
      </c>
      <c r="J14" s="163">
        <v>245580.28</v>
      </c>
      <c r="K14" s="163">
        <v>189584.64000000001</v>
      </c>
      <c r="L14" s="163">
        <v>263126.03999999998</v>
      </c>
      <c r="M14" s="163">
        <v>180172.4</v>
      </c>
      <c r="N14" s="163">
        <v>55084.76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1481541.77</v>
      </c>
      <c r="T14" s="463">
        <f t="shared" si="3"/>
        <v>2.5558096495611946E-2</v>
      </c>
      <c r="V14" s="311"/>
    </row>
    <row r="15" spans="1:23">
      <c r="A15" s="150">
        <v>7114</v>
      </c>
      <c r="B15" s="522" t="str">
        <f>+VLOOKUP($A15,Master!$D$30:$G$226,4,FALSE)</f>
        <v>Porez na dodatu vrijednost</v>
      </c>
      <c r="C15" s="523"/>
      <c r="D15" s="523"/>
      <c r="E15" s="523"/>
      <c r="F15" s="523"/>
      <c r="G15" s="163">
        <v>50270008.859999999</v>
      </c>
      <c r="H15" s="163">
        <v>54121445.460000001</v>
      </c>
      <c r="I15" s="163">
        <v>67019753.909999996</v>
      </c>
      <c r="J15" s="163">
        <v>73487462.640000001</v>
      </c>
      <c r="K15" s="163">
        <v>76474660.090000004</v>
      </c>
      <c r="L15" s="163">
        <v>79678383.590000004</v>
      </c>
      <c r="M15" s="163">
        <v>83883709.769999996</v>
      </c>
      <c r="N15" s="163">
        <v>95638013.599999994</v>
      </c>
      <c r="O15" s="163">
        <v>84609670.859999999</v>
      </c>
      <c r="P15" s="163">
        <v>87831568.400000006</v>
      </c>
      <c r="Q15" s="163">
        <v>75753324.030000001</v>
      </c>
      <c r="R15" s="163">
        <v>79279103.049999997</v>
      </c>
      <c r="S15" s="242">
        <f t="shared" si="4"/>
        <v>908047104.25999999</v>
      </c>
      <c r="T15" s="463">
        <f t="shared" si="3"/>
        <v>15.66473249906284</v>
      </c>
      <c r="V15" s="311"/>
    </row>
    <row r="16" spans="1:23">
      <c r="A16" s="150">
        <v>7115</v>
      </c>
      <c r="B16" s="522" t="str">
        <f>+VLOOKUP($A16,Master!$D$30:$G$226,4,FALSE)</f>
        <v>Akcize</v>
      </c>
      <c r="C16" s="523"/>
      <c r="D16" s="523"/>
      <c r="E16" s="523"/>
      <c r="F16" s="523"/>
      <c r="G16" s="163">
        <v>21096875.199999999</v>
      </c>
      <c r="H16" s="163">
        <v>16062530.34</v>
      </c>
      <c r="I16" s="163">
        <v>19528829.140000001</v>
      </c>
      <c r="J16" s="163">
        <v>19259652.579999998</v>
      </c>
      <c r="K16" s="163">
        <v>21309575.899999999</v>
      </c>
      <c r="L16" s="163">
        <v>20484664.210000001</v>
      </c>
      <c r="M16" s="163">
        <v>19630528.800000001</v>
      </c>
      <c r="N16" s="163">
        <v>27418018.539999999</v>
      </c>
      <c r="O16" s="163">
        <v>23606498.559999999</v>
      </c>
      <c r="P16" s="163">
        <v>20069000.579999998</v>
      </c>
      <c r="Q16" s="163">
        <v>15318077.359999999</v>
      </c>
      <c r="R16" s="163">
        <v>22088360.559999999</v>
      </c>
      <c r="S16" s="242">
        <f t="shared" si="4"/>
        <v>245872611.77000004</v>
      </c>
      <c r="T16" s="463">
        <f t="shared" si="3"/>
        <v>4.2415516487569533</v>
      </c>
      <c r="V16" s="311"/>
      <c r="W16" s="311"/>
    </row>
    <row r="17" spans="1:23">
      <c r="A17" s="150">
        <v>7116</v>
      </c>
      <c r="B17" s="522" t="str">
        <f>+VLOOKUP($A17,Master!$D$30:$G$226,4,FALSE)</f>
        <v>Porez na međunarodnu trgovinu i transakcije</v>
      </c>
      <c r="C17" s="523"/>
      <c r="D17" s="523"/>
      <c r="E17" s="523"/>
      <c r="F17" s="523"/>
      <c r="G17" s="163">
        <v>1689510.83</v>
      </c>
      <c r="H17" s="163">
        <v>2149003.6</v>
      </c>
      <c r="I17" s="163">
        <v>3284454.25</v>
      </c>
      <c r="J17" s="163">
        <v>3111315.33</v>
      </c>
      <c r="K17" s="163">
        <v>3394780.34</v>
      </c>
      <c r="L17" s="163">
        <v>3720198.33</v>
      </c>
      <c r="M17" s="163">
        <v>3648629.78</v>
      </c>
      <c r="N17" s="163">
        <v>4253554.42</v>
      </c>
      <c r="O17" s="163">
        <v>3769936.82</v>
      </c>
      <c r="P17" s="163">
        <v>3430898.88</v>
      </c>
      <c r="Q17" s="163">
        <v>3901120.48</v>
      </c>
      <c r="R17" s="163">
        <v>3886090.57</v>
      </c>
      <c r="S17" s="242">
        <f t="shared" si="4"/>
        <v>40239493.630000003</v>
      </c>
      <c r="T17" s="463">
        <f t="shared" si="3"/>
        <v>0.69417203210551548</v>
      </c>
      <c r="V17" s="311"/>
    </row>
    <row r="18" spans="1:23">
      <c r="A18" s="150">
        <v>7118</v>
      </c>
      <c r="B18" s="522" t="str">
        <f>+VLOOKUP($A18,Master!$D$30:$G$226,4,FALSE)</f>
        <v>Ostali državni porezi</v>
      </c>
      <c r="C18" s="523"/>
      <c r="D18" s="523"/>
      <c r="E18" s="523"/>
      <c r="F18" s="523"/>
      <c r="G18" s="163">
        <v>821034.23</v>
      </c>
      <c r="H18" s="163">
        <v>868952.95</v>
      </c>
      <c r="I18" s="163">
        <v>953225.4</v>
      </c>
      <c r="J18" s="163">
        <v>1052043.6399999999</v>
      </c>
      <c r="K18" s="163">
        <v>936044.49</v>
      </c>
      <c r="L18" s="163">
        <v>1057933.1200000001</v>
      </c>
      <c r="M18" s="163">
        <v>1219008.31</v>
      </c>
      <c r="N18" s="163">
        <v>1147207.1299999999</v>
      </c>
      <c r="O18" s="163">
        <v>1053536.77</v>
      </c>
      <c r="P18" s="163">
        <v>978291.08</v>
      </c>
      <c r="Q18" s="163">
        <v>1159410.6299999999</v>
      </c>
      <c r="R18" s="163">
        <v>1035546.97</v>
      </c>
      <c r="S18" s="242">
        <f t="shared" si="4"/>
        <v>12282234.720000001</v>
      </c>
      <c r="T18" s="463">
        <f t="shared" si="3"/>
        <v>0.21188099216096715</v>
      </c>
      <c r="V18" s="311"/>
    </row>
    <row r="19" spans="1:23">
      <c r="A19" s="150">
        <v>712</v>
      </c>
      <c r="B19" s="524" t="str">
        <f>+VLOOKUP($A19,Master!$D$30:$G$226,4,FALSE)</f>
        <v>Doprinosi</v>
      </c>
      <c r="C19" s="525"/>
      <c r="D19" s="525"/>
      <c r="E19" s="525"/>
      <c r="F19" s="525"/>
      <c r="G19" s="169">
        <f>SUM(G20:G23)</f>
        <v>11731802.159999998</v>
      </c>
      <c r="H19" s="169">
        <f t="shared" ref="H19:R19" si="5">SUM(H20:H23)</f>
        <v>34984293.990000002</v>
      </c>
      <c r="I19" s="169">
        <f t="shared" si="5"/>
        <v>37056759.600000001</v>
      </c>
      <c r="J19" s="169">
        <f t="shared" si="5"/>
        <v>37592490.479999997</v>
      </c>
      <c r="K19" s="169">
        <f t="shared" si="5"/>
        <v>33463530.389999997</v>
      </c>
      <c r="L19" s="169">
        <f t="shared" si="5"/>
        <v>37796292.359999999</v>
      </c>
      <c r="M19" s="169">
        <f t="shared" si="5"/>
        <v>36710432.280000001</v>
      </c>
      <c r="N19" s="169">
        <f t="shared" si="5"/>
        <v>39015024.850000001</v>
      </c>
      <c r="O19" s="169">
        <f t="shared" si="5"/>
        <v>38998261.349999994</v>
      </c>
      <c r="P19" s="169">
        <f t="shared" si="5"/>
        <v>39011988.589999996</v>
      </c>
      <c r="Q19" s="169">
        <f t="shared" si="5"/>
        <v>40329720.409999996</v>
      </c>
      <c r="R19" s="169">
        <f t="shared" si="5"/>
        <v>76106447.830000013</v>
      </c>
      <c r="S19" s="243">
        <f t="shared" si="4"/>
        <v>462797044.28999996</v>
      </c>
      <c r="T19" s="464">
        <f t="shared" si="3"/>
        <v>7.9837178777941675</v>
      </c>
      <c r="V19" s="311"/>
    </row>
    <row r="20" spans="1:23">
      <c r="A20" s="150">
        <v>7121</v>
      </c>
      <c r="B20" s="522" t="str">
        <f>+VLOOKUP($A20,Master!$D$30:$G$226,4,FALSE)</f>
        <v>Doprinosi za penzijsko i invalidsko osiguranje</v>
      </c>
      <c r="C20" s="523"/>
      <c r="D20" s="523"/>
      <c r="E20" s="523"/>
      <c r="F20" s="523"/>
      <c r="G20" s="163">
        <v>7550452.8499999996</v>
      </c>
      <c r="H20" s="163">
        <v>24366605.109999999</v>
      </c>
      <c r="I20" s="163">
        <v>31891479.559999999</v>
      </c>
      <c r="J20" s="163">
        <v>32988975.75</v>
      </c>
      <c r="K20" s="163">
        <v>29598378.829999998</v>
      </c>
      <c r="L20" s="163">
        <v>33851315.109999999</v>
      </c>
      <c r="M20" s="163">
        <v>32996526.960000001</v>
      </c>
      <c r="N20" s="163">
        <v>35394821.75</v>
      </c>
      <c r="O20" s="163">
        <v>35762026.799999997</v>
      </c>
      <c r="P20" s="163">
        <v>35325375.350000001</v>
      </c>
      <c r="Q20" s="163">
        <v>36524279.100000001</v>
      </c>
      <c r="R20" s="163">
        <v>69645040.040000007</v>
      </c>
      <c r="S20" s="242">
        <f>+SUM(G20:R20)</f>
        <v>405895277.21000004</v>
      </c>
      <c r="T20" s="463">
        <f t="shared" si="3"/>
        <v>7.0021047479790877</v>
      </c>
      <c r="V20" s="311"/>
    </row>
    <row r="21" spans="1:23">
      <c r="A21" s="150">
        <v>7122</v>
      </c>
      <c r="B21" s="522" t="str">
        <f>+VLOOKUP($A21,Master!$D$30:$G$226,4,FALSE)</f>
        <v>Doprinosi za zdravstveno osiguranje</v>
      </c>
      <c r="C21" s="523"/>
      <c r="D21" s="523"/>
      <c r="E21" s="523"/>
      <c r="F21" s="523"/>
      <c r="G21" s="163">
        <v>3618221.62</v>
      </c>
      <c r="H21" s="163">
        <v>8815681.4700000007</v>
      </c>
      <c r="I21" s="163">
        <v>2582574.44</v>
      </c>
      <c r="J21" s="163">
        <v>1899377.01</v>
      </c>
      <c r="K21" s="163">
        <v>1480944.7</v>
      </c>
      <c r="L21" s="163">
        <v>1150315.93</v>
      </c>
      <c r="M21" s="163">
        <v>951006.28</v>
      </c>
      <c r="N21" s="163">
        <v>823067.88</v>
      </c>
      <c r="O21" s="163">
        <v>668162.97</v>
      </c>
      <c r="P21" s="163">
        <v>1084172.32</v>
      </c>
      <c r="Q21" s="163">
        <v>970112.44</v>
      </c>
      <c r="R21" s="163">
        <v>1011542.87</v>
      </c>
      <c r="S21" s="242">
        <f t="shared" si="4"/>
        <v>25055179.93</v>
      </c>
      <c r="T21" s="463">
        <f t="shared" si="3"/>
        <v>0.43222723741758545</v>
      </c>
      <c r="V21" s="311"/>
    </row>
    <row r="22" spans="1:23">
      <c r="A22" s="150">
        <v>7123</v>
      </c>
      <c r="B22" s="522" t="str">
        <f>+VLOOKUP($A22,Master!$D$30:$G$226,4,FALSE)</f>
        <v>Doprinosi za osiguranje od nezaposlenosti</v>
      </c>
      <c r="C22" s="523"/>
      <c r="D22" s="523"/>
      <c r="E22" s="523"/>
      <c r="F22" s="523"/>
      <c r="G22" s="163">
        <v>333527.59999999998</v>
      </c>
      <c r="H22" s="163">
        <v>1107968.99</v>
      </c>
      <c r="I22" s="163">
        <v>1459655.88</v>
      </c>
      <c r="J22" s="163">
        <v>1501790.24</v>
      </c>
      <c r="K22" s="163">
        <v>1379492.12</v>
      </c>
      <c r="L22" s="163">
        <v>1561408.27</v>
      </c>
      <c r="M22" s="163">
        <v>1571588.31</v>
      </c>
      <c r="N22" s="163">
        <v>1597593.61</v>
      </c>
      <c r="O22" s="163">
        <v>1507262.14</v>
      </c>
      <c r="P22" s="163">
        <v>1538447.23</v>
      </c>
      <c r="Q22" s="163">
        <v>1651967.4</v>
      </c>
      <c r="R22" s="163">
        <v>3184426.45</v>
      </c>
      <c r="S22" s="242">
        <f t="shared" si="4"/>
        <v>18395128.240000002</v>
      </c>
      <c r="T22" s="463">
        <f t="shared" si="3"/>
        <v>0.31733459840762801</v>
      </c>
      <c r="V22" s="311"/>
    </row>
    <row r="23" spans="1:23">
      <c r="A23" s="150">
        <v>7124</v>
      </c>
      <c r="B23" s="522" t="str">
        <f>+VLOOKUP($A23,Master!$D$30:$G$226,4,FALSE)</f>
        <v>Ostali doprinosi</v>
      </c>
      <c r="C23" s="523"/>
      <c r="D23" s="523"/>
      <c r="E23" s="523"/>
      <c r="F23" s="523"/>
      <c r="G23" s="163">
        <v>229600.09</v>
      </c>
      <c r="H23" s="163">
        <v>694038.42</v>
      </c>
      <c r="I23" s="163">
        <v>1123049.72</v>
      </c>
      <c r="J23" s="163">
        <v>1202347.48</v>
      </c>
      <c r="K23" s="163">
        <v>1004714.74</v>
      </c>
      <c r="L23" s="163">
        <v>1233253.05</v>
      </c>
      <c r="M23" s="163">
        <v>1191310.73</v>
      </c>
      <c r="N23" s="163">
        <v>1199541.6100000001</v>
      </c>
      <c r="O23" s="163">
        <v>1060809.44</v>
      </c>
      <c r="P23" s="163">
        <v>1063993.69</v>
      </c>
      <c r="Q23" s="163">
        <v>1183361.47</v>
      </c>
      <c r="R23" s="163">
        <v>2265438.4700000002</v>
      </c>
      <c r="S23" s="242">
        <f t="shared" si="4"/>
        <v>13451458.910000002</v>
      </c>
      <c r="T23" s="463">
        <f t="shared" si="3"/>
        <v>0.23205129398986782</v>
      </c>
      <c r="V23" s="311"/>
      <c r="W23" s="305"/>
    </row>
    <row r="24" spans="1:23">
      <c r="A24" s="150">
        <v>713</v>
      </c>
      <c r="B24" s="524" t="str">
        <f>+VLOOKUP($A24,Master!$D$30:$G$226,4,FALSE)</f>
        <v>Takse</v>
      </c>
      <c r="C24" s="525"/>
      <c r="D24" s="525"/>
      <c r="E24" s="525"/>
      <c r="F24" s="525"/>
      <c r="G24" s="175">
        <v>635258.53</v>
      </c>
      <c r="H24" s="175">
        <v>808672.01</v>
      </c>
      <c r="I24" s="175">
        <v>976895.25</v>
      </c>
      <c r="J24" s="175">
        <v>1062602.8500000001</v>
      </c>
      <c r="K24" s="175">
        <v>1039077.46</v>
      </c>
      <c r="L24" s="175">
        <v>1347727.32</v>
      </c>
      <c r="M24" s="175">
        <v>1450241.7799999998</v>
      </c>
      <c r="N24" s="175">
        <v>1887235.3</v>
      </c>
      <c r="O24" s="175">
        <v>1223886.31</v>
      </c>
      <c r="P24" s="175">
        <v>1441283.56</v>
      </c>
      <c r="Q24" s="175">
        <v>1297347.1399999999</v>
      </c>
      <c r="R24" s="175">
        <v>1600139.91</v>
      </c>
      <c r="S24" s="243">
        <f t="shared" si="4"/>
        <v>14770367.420000002</v>
      </c>
      <c r="T24" s="464">
        <f t="shared" si="3"/>
        <v>0.25480380198528113</v>
      </c>
      <c r="V24" s="311"/>
      <c r="W24" s="305"/>
    </row>
    <row r="25" spans="1:23">
      <c r="A25" s="150">
        <v>714</v>
      </c>
      <c r="B25" s="524" t="str">
        <f>+VLOOKUP($A25,Master!$D$30:$G$226,4,FALSE)</f>
        <v>Naknade</v>
      </c>
      <c r="C25" s="525"/>
      <c r="D25" s="525"/>
      <c r="E25" s="525"/>
      <c r="F25" s="525"/>
      <c r="G25" s="175">
        <v>12538803.32</v>
      </c>
      <c r="H25" s="175">
        <v>2358745.7999999998</v>
      </c>
      <c r="I25" s="175">
        <v>2432089.7200000002</v>
      </c>
      <c r="J25" s="175">
        <v>3083781.29</v>
      </c>
      <c r="K25" s="175">
        <v>2678608.52</v>
      </c>
      <c r="L25" s="175">
        <v>4570368.01</v>
      </c>
      <c r="M25" s="175">
        <v>3736951.12</v>
      </c>
      <c r="N25" s="175">
        <v>3318573.4699999997</v>
      </c>
      <c r="O25" s="175">
        <v>9160845.5500000007</v>
      </c>
      <c r="P25" s="175">
        <v>5019331.6900000004</v>
      </c>
      <c r="Q25" s="175">
        <v>11097392.669999998</v>
      </c>
      <c r="R25" s="175">
        <v>12753782.83</v>
      </c>
      <c r="S25" s="243">
        <f t="shared" si="4"/>
        <v>72749273.989999995</v>
      </c>
      <c r="T25" s="464">
        <f t="shared" si="3"/>
        <v>1.2549986792624364</v>
      </c>
      <c r="V25" s="311"/>
    </row>
    <row r="26" spans="1:23">
      <c r="A26" s="150">
        <v>715</v>
      </c>
      <c r="B26" s="524" t="str">
        <f>+VLOOKUP($A26,Master!$D$30:$G$226,4,FALSE)</f>
        <v>Ostali prihodi</v>
      </c>
      <c r="C26" s="525"/>
      <c r="D26" s="525"/>
      <c r="E26" s="525"/>
      <c r="F26" s="525"/>
      <c r="G26" s="175">
        <v>1327068.83</v>
      </c>
      <c r="H26" s="175">
        <v>1641264.93</v>
      </c>
      <c r="I26" s="175">
        <v>1734944.59</v>
      </c>
      <c r="J26" s="175">
        <v>1799637.23</v>
      </c>
      <c r="K26" s="175">
        <v>3456587.14</v>
      </c>
      <c r="L26" s="175">
        <v>2782233.96</v>
      </c>
      <c r="M26" s="175">
        <v>3218905.03</v>
      </c>
      <c r="N26" s="175">
        <v>3788670.26</v>
      </c>
      <c r="O26" s="175">
        <v>1547779.56</v>
      </c>
      <c r="P26" s="175">
        <v>1869202.61</v>
      </c>
      <c r="Q26" s="175">
        <v>3172693.52</v>
      </c>
      <c r="R26" s="175">
        <v>3197522.76</v>
      </c>
      <c r="S26" s="243">
        <f t="shared" si="4"/>
        <v>29536510.419999994</v>
      </c>
      <c r="T26" s="464">
        <f t="shared" si="3"/>
        <v>0.50953472844576464</v>
      </c>
      <c r="V26" s="311"/>
    </row>
    <row r="27" spans="1:23">
      <c r="A27" s="150">
        <v>73</v>
      </c>
      <c r="B27" s="524" t="str">
        <f>+VLOOKUP($A27,Master!$D$30:$G$226,4,FALSE)</f>
        <v>Primici od otplate kredita i sredstva prenesena iz prethodne godine</v>
      </c>
      <c r="C27" s="525"/>
      <c r="D27" s="525"/>
      <c r="E27" s="525"/>
      <c r="F27" s="525"/>
      <c r="G27" s="175">
        <v>78071.73</v>
      </c>
      <c r="H27" s="175">
        <v>522875.5</v>
      </c>
      <c r="I27" s="175">
        <v>671874.17</v>
      </c>
      <c r="J27" s="175">
        <v>2383498.4</v>
      </c>
      <c r="K27" s="175">
        <v>848688.86</v>
      </c>
      <c r="L27" s="175">
        <v>3720729.37</v>
      </c>
      <c r="M27" s="175">
        <v>215690.69</v>
      </c>
      <c r="N27" s="175">
        <v>2401895.3199999998</v>
      </c>
      <c r="O27" s="175">
        <v>1142900.81</v>
      </c>
      <c r="P27" s="175">
        <v>327625.15999999997</v>
      </c>
      <c r="Q27" s="175">
        <v>1007680.03</v>
      </c>
      <c r="R27" s="175">
        <v>1811357.71</v>
      </c>
      <c r="S27" s="243">
        <f t="shared" si="4"/>
        <v>15132887.75</v>
      </c>
      <c r="T27" s="464">
        <f t="shared" si="3"/>
        <v>0.26105764495034384</v>
      </c>
      <c r="V27" s="311"/>
    </row>
    <row r="28" spans="1:23" ht="13.5" thickBot="1">
      <c r="A28" s="150">
        <v>74</v>
      </c>
      <c r="B28" s="528" t="str">
        <f>+VLOOKUP($A28,Master!$D$30:$G$226,4,FALSE)</f>
        <v>Donacije i transferi</v>
      </c>
      <c r="C28" s="529"/>
      <c r="D28" s="529"/>
      <c r="E28" s="529"/>
      <c r="F28" s="529"/>
      <c r="G28" s="175">
        <v>944706.6</v>
      </c>
      <c r="H28" s="175">
        <v>1116214.33</v>
      </c>
      <c r="I28" s="175">
        <v>4945090.66</v>
      </c>
      <c r="J28" s="175">
        <v>2104525.41</v>
      </c>
      <c r="K28" s="175">
        <v>650778.53</v>
      </c>
      <c r="L28" s="175">
        <v>3346868.2</v>
      </c>
      <c r="M28" s="175">
        <v>1853223.08</v>
      </c>
      <c r="N28" s="175">
        <v>6896634.3600000003</v>
      </c>
      <c r="O28" s="175">
        <v>2306865.19</v>
      </c>
      <c r="P28" s="175">
        <v>1867111.41</v>
      </c>
      <c r="Q28" s="175">
        <v>2743986.29</v>
      </c>
      <c r="R28" s="175">
        <v>5615200.2199999997</v>
      </c>
      <c r="S28" s="243">
        <f t="shared" si="4"/>
        <v>34391204.280000001</v>
      </c>
      <c r="T28" s="465">
        <f t="shared" si="3"/>
        <v>0.59328311586418692</v>
      </c>
      <c r="V28" s="311"/>
    </row>
    <row r="29" spans="1:23" ht="13.5" thickBot="1">
      <c r="A29" s="150">
        <v>4</v>
      </c>
      <c r="B29" s="530" t="str">
        <f>+VLOOKUP($A29,Master!$D$30:$G$226,4,FALSE)</f>
        <v>Izdaci budžeta</v>
      </c>
      <c r="C29" s="531"/>
      <c r="D29" s="531"/>
      <c r="E29" s="531"/>
      <c r="F29" s="531"/>
      <c r="G29" s="151">
        <f>+G30+G40+G46+SUM(G47:G51)</f>
        <v>140577484.35999998</v>
      </c>
      <c r="H29" s="151">
        <f t="shared" ref="H29:R29" si="6">+H30+H40+H46+SUM(H47:H51)</f>
        <v>152250317.41000003</v>
      </c>
      <c r="I29" s="151">
        <f t="shared" si="6"/>
        <v>152063505.35999998</v>
      </c>
      <c r="J29" s="151">
        <f t="shared" si="6"/>
        <v>202826405.90999991</v>
      </c>
      <c r="K29" s="151">
        <f t="shared" si="6"/>
        <v>146746241.71000001</v>
      </c>
      <c r="L29" s="151">
        <f t="shared" si="6"/>
        <v>189249624.99000004</v>
      </c>
      <c r="M29" s="151">
        <f t="shared" si="6"/>
        <v>178441230.91</v>
      </c>
      <c r="N29" s="151">
        <f t="shared" si="6"/>
        <v>159459782.49000001</v>
      </c>
      <c r="O29" s="151">
        <f t="shared" si="6"/>
        <v>187475502.31999999</v>
      </c>
      <c r="P29" s="151">
        <f t="shared" si="6"/>
        <v>188577048.47999999</v>
      </c>
      <c r="Q29" s="151">
        <f t="shared" si="6"/>
        <v>201379296.75999999</v>
      </c>
      <c r="R29" s="151">
        <f t="shared" si="6"/>
        <v>369843394.94000006</v>
      </c>
      <c r="S29" s="245">
        <f t="shared" si="4"/>
        <v>2268889835.6400003</v>
      </c>
      <c r="T29" s="466">
        <f t="shared" si="3"/>
        <v>39.140648297212884</v>
      </c>
      <c r="V29" s="291"/>
    </row>
    <row r="30" spans="1:23">
      <c r="A30" s="150">
        <v>41</v>
      </c>
      <c r="B30" s="534" t="str">
        <f>+VLOOKUP($A30,Master!$D$30:$G$226,4,FALSE)</f>
        <v>Tekući izdaci</v>
      </c>
      <c r="C30" s="535"/>
      <c r="D30" s="535"/>
      <c r="E30" s="535"/>
      <c r="F30" s="535"/>
      <c r="G30" s="187">
        <f t="shared" ref="G30:R30" si="7">+SUM(G31:G39)</f>
        <v>50888106.359999992</v>
      </c>
      <c r="H30" s="187">
        <f t="shared" si="7"/>
        <v>61672607.570000008</v>
      </c>
      <c r="I30" s="187">
        <f t="shared" si="7"/>
        <v>59512220.600000001</v>
      </c>
      <c r="J30" s="187">
        <f t="shared" si="7"/>
        <v>96714288.139999971</v>
      </c>
      <c r="K30" s="187">
        <f t="shared" si="7"/>
        <v>58672920.63000001</v>
      </c>
      <c r="L30" s="187">
        <f t="shared" si="7"/>
        <v>71867949.01000002</v>
      </c>
      <c r="M30" s="187">
        <f t="shared" si="7"/>
        <v>67772161.579999998</v>
      </c>
      <c r="N30" s="187">
        <f t="shared" si="7"/>
        <v>64013603.580000006</v>
      </c>
      <c r="O30" s="187">
        <f t="shared" si="7"/>
        <v>80370389.329999998</v>
      </c>
      <c r="P30" s="187">
        <f t="shared" si="7"/>
        <v>70483078.090000004</v>
      </c>
      <c r="Q30" s="187">
        <f t="shared" si="7"/>
        <v>81383041.340000004</v>
      </c>
      <c r="R30" s="246">
        <f t="shared" si="7"/>
        <v>160323574.99000001</v>
      </c>
      <c r="S30" s="423">
        <f t="shared" si="4"/>
        <v>923673941.22000003</v>
      </c>
      <c r="T30" s="462">
        <f t="shared" si="3"/>
        <v>15.934311268310012</v>
      </c>
      <c r="U30" s="500"/>
      <c r="V30" s="291"/>
    </row>
    <row r="31" spans="1:23">
      <c r="A31" s="150">
        <v>411</v>
      </c>
      <c r="B31" s="522" t="str">
        <f>+VLOOKUP($A31,Master!$D$30:$G$226,4,FALSE)</f>
        <v>Bruto zarade i doprinosi na teret poslodavca</v>
      </c>
      <c r="C31" s="523"/>
      <c r="D31" s="523"/>
      <c r="E31" s="523"/>
      <c r="F31" s="523"/>
      <c r="G31" s="163">
        <v>44240125.009999998</v>
      </c>
      <c r="H31" s="163">
        <v>44549685.590000004</v>
      </c>
      <c r="I31" s="163">
        <v>40375934.009999998</v>
      </c>
      <c r="J31" s="163">
        <v>46977114.019999973</v>
      </c>
      <c r="K31" s="163">
        <v>41754372.079999998</v>
      </c>
      <c r="L31" s="163">
        <v>47101871.300000019</v>
      </c>
      <c r="M31" s="163">
        <v>44920963.490000002</v>
      </c>
      <c r="N31" s="163">
        <v>43889659.170000002</v>
      </c>
      <c r="O31" s="163">
        <v>44535467.409999996</v>
      </c>
      <c r="P31" s="163">
        <v>46472103.579999998</v>
      </c>
      <c r="Q31" s="163">
        <v>43561451.509999998</v>
      </c>
      <c r="R31" s="163">
        <v>54096780.950000003</v>
      </c>
      <c r="S31" s="242">
        <f t="shared" si="4"/>
        <v>542475528.12</v>
      </c>
      <c r="T31" s="463">
        <f t="shared" si="3"/>
        <v>9.3582524468405719</v>
      </c>
      <c r="U31" s="500"/>
      <c r="V31" s="291"/>
    </row>
    <row r="32" spans="1:23">
      <c r="A32" s="150">
        <v>412</v>
      </c>
      <c r="B32" s="522" t="str">
        <f>+VLOOKUP($A32,Master!$D$30:$G$226,4,FALSE)</f>
        <v>Ostala lična primanja</v>
      </c>
      <c r="C32" s="523"/>
      <c r="D32" s="523"/>
      <c r="E32" s="523"/>
      <c r="F32" s="523"/>
      <c r="G32" s="163">
        <v>136924.73000000001</v>
      </c>
      <c r="H32" s="163">
        <v>1212395.8600000001</v>
      </c>
      <c r="I32" s="163">
        <v>946225.55</v>
      </c>
      <c r="J32" s="163">
        <v>1448549.91</v>
      </c>
      <c r="K32" s="163">
        <v>1078145.3399999999</v>
      </c>
      <c r="L32" s="163">
        <v>2203226.23</v>
      </c>
      <c r="M32" s="163">
        <v>1651018.61</v>
      </c>
      <c r="N32" s="163">
        <v>1322412.92</v>
      </c>
      <c r="O32" s="163">
        <v>1530315.4199999992</v>
      </c>
      <c r="P32" s="163">
        <v>1459845.08</v>
      </c>
      <c r="Q32" s="163">
        <v>1581314.76</v>
      </c>
      <c r="R32" s="163">
        <v>4199614.4400000004</v>
      </c>
      <c r="S32" s="242">
        <f t="shared" si="4"/>
        <v>18769988.849999998</v>
      </c>
      <c r="T32" s="463">
        <f t="shared" si="3"/>
        <v>0.32380132370473785</v>
      </c>
      <c r="U32" s="500"/>
      <c r="V32" s="291"/>
    </row>
    <row r="33" spans="1:24">
      <c r="A33" s="150">
        <v>413</v>
      </c>
      <c r="B33" s="522" t="str">
        <f>+VLOOKUP($A33,Master!$D$30:$G$226,4,FALSE)</f>
        <v>Rashodi za materijal</v>
      </c>
      <c r="C33" s="523"/>
      <c r="D33" s="523"/>
      <c r="E33" s="523"/>
      <c r="F33" s="523"/>
      <c r="G33" s="163">
        <v>140372.01</v>
      </c>
      <c r="H33" s="163">
        <v>3489117.82</v>
      </c>
      <c r="I33" s="163">
        <v>2614341.89</v>
      </c>
      <c r="J33" s="163">
        <v>2019169.66</v>
      </c>
      <c r="K33" s="514">
        <v>1001299.32</v>
      </c>
      <c r="L33" s="163">
        <v>4894219.0999999996</v>
      </c>
      <c r="M33" s="163">
        <v>2326698.5299999998</v>
      </c>
      <c r="N33" s="163">
        <v>4632464.3099999996</v>
      </c>
      <c r="O33" s="163">
        <v>2320334.06</v>
      </c>
      <c r="P33" s="163">
        <v>2181537.3199999998</v>
      </c>
      <c r="Q33" s="163">
        <v>3643902.52</v>
      </c>
      <c r="R33" s="163">
        <v>7777378.4400000004</v>
      </c>
      <c r="S33" s="242">
        <f t="shared" si="4"/>
        <v>37040834.979999997</v>
      </c>
      <c r="T33" s="463">
        <f t="shared" si="3"/>
        <v>0.63899192980355746</v>
      </c>
      <c r="U33" s="500"/>
      <c r="V33" s="291"/>
    </row>
    <row r="34" spans="1:24" s="360" customFormat="1">
      <c r="A34" s="359">
        <v>414</v>
      </c>
      <c r="B34" s="617" t="str">
        <f>+VLOOKUP($A34,Master!$D$30:$G$226,4,FALSE)</f>
        <v>Rashodi za usluge</v>
      </c>
      <c r="C34" s="618"/>
      <c r="D34" s="618"/>
      <c r="E34" s="618"/>
      <c r="F34" s="618"/>
      <c r="G34" s="163">
        <v>1078189.54</v>
      </c>
      <c r="H34" s="163">
        <v>2912682.95</v>
      </c>
      <c r="I34" s="163">
        <v>4448058.71</v>
      </c>
      <c r="J34" s="163">
        <v>6119621.8799999999</v>
      </c>
      <c r="K34" s="514">
        <v>2608799.0299999998</v>
      </c>
      <c r="L34" s="163">
        <v>5652423.2599999998</v>
      </c>
      <c r="M34" s="163">
        <v>3940088.74</v>
      </c>
      <c r="N34" s="163">
        <v>4242616.29</v>
      </c>
      <c r="O34" s="163">
        <v>4862742.16</v>
      </c>
      <c r="P34" s="163">
        <v>4651278.71</v>
      </c>
      <c r="Q34" s="163">
        <v>8318592.5099999998</v>
      </c>
      <c r="R34" s="163">
        <v>14663182.699999999</v>
      </c>
      <c r="S34" s="242">
        <f t="shared" si="4"/>
        <v>63498276.480000004</v>
      </c>
      <c r="T34" s="463">
        <f t="shared" si="3"/>
        <v>1.095409599947281</v>
      </c>
      <c r="U34" s="500"/>
      <c r="V34" s="291"/>
    </row>
    <row r="35" spans="1:24">
      <c r="A35" s="150">
        <v>415</v>
      </c>
      <c r="B35" s="522" t="str">
        <f>+VLOOKUP($A35,Master!$D$30:$G$226,4,FALSE)</f>
        <v>Rashodi za tekuće održavanje</v>
      </c>
      <c r="C35" s="523"/>
      <c r="D35" s="523"/>
      <c r="E35" s="523"/>
      <c r="F35" s="523"/>
      <c r="G35" s="163">
        <v>51153.02</v>
      </c>
      <c r="H35" s="163">
        <v>1786959.03</v>
      </c>
      <c r="I35" s="163">
        <v>1807724.3</v>
      </c>
      <c r="J35" s="163">
        <v>1712206.83</v>
      </c>
      <c r="K35" s="163">
        <v>1517284.34</v>
      </c>
      <c r="L35" s="163">
        <v>1758391.51</v>
      </c>
      <c r="M35" s="163">
        <v>1888507.44</v>
      </c>
      <c r="N35" s="163">
        <v>1129451.49</v>
      </c>
      <c r="O35" s="163">
        <v>2940859.11</v>
      </c>
      <c r="P35" s="163">
        <v>1955111.39</v>
      </c>
      <c r="Q35" s="163">
        <v>2416100.75</v>
      </c>
      <c r="R35" s="163">
        <v>8346466.1799999997</v>
      </c>
      <c r="S35" s="242">
        <f t="shared" si="4"/>
        <v>27310215.390000001</v>
      </c>
      <c r="T35" s="463">
        <f t="shared" si="3"/>
        <v>0.47112888369901745</v>
      </c>
      <c r="U35" s="500"/>
      <c r="V35" s="291"/>
    </row>
    <row r="36" spans="1:24">
      <c r="A36" s="150">
        <v>416</v>
      </c>
      <c r="B36" s="522" t="str">
        <f>+VLOOKUP($A36,Master!$D$30:$G$226,4,FALSE)</f>
        <v>Kamate</v>
      </c>
      <c r="C36" s="523"/>
      <c r="D36" s="523"/>
      <c r="E36" s="523"/>
      <c r="F36" s="523"/>
      <c r="G36" s="163">
        <v>3854762.25</v>
      </c>
      <c r="H36" s="163">
        <v>1270344.19</v>
      </c>
      <c r="I36" s="163">
        <v>949082.56</v>
      </c>
      <c r="J36" s="163">
        <v>27195621.07</v>
      </c>
      <c r="K36" s="163">
        <v>4588473.78</v>
      </c>
      <c r="L36" s="163">
        <v>1216799.03</v>
      </c>
      <c r="M36" s="163">
        <v>3784062.82</v>
      </c>
      <c r="N36" s="163">
        <v>1331064.58</v>
      </c>
      <c r="O36" s="163">
        <v>13564532.83</v>
      </c>
      <c r="P36" s="163">
        <v>847132.28</v>
      </c>
      <c r="Q36" s="163">
        <v>10248475.539999999</v>
      </c>
      <c r="R36" s="163">
        <v>23105608.969999999</v>
      </c>
      <c r="S36" s="242">
        <f>+SUM(G36:R36)</f>
        <v>91955959.900000006</v>
      </c>
      <c r="T36" s="463">
        <f t="shared" si="3"/>
        <v>1.5863334696738403</v>
      </c>
      <c r="U36" s="500"/>
      <c r="V36" s="291"/>
    </row>
    <row r="37" spans="1:24">
      <c r="A37" s="150">
        <v>417</v>
      </c>
      <c r="B37" s="522" t="str">
        <f>+VLOOKUP($A37,Master!$D$30:$G$226,4,FALSE)</f>
        <v>Renta</v>
      </c>
      <c r="C37" s="523"/>
      <c r="D37" s="523"/>
      <c r="E37" s="523"/>
      <c r="F37" s="523"/>
      <c r="G37" s="163">
        <v>222069.04</v>
      </c>
      <c r="H37" s="163">
        <v>743329.49</v>
      </c>
      <c r="I37" s="163">
        <v>597164.85</v>
      </c>
      <c r="J37" s="163">
        <v>1245171.8500000001</v>
      </c>
      <c r="K37" s="163">
        <v>498993.7</v>
      </c>
      <c r="L37" s="163">
        <v>995508.2</v>
      </c>
      <c r="M37" s="163">
        <v>1032330.36</v>
      </c>
      <c r="N37" s="163">
        <v>884250.45</v>
      </c>
      <c r="O37" s="163">
        <v>1095625.8400000003</v>
      </c>
      <c r="P37" s="163">
        <v>793457.04</v>
      </c>
      <c r="Q37" s="163">
        <v>1037480.69</v>
      </c>
      <c r="R37" s="163">
        <v>2885818.54</v>
      </c>
      <c r="S37" s="242">
        <f t="shared" si="4"/>
        <v>12031200.050000001</v>
      </c>
      <c r="T37" s="463">
        <f t="shared" si="3"/>
        <v>0.20755038977801568</v>
      </c>
      <c r="U37" s="500"/>
      <c r="V37" s="291"/>
    </row>
    <row r="38" spans="1:24">
      <c r="A38" s="150">
        <v>418</v>
      </c>
      <c r="B38" s="522" t="str">
        <f>+VLOOKUP($A38,Master!$D$30:$G$226,4,FALSE)</f>
        <v>Subvencije</v>
      </c>
      <c r="C38" s="523"/>
      <c r="D38" s="523"/>
      <c r="E38" s="523"/>
      <c r="F38" s="523"/>
      <c r="G38" s="163">
        <v>511006.04</v>
      </c>
      <c r="H38" s="163">
        <v>2686343.5</v>
      </c>
      <c r="I38" s="163">
        <v>4730535.5999999996</v>
      </c>
      <c r="J38" s="163">
        <v>6972651.8400000008</v>
      </c>
      <c r="K38" s="163">
        <v>2647649.44</v>
      </c>
      <c r="L38" s="163">
        <v>3319529.0100000002</v>
      </c>
      <c r="M38" s="163">
        <v>3592301.72</v>
      </c>
      <c r="N38" s="163">
        <v>3747108.6899999995</v>
      </c>
      <c r="O38" s="163">
        <v>6868760.4699999997</v>
      </c>
      <c r="P38" s="163">
        <v>7316615.7400000002</v>
      </c>
      <c r="Q38" s="163">
        <v>6635735.6500000004</v>
      </c>
      <c r="R38" s="163">
        <v>19401589.34</v>
      </c>
      <c r="S38" s="242">
        <f t="shared" si="4"/>
        <v>68429827.040000007</v>
      </c>
      <c r="T38" s="463">
        <f t="shared" si="3"/>
        <v>1.1804838433049076</v>
      </c>
      <c r="U38" s="500"/>
      <c r="V38" s="291"/>
    </row>
    <row r="39" spans="1:24">
      <c r="A39" s="150">
        <v>419</v>
      </c>
      <c r="B39" s="522" t="str">
        <f>+VLOOKUP($A39,Master!$D$30:$G$226,4,FALSE)</f>
        <v>Ostali izdaci</v>
      </c>
      <c r="C39" s="523"/>
      <c r="D39" s="523"/>
      <c r="E39" s="523"/>
      <c r="F39" s="523"/>
      <c r="G39" s="163">
        <v>653504.72</v>
      </c>
      <c r="H39" s="163">
        <v>3021749.14</v>
      </c>
      <c r="I39" s="163">
        <v>3043153.13</v>
      </c>
      <c r="J39" s="163">
        <v>3024181.08</v>
      </c>
      <c r="K39" s="514">
        <v>2977903.6</v>
      </c>
      <c r="L39" s="163">
        <v>4725981.37</v>
      </c>
      <c r="M39" s="163">
        <v>4636189.87</v>
      </c>
      <c r="N39" s="163">
        <v>2834575.68</v>
      </c>
      <c r="O39" s="163">
        <v>2651752.0299999998</v>
      </c>
      <c r="P39" s="163">
        <v>4805996.95</v>
      </c>
      <c r="Q39" s="163">
        <v>3939987.41</v>
      </c>
      <c r="R39" s="163">
        <v>25847135.43</v>
      </c>
      <c r="S39" s="242">
        <f t="shared" si="4"/>
        <v>62162110.410000004</v>
      </c>
      <c r="T39" s="463">
        <f t="shared" si="3"/>
        <v>1.0723593815580805</v>
      </c>
      <c r="U39" s="500"/>
      <c r="V39" s="291"/>
    </row>
    <row r="40" spans="1:24">
      <c r="A40" s="150">
        <v>42</v>
      </c>
      <c r="B40" s="538" t="str">
        <f>+VLOOKUP($A40,Master!$D$30:$G$226,4,FALSE)</f>
        <v>Transferi za socijalnu zaštitu</v>
      </c>
      <c r="C40" s="539"/>
      <c r="D40" s="539"/>
      <c r="E40" s="539"/>
      <c r="F40" s="539"/>
      <c r="G40" s="193">
        <f>+SUM(G41:G45)</f>
        <v>43461857.619999997</v>
      </c>
      <c r="H40" s="193">
        <f t="shared" ref="H40:R40" si="8">+SUM(H41:H45)</f>
        <v>49026101.470000006</v>
      </c>
      <c r="I40" s="193">
        <f t="shared" si="8"/>
        <v>50287764.18</v>
      </c>
      <c r="J40" s="193">
        <f t="shared" si="8"/>
        <v>49157743.099999957</v>
      </c>
      <c r="K40" s="193">
        <f t="shared" si="8"/>
        <v>51083547.040000007</v>
      </c>
      <c r="L40" s="193">
        <f t="shared" si="8"/>
        <v>53813247.140000008</v>
      </c>
      <c r="M40" s="193">
        <f t="shared" si="8"/>
        <v>55873905.100000001</v>
      </c>
      <c r="N40" s="193">
        <f t="shared" si="8"/>
        <v>54360546.859999999</v>
      </c>
      <c r="O40" s="193">
        <f t="shared" si="8"/>
        <v>55114295.5</v>
      </c>
      <c r="P40" s="193">
        <f t="shared" si="8"/>
        <v>71186420.969999999</v>
      </c>
      <c r="Q40" s="193">
        <f t="shared" si="8"/>
        <v>63369274.630000003</v>
      </c>
      <c r="R40" s="193">
        <f t="shared" si="8"/>
        <v>70551133.099999994</v>
      </c>
      <c r="S40" s="486">
        <f t="shared" si="4"/>
        <v>667285836.71000004</v>
      </c>
      <c r="T40" s="487">
        <f t="shared" si="3"/>
        <v>11.511356716449066</v>
      </c>
      <c r="U40" s="500"/>
      <c r="V40" s="291"/>
    </row>
    <row r="41" spans="1:24">
      <c r="A41" s="150">
        <v>421</v>
      </c>
      <c r="B41" s="522" t="str">
        <f>+VLOOKUP($A41,Master!$D$30:$G$226,4,FALSE)</f>
        <v>Prava iz oblasti socijalne zaštite</v>
      </c>
      <c r="C41" s="523"/>
      <c r="D41" s="523"/>
      <c r="E41" s="523"/>
      <c r="F41" s="523"/>
      <c r="G41" s="163">
        <v>8200110.4000000004</v>
      </c>
      <c r="H41" s="163">
        <v>8172331.5999999996</v>
      </c>
      <c r="I41" s="163">
        <v>8605052.6899999995</v>
      </c>
      <c r="J41" s="163">
        <v>8606006.9800000004</v>
      </c>
      <c r="K41" s="163">
        <v>11845768.039999999</v>
      </c>
      <c r="L41" s="163">
        <v>11977864.439999999</v>
      </c>
      <c r="M41" s="163">
        <v>11864302.59</v>
      </c>
      <c r="N41" s="163">
        <v>11984394.289999999</v>
      </c>
      <c r="O41" s="163">
        <v>12319371.459999999</v>
      </c>
      <c r="P41" s="163">
        <v>12698818.880000001</v>
      </c>
      <c r="Q41" s="163">
        <v>14820839.539999999</v>
      </c>
      <c r="R41" s="163">
        <v>14201703.15</v>
      </c>
      <c r="S41" s="242">
        <f t="shared" si="4"/>
        <v>135296564.06</v>
      </c>
      <c r="T41" s="463">
        <f t="shared" si="3"/>
        <v>2.3340028001844479</v>
      </c>
      <c r="U41" s="500"/>
      <c r="V41" s="291"/>
    </row>
    <row r="42" spans="1:24">
      <c r="A42" s="150">
        <v>422</v>
      </c>
      <c r="B42" s="522" t="str">
        <f>+VLOOKUP($A42,Master!$D$30:$G$226,4,FALSE)</f>
        <v>Sredstva za tehnološke viškove</v>
      </c>
      <c r="C42" s="523"/>
      <c r="D42" s="523"/>
      <c r="E42" s="523"/>
      <c r="F42" s="523"/>
      <c r="G42" s="163">
        <v>0</v>
      </c>
      <c r="H42" s="163">
        <v>2498429.92</v>
      </c>
      <c r="I42" s="163">
        <v>2440778.17</v>
      </c>
      <c r="J42" s="163">
        <v>2410229.4499999997</v>
      </c>
      <c r="K42" s="163">
        <v>2318949.15</v>
      </c>
      <c r="L42" s="163">
        <v>2335079.0099999998</v>
      </c>
      <c r="M42" s="163">
        <v>2195965.0099999998</v>
      </c>
      <c r="N42" s="163">
        <v>2189311.09</v>
      </c>
      <c r="O42" s="163">
        <v>2177499.94</v>
      </c>
      <c r="P42" s="163">
        <v>2428269.06</v>
      </c>
      <c r="Q42" s="163">
        <v>2185736.61</v>
      </c>
      <c r="R42" s="163">
        <v>4540579.0999999996</v>
      </c>
      <c r="S42" s="242">
        <f t="shared" si="4"/>
        <v>27720826.509999998</v>
      </c>
      <c r="T42" s="463">
        <f t="shared" si="3"/>
        <v>0.47821234151278619</v>
      </c>
      <c r="U42" s="500"/>
      <c r="V42" s="291"/>
    </row>
    <row r="43" spans="1:24">
      <c r="A43" s="150">
        <v>423</v>
      </c>
      <c r="B43" s="522" t="str">
        <f>+VLOOKUP($A43,Master!$D$30:$G$226,4,FALSE)</f>
        <v>Prava iz oblasti penzijskog i invalidskog osiguranja</v>
      </c>
      <c r="C43" s="523"/>
      <c r="D43" s="523"/>
      <c r="E43" s="523"/>
      <c r="F43" s="523"/>
      <c r="G43" s="163">
        <v>35149513.420000002</v>
      </c>
      <c r="H43" s="514">
        <v>36349865.18</v>
      </c>
      <c r="I43" s="514">
        <v>36074398.100000001</v>
      </c>
      <c r="J43" s="163">
        <v>36181040.329999961</v>
      </c>
      <c r="K43" s="163">
        <v>35168591.790000007</v>
      </c>
      <c r="L43" s="163">
        <v>37894311.820000008</v>
      </c>
      <c r="M43" s="163">
        <v>37880340.310000002</v>
      </c>
      <c r="N43" s="163">
        <v>38069530.059999995</v>
      </c>
      <c r="O43" s="163">
        <v>38038058.109999999</v>
      </c>
      <c r="P43" s="163">
        <v>53631777.979999997</v>
      </c>
      <c r="Q43" s="163">
        <v>42921660.460000001</v>
      </c>
      <c r="R43" s="163">
        <v>42725535.82</v>
      </c>
      <c r="S43" s="242">
        <f t="shared" si="4"/>
        <v>470084623.37999994</v>
      </c>
      <c r="T43" s="463">
        <f t="shared" si="3"/>
        <v>8.1094360002077011</v>
      </c>
      <c r="U43" s="500"/>
      <c r="V43" s="291"/>
    </row>
    <row r="44" spans="1:24">
      <c r="A44" s="150">
        <v>424</v>
      </c>
      <c r="B44" s="522" t="str">
        <f>+VLOOKUP($A44,Master!$D$30:$G$226,4,FALSE)</f>
        <v>Ostala prava iz oblasti zdravstvene zaštite</v>
      </c>
      <c r="C44" s="523"/>
      <c r="D44" s="523"/>
      <c r="E44" s="523"/>
      <c r="F44" s="523"/>
      <c r="G44" s="163">
        <v>103430</v>
      </c>
      <c r="H44" s="163">
        <v>1069904.71</v>
      </c>
      <c r="I44" s="163">
        <v>1609138.94</v>
      </c>
      <c r="J44" s="163">
        <v>1370159.43</v>
      </c>
      <c r="K44" s="163">
        <v>659345.03</v>
      </c>
      <c r="L44" s="163">
        <v>804103.22</v>
      </c>
      <c r="M44" s="163">
        <v>2611388.4699999997</v>
      </c>
      <c r="N44" s="163">
        <v>1036291.4600000001</v>
      </c>
      <c r="O44" s="163">
        <v>1292962.81</v>
      </c>
      <c r="P44" s="163">
        <v>1267872.27</v>
      </c>
      <c r="Q44" s="163">
        <v>1655544.57</v>
      </c>
      <c r="R44" s="163">
        <v>3263110.76</v>
      </c>
      <c r="S44" s="242">
        <f t="shared" si="4"/>
        <v>16743251.67</v>
      </c>
      <c r="T44" s="463">
        <f t="shared" si="3"/>
        <v>0.28883805404431889</v>
      </c>
      <c r="U44" s="500"/>
      <c r="V44" s="291"/>
    </row>
    <row r="45" spans="1:24" s="360" customFormat="1">
      <c r="A45" s="359">
        <v>425</v>
      </c>
      <c r="B45" s="613" t="str">
        <f>+VLOOKUP($A45,Master!$D$30:$G$226,4,FALSE)</f>
        <v>Ostala prava iz zdravstvenog osiguranja</v>
      </c>
      <c r="C45" s="614"/>
      <c r="D45" s="614"/>
      <c r="E45" s="614"/>
      <c r="F45" s="614"/>
      <c r="G45" s="163">
        <v>8803.7999999999993</v>
      </c>
      <c r="H45" s="163">
        <v>935570.06</v>
      </c>
      <c r="I45" s="163">
        <v>1558396.28</v>
      </c>
      <c r="J45" s="163">
        <v>590306.91</v>
      </c>
      <c r="K45" s="163">
        <v>1090893.03</v>
      </c>
      <c r="L45" s="163">
        <v>801888.65</v>
      </c>
      <c r="M45" s="163">
        <v>1321908.72</v>
      </c>
      <c r="N45" s="163">
        <v>1081019.96</v>
      </c>
      <c r="O45" s="163">
        <v>1286403.18</v>
      </c>
      <c r="P45" s="163">
        <v>1159682.78</v>
      </c>
      <c r="Q45" s="163">
        <v>1785493.45</v>
      </c>
      <c r="R45" s="163">
        <v>5820204.2699999996</v>
      </c>
      <c r="S45" s="242">
        <f t="shared" si="4"/>
        <v>17440571.089999996</v>
      </c>
      <c r="T45" s="463">
        <f t="shared" si="3"/>
        <v>0.30086752049981008</v>
      </c>
      <c r="U45" s="500"/>
      <c r="V45" s="291"/>
    </row>
    <row r="46" spans="1:24">
      <c r="A46" s="150">
        <v>43</v>
      </c>
      <c r="B46" s="536" t="str">
        <f>+VLOOKUP($A46,Master!$D$30:$G$226,4,FALSE)</f>
        <v xml:space="preserve">Transferi institucijama, pojedincima, nevladinom i javnom sektoru </v>
      </c>
      <c r="C46" s="537"/>
      <c r="D46" s="537"/>
      <c r="E46" s="537"/>
      <c r="F46" s="537"/>
      <c r="G46" s="175">
        <v>7352915.0899999999</v>
      </c>
      <c r="H46" s="175">
        <v>24325892.07</v>
      </c>
      <c r="I46" s="175">
        <v>30713814.850000001</v>
      </c>
      <c r="J46" s="175">
        <v>28760000.66</v>
      </c>
      <c r="K46" s="175">
        <v>16438030.75</v>
      </c>
      <c r="L46" s="175">
        <v>35025423.090000004</v>
      </c>
      <c r="M46" s="175">
        <v>21720140.949999999</v>
      </c>
      <c r="N46" s="175">
        <v>18685780.77</v>
      </c>
      <c r="O46" s="175">
        <v>29625279.100000001</v>
      </c>
      <c r="P46" s="175">
        <v>32210015.350000001</v>
      </c>
      <c r="Q46" s="175">
        <v>34250449.609999999</v>
      </c>
      <c r="R46" s="175">
        <v>74410165.640000001</v>
      </c>
      <c r="S46" s="243">
        <f t="shared" si="4"/>
        <v>353517907.92999995</v>
      </c>
      <c r="T46" s="464">
        <f t="shared" si="3"/>
        <v>6.098542063921558</v>
      </c>
      <c r="U46" s="500"/>
      <c r="V46" s="291"/>
    </row>
    <row r="47" spans="1:24">
      <c r="A47" s="150">
        <v>44</v>
      </c>
      <c r="B47" s="536" t="str">
        <f>+VLOOKUP($A47,Master!$D$30:$G$226,4,FALSE)</f>
        <v>Kapitalni izdaci</v>
      </c>
      <c r="C47" s="537"/>
      <c r="D47" s="537"/>
      <c r="E47" s="537"/>
      <c r="F47" s="537"/>
      <c r="G47" s="175">
        <v>16016474.34</v>
      </c>
      <c r="H47" s="175">
        <v>11650538.710000001</v>
      </c>
      <c r="I47" s="175">
        <v>7993847.7400000002</v>
      </c>
      <c r="J47" s="175">
        <v>25617464.039999999</v>
      </c>
      <c r="K47" s="175">
        <v>18638679.170000002</v>
      </c>
      <c r="L47" s="175">
        <v>23468670.100000001</v>
      </c>
      <c r="M47" s="175">
        <v>25040863.600000001</v>
      </c>
      <c r="N47" s="175">
        <v>7683091.5899999999</v>
      </c>
      <c r="O47" s="175">
        <v>16121479.170000002</v>
      </c>
      <c r="P47" s="175">
        <v>11335391.99</v>
      </c>
      <c r="Q47" s="175">
        <v>20280565.699999999</v>
      </c>
      <c r="R47" s="175">
        <v>56610814.030000001</v>
      </c>
      <c r="S47" s="243">
        <f t="shared" si="4"/>
        <v>240457880.17999998</v>
      </c>
      <c r="T47" s="464">
        <f t="shared" si="3"/>
        <v>4.1481420431168372</v>
      </c>
      <c r="U47" s="500"/>
      <c r="V47" s="291"/>
      <c r="W47" s="311"/>
      <c r="X47" s="311"/>
    </row>
    <row r="48" spans="1:24">
      <c r="A48" s="150">
        <v>451</v>
      </c>
      <c r="B48" s="615" t="str">
        <f>+VLOOKUP($A48,Master!$D$30:$G$226,4,FALSE)</f>
        <v>Pozajmice i krediti</v>
      </c>
      <c r="C48" s="616"/>
      <c r="D48" s="616"/>
      <c r="E48" s="616"/>
      <c r="F48" s="616"/>
      <c r="G48" s="163">
        <v>5063275.62</v>
      </c>
      <c r="H48" s="163">
        <v>1133077.69</v>
      </c>
      <c r="I48" s="163">
        <v>130819.33</v>
      </c>
      <c r="J48" s="163">
        <v>464635.33</v>
      </c>
      <c r="K48" s="163">
        <v>722142.79</v>
      </c>
      <c r="L48" s="163">
        <v>956574.97</v>
      </c>
      <c r="M48" s="163">
        <v>271871.64</v>
      </c>
      <c r="N48" s="163">
        <v>12519446.189999999</v>
      </c>
      <c r="O48" s="163">
        <v>36205.230000000003</v>
      </c>
      <c r="P48" s="163">
        <v>1061879.26</v>
      </c>
      <c r="Q48" s="163">
        <v>245090.2</v>
      </c>
      <c r="R48" s="163">
        <v>516876.49</v>
      </c>
      <c r="S48" s="242">
        <f t="shared" si="4"/>
        <v>23121894.740000002</v>
      </c>
      <c r="T48" s="463">
        <f t="shared" si="3"/>
        <v>0.39887610926170669</v>
      </c>
      <c r="U48" s="500"/>
      <c r="V48" s="291"/>
    </row>
    <row r="49" spans="1:22" s="360" customFormat="1">
      <c r="A49" s="359">
        <v>47</v>
      </c>
      <c r="B49" s="607" t="str">
        <f>+VLOOKUP($A49,Master!$D$30:$G$226,4,FALSE)</f>
        <v>Rezerve</v>
      </c>
      <c r="C49" s="608"/>
      <c r="D49" s="608"/>
      <c r="E49" s="608"/>
      <c r="F49" s="608"/>
      <c r="G49" s="163">
        <v>265800</v>
      </c>
      <c r="H49" s="163">
        <v>495710</v>
      </c>
      <c r="I49" s="163">
        <v>1101664.26</v>
      </c>
      <c r="J49" s="163">
        <v>401200</v>
      </c>
      <c r="K49" s="163">
        <v>45800</v>
      </c>
      <c r="L49" s="163">
        <v>3114786.03</v>
      </c>
      <c r="M49" s="163">
        <v>5703477.5800000001</v>
      </c>
      <c r="N49" s="163">
        <v>1405979.19</v>
      </c>
      <c r="O49" s="163">
        <v>5100804.8600000003</v>
      </c>
      <c r="P49" s="163">
        <v>1452808.88</v>
      </c>
      <c r="Q49" s="163">
        <v>608587.1</v>
      </c>
      <c r="R49" s="163">
        <v>5259111.3499999996</v>
      </c>
      <c r="S49" s="242">
        <f t="shared" si="4"/>
        <v>24955729.25</v>
      </c>
      <c r="T49" s="463">
        <f t="shared" si="3"/>
        <v>0.43051161243321917</v>
      </c>
      <c r="U49" s="500"/>
      <c r="V49" s="291"/>
    </row>
    <row r="50" spans="1:22" ht="13.5" thickBot="1">
      <c r="A50" s="150">
        <v>462</v>
      </c>
      <c r="B50" s="542" t="str">
        <f>+VLOOKUP($A50,Master!$D$30:$G$226,4,FALSE)</f>
        <v>Otplata garancija</v>
      </c>
      <c r="C50" s="543"/>
      <c r="D50" s="543"/>
      <c r="E50" s="543"/>
      <c r="F50" s="543"/>
      <c r="G50" s="163">
        <v>0</v>
      </c>
      <c r="H50" s="163">
        <v>0</v>
      </c>
      <c r="I50" s="163">
        <v>0</v>
      </c>
      <c r="J50" s="163">
        <v>500000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500000</v>
      </c>
      <c r="T50" s="463">
        <f t="shared" si="3"/>
        <v>8.6255065544361756E-3</v>
      </c>
      <c r="U50" s="500"/>
      <c r="V50" s="291"/>
    </row>
    <row r="51" spans="1:22" ht="13.5" thickBot="1">
      <c r="A51" s="144">
        <v>4630</v>
      </c>
      <c r="B51" s="609" t="str">
        <f>+VLOOKUP($A51,Master!$D$30:$G$226,4,TRUE)</f>
        <v>Otplata obaveza iz prethodnog perioda</v>
      </c>
      <c r="C51" s="610"/>
      <c r="D51" s="610"/>
      <c r="E51" s="610"/>
      <c r="F51" s="610"/>
      <c r="G51" s="457">
        <v>17529055.329999998</v>
      </c>
      <c r="H51" s="457">
        <v>3946389.9</v>
      </c>
      <c r="I51" s="457">
        <v>2323374.4</v>
      </c>
      <c r="J51" s="457">
        <v>1211074.6399999999</v>
      </c>
      <c r="K51" s="457">
        <v>1145121.3300000003</v>
      </c>
      <c r="L51" s="457">
        <v>1002974.65</v>
      </c>
      <c r="M51" s="457">
        <v>2058810.46</v>
      </c>
      <c r="N51" s="457">
        <v>791334.30999999994</v>
      </c>
      <c r="O51" s="457">
        <v>1107049.1300000001</v>
      </c>
      <c r="P51" s="457">
        <v>847453.94</v>
      </c>
      <c r="Q51" s="457">
        <v>1242288.18</v>
      </c>
      <c r="R51" s="457">
        <v>2171719.34</v>
      </c>
      <c r="S51" s="424">
        <f>+SUM(G51:R51)</f>
        <v>35376645.609999999</v>
      </c>
      <c r="T51" s="467">
        <f t="shared" si="3"/>
        <v>0.61028297716604152</v>
      </c>
      <c r="U51" s="500"/>
      <c r="V51" s="291"/>
    </row>
    <row r="52" spans="1:22" ht="13.5" thickBot="1">
      <c r="A52" s="70">
        <v>1005</v>
      </c>
      <c r="B52" s="611" t="str">
        <f>+VLOOKUP($A52,Master!$D$30:$G$228,4,FALSE)</f>
        <v>Neto povećanje obaveza</v>
      </c>
      <c r="C52" s="612"/>
      <c r="D52" s="612"/>
      <c r="E52" s="612"/>
      <c r="F52" s="612"/>
      <c r="G52" s="95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514">
        <v>0</v>
      </c>
      <c r="S52" s="115">
        <f>+SUM(G52:R52)</f>
        <v>0</v>
      </c>
      <c r="T52" s="468">
        <f t="shared" si="3"/>
        <v>0</v>
      </c>
      <c r="V52" s="291"/>
    </row>
    <row r="53" spans="1:22" ht="13.5" thickBot="1">
      <c r="A53" s="144">
        <v>1000</v>
      </c>
      <c r="B53" s="544" t="str">
        <f>+VLOOKUP($A53,Master!$D$30:$G$226,4,FALSE)</f>
        <v>Suficit / deficit</v>
      </c>
      <c r="C53" s="545"/>
      <c r="D53" s="545"/>
      <c r="E53" s="545"/>
      <c r="F53" s="545"/>
      <c r="G53" s="151">
        <f t="shared" ref="G53:R53" si="9">+G10-G29</f>
        <v>-32762277.659999982</v>
      </c>
      <c r="H53" s="151">
        <f t="shared" si="9"/>
        <v>-27602265.75000003</v>
      </c>
      <c r="I53" s="151">
        <f t="shared" si="9"/>
        <v>32117481.950000018</v>
      </c>
      <c r="J53" s="151">
        <f t="shared" si="9"/>
        <v>-20821364.709999889</v>
      </c>
      <c r="K53" s="151">
        <f t="shared" si="9"/>
        <v>8021418.4899999797</v>
      </c>
      <c r="L53" s="151">
        <f t="shared" si="9"/>
        <v>-20134132.590000004</v>
      </c>
      <c r="M53" s="151">
        <f t="shared" si="9"/>
        <v>-12664392.450000018</v>
      </c>
      <c r="N53" s="151">
        <f t="shared" si="9"/>
        <v>36087287.229999959</v>
      </c>
      <c r="O53" s="151">
        <f t="shared" si="9"/>
        <v>-11833782.209999979</v>
      </c>
      <c r="P53" s="151">
        <f t="shared" si="9"/>
        <v>-20233038.789999992</v>
      </c>
      <c r="Q53" s="151">
        <f t="shared" si="9"/>
        <v>-38891745.929999977</v>
      </c>
      <c r="R53" s="151">
        <f t="shared" si="9"/>
        <v>-149662579.66000003</v>
      </c>
      <c r="S53" s="248">
        <f>SUM(G53:R53)</f>
        <v>-258379392.07999992</v>
      </c>
      <c r="T53" s="469">
        <f t="shared" si="3"/>
        <v>-4.4573062798345475</v>
      </c>
      <c r="V53" s="291"/>
    </row>
    <row r="54" spans="1:22" ht="13.5" thickBot="1">
      <c r="A54" s="144">
        <v>1001</v>
      </c>
      <c r="B54" s="546" t="str">
        <f>+VLOOKUP($A54,Master!$D$30:$G$226,4,FALSE)</f>
        <v>Primarni suficit/deficit</v>
      </c>
      <c r="C54" s="547"/>
      <c r="D54" s="547"/>
      <c r="E54" s="547"/>
      <c r="F54" s="547"/>
      <c r="G54" s="205">
        <f t="shared" ref="G54:R54" si="10">+G53+G36</f>
        <v>-28907515.409999982</v>
      </c>
      <c r="H54" s="205">
        <f t="shared" si="10"/>
        <v>-26331921.560000028</v>
      </c>
      <c r="I54" s="205">
        <f t="shared" si="10"/>
        <v>33066564.510000017</v>
      </c>
      <c r="J54" s="205">
        <f t="shared" si="10"/>
        <v>6374256.3600001112</v>
      </c>
      <c r="K54" s="205">
        <f t="shared" si="10"/>
        <v>12609892.269999981</v>
      </c>
      <c r="L54" s="205">
        <f t="shared" si="10"/>
        <v>-18917333.560000002</v>
      </c>
      <c r="M54" s="205">
        <f t="shared" si="10"/>
        <v>-8880329.6300000176</v>
      </c>
      <c r="N54" s="205">
        <f t="shared" si="10"/>
        <v>37418351.809999958</v>
      </c>
      <c r="O54" s="205">
        <f t="shared" si="10"/>
        <v>1730750.6200000215</v>
      </c>
      <c r="P54" s="205">
        <f t="shared" si="10"/>
        <v>-19385906.50999999</v>
      </c>
      <c r="Q54" s="205">
        <f t="shared" si="10"/>
        <v>-28643270.389999978</v>
      </c>
      <c r="R54" s="205">
        <f t="shared" si="10"/>
        <v>-126556970.69000003</v>
      </c>
      <c r="S54" s="248">
        <f t="shared" si="4"/>
        <v>-166423432.17999995</v>
      </c>
      <c r="T54" s="469">
        <f t="shared" si="3"/>
        <v>-2.8709728101607079</v>
      </c>
      <c r="V54" s="291"/>
    </row>
    <row r="55" spans="1:22">
      <c r="A55" s="144">
        <v>46</v>
      </c>
      <c r="B55" s="568" t="str">
        <f>+VLOOKUP($A55,Master!$D$30:$G$226,4,FALSE)</f>
        <v>Otplata dugova</v>
      </c>
      <c r="C55" s="569"/>
      <c r="D55" s="569"/>
      <c r="E55" s="569"/>
      <c r="F55" s="569"/>
      <c r="G55" s="193">
        <f t="shared" ref="G55:R55" si="11">+SUM(G56:G57)</f>
        <v>28431258.969999999</v>
      </c>
      <c r="H55" s="193">
        <f t="shared" si="11"/>
        <v>14209001.130000001</v>
      </c>
      <c r="I55" s="193">
        <f t="shared" si="11"/>
        <v>11671682.99</v>
      </c>
      <c r="J55" s="175">
        <f t="shared" si="11"/>
        <v>57474225.629999995</v>
      </c>
      <c r="K55" s="193">
        <f t="shared" si="11"/>
        <v>39081986.149999999</v>
      </c>
      <c r="L55" s="193">
        <f t="shared" si="11"/>
        <v>11628176.57</v>
      </c>
      <c r="M55" s="193">
        <f t="shared" si="11"/>
        <v>30399609.420000002</v>
      </c>
      <c r="N55" s="193">
        <f t="shared" si="11"/>
        <v>13945467.43</v>
      </c>
      <c r="O55" s="193">
        <f t="shared" si="11"/>
        <v>10059315</v>
      </c>
      <c r="P55" s="193">
        <f t="shared" si="11"/>
        <v>6058280.0800000001</v>
      </c>
      <c r="Q55" s="193">
        <f t="shared" si="11"/>
        <v>57191963.920000002</v>
      </c>
      <c r="R55" s="193">
        <f t="shared" si="11"/>
        <v>11425725.890000001</v>
      </c>
      <c r="S55" s="249">
        <f t="shared" si="4"/>
        <v>291576693.18000001</v>
      </c>
      <c r="T55" s="470">
        <f t="shared" si="3"/>
        <v>5.0299933562898316</v>
      </c>
      <c r="V55" s="291"/>
    </row>
    <row r="56" spans="1:22">
      <c r="A56" s="144">
        <v>4611</v>
      </c>
      <c r="B56" s="564" t="str">
        <f>+VLOOKUP($A56,Master!$D$30:$G$226,4,FALSE)</f>
        <v>Otplata hartija od vrijednosti i kredita rezidentima</v>
      </c>
      <c r="C56" s="565"/>
      <c r="D56" s="565"/>
      <c r="E56" s="565"/>
      <c r="F56" s="565"/>
      <c r="G56" s="211">
        <v>2390495.08</v>
      </c>
      <c r="H56" s="211">
        <v>3087670.22</v>
      </c>
      <c r="I56" s="211">
        <v>2560106.65</v>
      </c>
      <c r="J56" s="211">
        <v>4658647.9099999992</v>
      </c>
      <c r="K56" s="211">
        <v>8572190.1199999992</v>
      </c>
      <c r="L56" s="211">
        <v>713784.35</v>
      </c>
      <c r="M56" s="211">
        <v>2437648.0699999998</v>
      </c>
      <c r="N56" s="211">
        <v>2374633.7599999998</v>
      </c>
      <c r="O56" s="211">
        <v>722146.47000000009</v>
      </c>
      <c r="P56" s="211">
        <v>2442731.2000000002</v>
      </c>
      <c r="Q56" s="211">
        <v>9226106.3599999994</v>
      </c>
      <c r="R56" s="211">
        <v>1337203.54</v>
      </c>
      <c r="S56" s="250">
        <f t="shared" si="4"/>
        <v>40523363.729999997</v>
      </c>
      <c r="T56" s="471">
        <f t="shared" si="3"/>
        <v>0.69906907892183234</v>
      </c>
      <c r="V56" s="291"/>
    </row>
    <row r="57" spans="1:22" ht="13.5" thickBot="1">
      <c r="A57" s="144">
        <v>4612</v>
      </c>
      <c r="B57" s="540" t="str">
        <f>+VLOOKUP($A57,Master!$D$30:$G$226,4,FALSE)</f>
        <v>Otplata hartija od vrijednosti i kredita nerezidentima</v>
      </c>
      <c r="C57" s="541"/>
      <c r="D57" s="541"/>
      <c r="E57" s="541"/>
      <c r="F57" s="541"/>
      <c r="G57" s="211">
        <v>26040763.890000001</v>
      </c>
      <c r="H57" s="211">
        <v>11121330.91</v>
      </c>
      <c r="I57" s="211">
        <v>9111576.3399999999</v>
      </c>
      <c r="J57" s="211">
        <v>52815577.719999999</v>
      </c>
      <c r="K57" s="211">
        <v>30509796.030000001</v>
      </c>
      <c r="L57" s="211">
        <v>10914392.220000001</v>
      </c>
      <c r="M57" s="211">
        <v>27961961.350000001</v>
      </c>
      <c r="N57" s="211">
        <v>11570833.67</v>
      </c>
      <c r="O57" s="211">
        <v>9337168.5299999993</v>
      </c>
      <c r="P57" s="211">
        <v>3615548.88</v>
      </c>
      <c r="Q57" s="211">
        <v>47965857.560000002</v>
      </c>
      <c r="R57" s="211">
        <v>10088522.35</v>
      </c>
      <c r="S57" s="250">
        <f t="shared" si="4"/>
        <v>251053329.44999999</v>
      </c>
      <c r="T57" s="471">
        <f t="shared" si="3"/>
        <v>4.3309242773679983</v>
      </c>
      <c r="V57" s="291"/>
    </row>
    <row r="58" spans="1:22" ht="13.5" thickBot="1">
      <c r="A58" s="144">
        <v>4418</v>
      </c>
      <c r="B58" s="532" t="str">
        <f>+VLOOKUP($A58,Master!$D$30:$G$226,4,FALSE)</f>
        <v>Izdaci za kupovinu hartija od vrijednosti</v>
      </c>
      <c r="C58" s="533"/>
      <c r="D58" s="533"/>
      <c r="E58" s="533"/>
      <c r="F58" s="533"/>
      <c r="G58" s="459">
        <v>0</v>
      </c>
      <c r="H58" s="459">
        <v>0</v>
      </c>
      <c r="I58" s="459">
        <v>0</v>
      </c>
      <c r="J58" s="459">
        <v>0</v>
      </c>
      <c r="K58" s="459">
        <v>0</v>
      </c>
      <c r="L58" s="459">
        <v>0</v>
      </c>
      <c r="M58" s="459">
        <v>0</v>
      </c>
      <c r="N58" s="459">
        <v>0</v>
      </c>
      <c r="O58" s="459">
        <v>14999998.93</v>
      </c>
      <c r="P58" s="459">
        <v>0</v>
      </c>
      <c r="Q58" s="459">
        <v>572321.46</v>
      </c>
      <c r="R58" s="459">
        <v>12120441.43</v>
      </c>
      <c r="S58" s="249">
        <f>SUM(G58:R58)</f>
        <v>27692761.82</v>
      </c>
      <c r="T58" s="472">
        <f t="shared" si="3"/>
        <v>0.47772819717769976</v>
      </c>
      <c r="V58" s="291"/>
    </row>
    <row r="59" spans="1:22" ht="13.5" thickBot="1">
      <c r="A59" s="144">
        <v>1002</v>
      </c>
      <c r="B59" s="566" t="str">
        <f>+VLOOKUP($A59,Master!$D$30:$G$226,4,FALSE)</f>
        <v>Nedostajuća sredstva</v>
      </c>
      <c r="C59" s="567"/>
      <c r="D59" s="567"/>
      <c r="E59" s="567"/>
      <c r="F59" s="567"/>
      <c r="G59" s="217">
        <f>+G53-G55-G58</f>
        <v>-61193536.62999998</v>
      </c>
      <c r="H59" s="217">
        <f t="shared" ref="H59:R59" si="12">+H53-H55-H58</f>
        <v>-41811266.880000032</v>
      </c>
      <c r="I59" s="217">
        <f t="shared" si="12"/>
        <v>20445798.960000016</v>
      </c>
      <c r="J59" s="217">
        <f t="shared" si="12"/>
        <v>-78295590.339999884</v>
      </c>
      <c r="K59" s="217">
        <f t="shared" si="12"/>
        <v>-31060567.660000019</v>
      </c>
      <c r="L59" s="217">
        <f t="shared" si="12"/>
        <v>-31762309.160000004</v>
      </c>
      <c r="M59" s="217">
        <f t="shared" si="12"/>
        <v>-43064001.87000002</v>
      </c>
      <c r="N59" s="217">
        <f t="shared" si="12"/>
        <v>22141819.79999996</v>
      </c>
      <c r="O59" s="217">
        <f t="shared" si="12"/>
        <v>-36893096.139999978</v>
      </c>
      <c r="P59" s="217">
        <f t="shared" si="12"/>
        <v>-26291318.86999999</v>
      </c>
      <c r="Q59" s="217">
        <f t="shared" si="12"/>
        <v>-96656031.309999973</v>
      </c>
      <c r="R59" s="217">
        <f t="shared" si="12"/>
        <v>-173208746.98000002</v>
      </c>
      <c r="S59" s="251">
        <f t="shared" si="4"/>
        <v>-577648847.07999992</v>
      </c>
      <c r="T59" s="473">
        <f t="shared" si="3"/>
        <v>-9.965027833302079</v>
      </c>
      <c r="V59" s="291"/>
    </row>
    <row r="60" spans="1:22" ht="13.5" thickBot="1">
      <c r="A60" s="144">
        <v>1003</v>
      </c>
      <c r="B60" s="530" t="str">
        <f>+VLOOKUP($A60,Master!$D$30:$G$226,4,FALSE)</f>
        <v>Finansiranje</v>
      </c>
      <c r="C60" s="531"/>
      <c r="D60" s="531"/>
      <c r="E60" s="531"/>
      <c r="F60" s="531"/>
      <c r="G60" s="151">
        <f>+SUM(G61:G64)</f>
        <v>61193536.62999998</v>
      </c>
      <c r="H60" s="151">
        <f t="shared" ref="H60:R60" si="13">+SUM(H61:H64)</f>
        <v>41811266.880000032</v>
      </c>
      <c r="I60" s="151">
        <f t="shared" si="13"/>
        <v>-20445798.960000016</v>
      </c>
      <c r="J60" s="151">
        <f t="shared" si="13"/>
        <v>78295590.339999884</v>
      </c>
      <c r="K60" s="151">
        <f t="shared" si="13"/>
        <v>31060567.660000019</v>
      </c>
      <c r="L60" s="151">
        <f t="shared" si="13"/>
        <v>31762309.160000004</v>
      </c>
      <c r="M60" s="151">
        <f t="shared" si="13"/>
        <v>43064001.87000002</v>
      </c>
      <c r="N60" s="151">
        <f t="shared" si="13"/>
        <v>-22141819.79999996</v>
      </c>
      <c r="O60" s="151">
        <f t="shared" si="13"/>
        <v>36893096.139999978</v>
      </c>
      <c r="P60" s="151">
        <f t="shared" si="13"/>
        <v>26291318.86999999</v>
      </c>
      <c r="Q60" s="151">
        <f t="shared" si="13"/>
        <v>96656031.309999973</v>
      </c>
      <c r="R60" s="151">
        <f t="shared" si="13"/>
        <v>173208746.98000002</v>
      </c>
      <c r="S60" s="252">
        <f t="shared" si="4"/>
        <v>577648847.07999992</v>
      </c>
      <c r="T60" s="474">
        <f t="shared" si="3"/>
        <v>9.965027833302079</v>
      </c>
      <c r="V60" s="291"/>
    </row>
    <row r="61" spans="1:22">
      <c r="A61" s="144">
        <v>7511</v>
      </c>
      <c r="B61" s="564" t="str">
        <f>+VLOOKUP($A61,Master!$D$30:$G$226,4,FALSE)</f>
        <v>Pozajmice i krediti od domaćih izvora</v>
      </c>
      <c r="C61" s="565"/>
      <c r="D61" s="565"/>
      <c r="E61" s="565"/>
      <c r="F61" s="565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211">
        <v>0</v>
      </c>
      <c r="N61" s="211">
        <v>0</v>
      </c>
      <c r="O61" s="211">
        <v>0</v>
      </c>
      <c r="P61" s="211">
        <v>0</v>
      </c>
      <c r="Q61" s="211">
        <v>52000000</v>
      </c>
      <c r="R61" s="211">
        <v>53000000</v>
      </c>
      <c r="S61" s="250">
        <f t="shared" si="4"/>
        <v>105000000</v>
      </c>
      <c r="T61" s="471">
        <f t="shared" si="3"/>
        <v>1.8113563764315967</v>
      </c>
      <c r="V61" s="291"/>
    </row>
    <row r="62" spans="1:22">
      <c r="A62" s="144">
        <v>7512</v>
      </c>
      <c r="B62" s="540" t="str">
        <f>+VLOOKUP($A62,Master!$D$30:$G$226,4,FALSE)</f>
        <v>Pozajmice i krediti od inostranih izvora</v>
      </c>
      <c r="C62" s="541"/>
      <c r="D62" s="541"/>
      <c r="E62" s="541"/>
      <c r="F62" s="541"/>
      <c r="G62" s="211">
        <v>17854744.760000002</v>
      </c>
      <c r="H62" s="211">
        <v>11882727.800000001</v>
      </c>
      <c r="I62" s="211">
        <v>1402734.23</v>
      </c>
      <c r="J62" s="211">
        <v>8517591.6899999995</v>
      </c>
      <c r="K62" s="211">
        <v>11751788.779999999</v>
      </c>
      <c r="L62" s="211">
        <v>22366566.559999999</v>
      </c>
      <c r="M62" s="211">
        <v>8724081.3399999999</v>
      </c>
      <c r="N62" s="211">
        <v>15376543.26</v>
      </c>
      <c r="O62" s="211">
        <v>2997713.2</v>
      </c>
      <c r="P62" s="211">
        <v>885932.07</v>
      </c>
      <c r="Q62" s="211">
        <v>1836259.97</v>
      </c>
      <c r="R62" s="211">
        <v>7590650.9500000002</v>
      </c>
      <c r="S62" s="250">
        <f t="shared" si="4"/>
        <v>111187334.61000001</v>
      </c>
      <c r="T62" s="471">
        <f t="shared" si="3"/>
        <v>1.9180941668976867</v>
      </c>
      <c r="V62" s="291"/>
    </row>
    <row r="63" spans="1:22">
      <c r="A63" s="144">
        <v>72</v>
      </c>
      <c r="B63" s="540" t="str">
        <f>+VLOOKUP($A63,Master!$D$30:$G$226,4,FALSE)</f>
        <v>Primici od prodaje imovine</v>
      </c>
      <c r="C63" s="541"/>
      <c r="D63" s="541"/>
      <c r="E63" s="541"/>
      <c r="F63" s="541"/>
      <c r="G63" s="211">
        <v>710212.98</v>
      </c>
      <c r="H63" s="211">
        <v>70539.22</v>
      </c>
      <c r="I63" s="211">
        <v>383792.48</v>
      </c>
      <c r="J63" s="211">
        <v>766267.74</v>
      </c>
      <c r="K63" s="211">
        <v>26413.63</v>
      </c>
      <c r="L63" s="211">
        <v>243495.38999999998</v>
      </c>
      <c r="M63" s="211">
        <v>209628.7</v>
      </c>
      <c r="N63" s="211">
        <v>313064.5</v>
      </c>
      <c r="O63" s="211">
        <v>705089.56</v>
      </c>
      <c r="P63" s="211">
        <v>574867.06000000006</v>
      </c>
      <c r="Q63" s="211">
        <v>363375.9</v>
      </c>
      <c r="R63" s="211">
        <v>148667.54</v>
      </c>
      <c r="S63" s="250">
        <f t="shared" si="4"/>
        <v>4515414.7</v>
      </c>
      <c r="T63" s="471">
        <f t="shared" si="3"/>
        <v>7.7895478181694913E-2</v>
      </c>
      <c r="V63" s="291"/>
    </row>
    <row r="64" spans="1:22" ht="13.5" thickBot="1">
      <c r="A64" s="144">
        <v>1004</v>
      </c>
      <c r="B64" s="223" t="str">
        <f>+VLOOKUP($A64,Master!$D$30:$G$226,4,FALSE)</f>
        <v>Povećanje / smanjenje depozita</v>
      </c>
      <c r="C64" s="224"/>
      <c r="D64" s="224"/>
      <c r="E64" s="224"/>
      <c r="F64" s="224"/>
      <c r="G64" s="225">
        <f>-G59-SUM(G61:G63)</f>
        <v>42628578.889999978</v>
      </c>
      <c r="H64" s="225">
        <f t="shared" ref="H64:L64" si="14">-H59-SUM(H61:H63)</f>
        <v>29857999.860000029</v>
      </c>
      <c r="I64" s="225">
        <f t="shared" si="14"/>
        <v>-22232325.670000017</v>
      </c>
      <c r="J64" s="225">
        <f t="shared" si="14"/>
        <v>69011730.909999877</v>
      </c>
      <c r="K64" s="225">
        <f t="shared" si="14"/>
        <v>19282365.250000019</v>
      </c>
      <c r="L64" s="225">
        <f t="shared" si="14"/>
        <v>9152247.2100000046</v>
      </c>
      <c r="M64" s="225">
        <f t="shared" ref="M64:R64" si="15">-M59-SUM(M61:M63)</f>
        <v>34130291.830000021</v>
      </c>
      <c r="N64" s="225">
        <f t="shared" si="15"/>
        <v>-37831427.559999958</v>
      </c>
      <c r="O64" s="225">
        <f t="shared" si="15"/>
        <v>33190293.379999977</v>
      </c>
      <c r="P64" s="225">
        <f t="shared" si="15"/>
        <v>24830519.739999991</v>
      </c>
      <c r="Q64" s="225">
        <f t="shared" si="15"/>
        <v>42456395.439999975</v>
      </c>
      <c r="R64" s="225">
        <f t="shared" si="15"/>
        <v>112469428.49000001</v>
      </c>
      <c r="S64" s="253">
        <f>+SUM(G64:R64)</f>
        <v>356946097.76999986</v>
      </c>
      <c r="T64" s="475">
        <f t="shared" si="3"/>
        <v>6.1576818117911003</v>
      </c>
      <c r="V64" s="291"/>
    </row>
    <row r="65" spans="7:22">
      <c r="R65" s="312"/>
      <c r="V65" s="291"/>
    </row>
    <row r="66" spans="7:22">
      <c r="V66" s="291"/>
    </row>
    <row r="67" spans="7:22" hidden="1">
      <c r="G67" s="311"/>
      <c r="V67" s="291"/>
    </row>
    <row r="68" spans="7:22" ht="9" hidden="1" customHeight="1">
      <c r="V68" s="291"/>
    </row>
    <row r="69" spans="7:22" hidden="1">
      <c r="V69" s="291"/>
    </row>
    <row r="70" spans="7:22" hidden="1">
      <c r="V70" s="291"/>
    </row>
    <row r="71" spans="7:22" hidden="1">
      <c r="V71" s="291"/>
    </row>
    <row r="72" spans="7:22" hidden="1">
      <c r="V72" s="291"/>
    </row>
    <row r="73" spans="7:22" hidden="1">
      <c r="V73" s="291"/>
    </row>
    <row r="74" spans="7:22" hidden="1">
      <c r="V74" s="291"/>
    </row>
    <row r="75" spans="7:22">
      <c r="V75" s="291"/>
    </row>
    <row r="77" spans="7:22">
      <c r="Q77" s="311"/>
    </row>
    <row r="79" spans="7:22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22" ht="13.5" thickBot="1">
      <c r="G80" s="68" t="str">
        <f t="shared" ref="G80:R80" si="16">+CONCATENATE(G6,"p")</f>
        <v>2022-01p</v>
      </c>
      <c r="H80" s="68" t="str">
        <f t="shared" si="16"/>
        <v>2022-02p</v>
      </c>
      <c r="I80" s="68" t="str">
        <f t="shared" si="16"/>
        <v>2022-03p</v>
      </c>
      <c r="J80" s="68" t="str">
        <f t="shared" si="16"/>
        <v>2022-04p</v>
      </c>
      <c r="K80" s="68" t="str">
        <f t="shared" si="16"/>
        <v>2022-05p</v>
      </c>
      <c r="L80" s="68" t="str">
        <f t="shared" si="16"/>
        <v>2022-06p</v>
      </c>
      <c r="M80" s="68" t="str">
        <f t="shared" si="16"/>
        <v>2022-07p</v>
      </c>
      <c r="N80" s="68" t="str">
        <f t="shared" si="16"/>
        <v>2022-08p</v>
      </c>
      <c r="O80" s="68" t="str">
        <f t="shared" si="16"/>
        <v>2022-09p</v>
      </c>
      <c r="P80" s="68" t="str">
        <f t="shared" si="16"/>
        <v>2022-10p</v>
      </c>
      <c r="Q80" s="68" t="str">
        <f t="shared" si="16"/>
        <v>2022-11p</v>
      </c>
      <c r="R80" s="68" t="str">
        <f t="shared" si="16"/>
        <v>2022-12p</v>
      </c>
    </row>
    <row r="81" spans="1:26" ht="15.75" customHeight="1" thickBot="1">
      <c r="B81" s="596" t="str">
        <f>+Master!G253</f>
        <v>Plan ostvarenja budžeta</v>
      </c>
      <c r="C81" s="597"/>
      <c r="D81" s="597"/>
      <c r="E81" s="597"/>
      <c r="F81" s="597"/>
      <c r="G81" s="604">
        <v>2022</v>
      </c>
      <c r="H81" s="605"/>
      <c r="I81" s="605"/>
      <c r="J81" s="605"/>
      <c r="K81" s="605"/>
      <c r="L81" s="605"/>
      <c r="M81" s="605"/>
      <c r="N81" s="605"/>
      <c r="O81" s="605"/>
      <c r="P81" s="605"/>
      <c r="Q81" s="605"/>
      <c r="R81" s="606"/>
      <c r="S81" s="107" t="str">
        <f>+S7</f>
        <v>BDP</v>
      </c>
      <c r="T81" s="108">
        <v>5700400000</v>
      </c>
    </row>
    <row r="82" spans="1:26" ht="15.75" customHeight="1">
      <c r="B82" s="598"/>
      <c r="C82" s="599"/>
      <c r="D82" s="599"/>
      <c r="E82" s="599"/>
      <c r="F82" s="600"/>
      <c r="G82" s="71" t="str">
        <f t="shared" ref="G82:R82" si="17">+G8</f>
        <v>Januar</v>
      </c>
      <c r="H82" s="71" t="str">
        <f t="shared" si="17"/>
        <v>Februar</v>
      </c>
      <c r="I82" s="71" t="str">
        <f t="shared" si="17"/>
        <v>Mart</v>
      </c>
      <c r="J82" s="71" t="str">
        <f t="shared" si="17"/>
        <v>April</v>
      </c>
      <c r="K82" s="71" t="str">
        <f t="shared" si="17"/>
        <v>Maj</v>
      </c>
      <c r="L82" s="71" t="str">
        <f t="shared" si="17"/>
        <v>Jun</v>
      </c>
      <c r="M82" s="71" t="str">
        <f t="shared" si="17"/>
        <v>Jul</v>
      </c>
      <c r="N82" s="71" t="str">
        <f t="shared" si="17"/>
        <v>Avgust</v>
      </c>
      <c r="O82" s="71" t="str">
        <f t="shared" si="17"/>
        <v>Septembar</v>
      </c>
      <c r="P82" s="71" t="str">
        <f t="shared" si="17"/>
        <v>Oktobar</v>
      </c>
      <c r="Q82" s="71" t="str">
        <f t="shared" si="17"/>
        <v>Novembar</v>
      </c>
      <c r="R82" s="71" t="str">
        <f t="shared" si="17"/>
        <v>Decembar</v>
      </c>
      <c r="S82" s="604" t="str">
        <f>+Master!G247</f>
        <v>Jan - Dec</v>
      </c>
      <c r="T82" s="606">
        <f>+T8</f>
        <v>0</v>
      </c>
    </row>
    <row r="83" spans="1:26" ht="13.5" thickBot="1">
      <c r="B83" s="601"/>
      <c r="C83" s="602"/>
      <c r="D83" s="602"/>
      <c r="E83" s="602"/>
      <c r="F83" s="603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6" ht="13.5" thickBot="1">
      <c r="A84" s="116" t="str">
        <f t="shared" ref="A84:A138" si="18">+CONCATENATE(A10,"p")</f>
        <v>7p</v>
      </c>
      <c r="B84" s="570" t="str">
        <f>+VLOOKUP(LEFT($A84,LEN(A84)-1)*1,Master!$D$30:$G$226,4,FALSE)</f>
        <v>Prihodi budžeta</v>
      </c>
      <c r="C84" s="571"/>
      <c r="D84" s="571"/>
      <c r="E84" s="571"/>
      <c r="F84" s="571"/>
      <c r="G84" s="93">
        <f t="shared" ref="G84:Q84" si="19">+G85+G93+SUM(G98:G102)</f>
        <v>107815206.69999999</v>
      </c>
      <c r="H84" s="93">
        <f t="shared" si="19"/>
        <v>124649774.65000001</v>
      </c>
      <c r="I84" s="93">
        <f t="shared" si="19"/>
        <v>184180987.21000001</v>
      </c>
      <c r="J84" s="93">
        <f t="shared" si="19"/>
        <v>181957324.32000002</v>
      </c>
      <c r="K84" s="93">
        <f t="shared" si="19"/>
        <v>154730235.27000001</v>
      </c>
      <c r="L84" s="93">
        <f t="shared" si="19"/>
        <v>169061326.09000003</v>
      </c>
      <c r="M84" s="93">
        <f t="shared" si="19"/>
        <v>165802775.70999998</v>
      </c>
      <c r="N84" s="93">
        <f t="shared" si="19"/>
        <v>194390474.26999995</v>
      </c>
      <c r="O84" s="93">
        <f t="shared" si="19"/>
        <v>175603806.03</v>
      </c>
      <c r="P84" s="93">
        <f t="shared" si="19"/>
        <v>140445093.07000002</v>
      </c>
      <c r="Q84" s="93">
        <f t="shared" si="19"/>
        <v>136281404.65000004</v>
      </c>
      <c r="R84" s="93">
        <f>+R85+R93+SUM(R98:R102)</f>
        <v>196108732.88999999</v>
      </c>
      <c r="S84" s="452">
        <f>+SUM(G84:R84)</f>
        <v>1931027140.8600001</v>
      </c>
      <c r="T84" s="476">
        <f>+S84/$T$81*100</f>
        <v>33.875291924426357</v>
      </c>
      <c r="U84" s="258"/>
    </row>
    <row r="85" spans="1:26">
      <c r="A85" s="116" t="str">
        <f t="shared" si="18"/>
        <v>711p</v>
      </c>
      <c r="B85" s="594" t="str">
        <f>+VLOOKUP(LEFT($A85,LEN(A85)-1)*1,Master!$D$30:$G$226,4,FALSE)</f>
        <v>Porezi</v>
      </c>
      <c r="C85" s="595"/>
      <c r="D85" s="595"/>
      <c r="E85" s="595"/>
      <c r="F85" s="595"/>
      <c r="G85" s="79">
        <f t="shared" ref="G85:R85" si="20">+SUM(G86:G92)</f>
        <v>80559495.530000001</v>
      </c>
      <c r="H85" s="79">
        <f t="shared" si="20"/>
        <v>83215985.099999994</v>
      </c>
      <c r="I85" s="79">
        <f t="shared" si="20"/>
        <v>136363333.32000002</v>
      </c>
      <c r="J85" s="79">
        <f t="shared" si="20"/>
        <v>133978505.54000001</v>
      </c>
      <c r="K85" s="79">
        <f t="shared" si="20"/>
        <v>112630389.3</v>
      </c>
      <c r="L85" s="79">
        <f t="shared" si="20"/>
        <v>115551273.18000002</v>
      </c>
      <c r="M85" s="79">
        <f t="shared" si="20"/>
        <v>118591394.48</v>
      </c>
      <c r="N85" s="79">
        <f t="shared" si="20"/>
        <v>138239036.15999997</v>
      </c>
      <c r="O85" s="79">
        <f t="shared" si="20"/>
        <v>121261181.33999999</v>
      </c>
      <c r="P85" s="79">
        <f t="shared" si="20"/>
        <v>82469774.326666653</v>
      </c>
      <c r="Q85" s="79">
        <f t="shared" si="20"/>
        <v>76569750.026666671</v>
      </c>
      <c r="R85" s="80">
        <f t="shared" si="20"/>
        <v>98169750.026666671</v>
      </c>
      <c r="S85" s="111">
        <f t="shared" ref="S85:S137" si="21">+SUM(G85:R85)</f>
        <v>1297599868.3300002</v>
      </c>
      <c r="T85" s="462">
        <f t="shared" ref="T85:T138" si="22">+S85/$T$81*100</f>
        <v>22.763312545259986</v>
      </c>
      <c r="V85" s="311"/>
    </row>
    <row r="86" spans="1:26">
      <c r="A86" s="116" t="str">
        <f t="shared" si="18"/>
        <v>7111p</v>
      </c>
      <c r="B86" s="586" t="str">
        <f>+VLOOKUP(LEFT($A86,LEN(A86)-1)*1,Master!$D$30:$G$229,4,FALSE)</f>
        <v>Porez na dohodak fizičkih lica</v>
      </c>
      <c r="C86" s="587"/>
      <c r="D86" s="587"/>
      <c r="E86" s="587"/>
      <c r="F86" s="587"/>
      <c r="G86" s="87">
        <v>6139790.5700000003</v>
      </c>
      <c r="H86" s="87">
        <v>7672775.8099999996</v>
      </c>
      <c r="I86" s="87">
        <v>6664350.6399999997</v>
      </c>
      <c r="J86" s="87">
        <v>8050769.3899999997</v>
      </c>
      <c r="K86" s="87">
        <v>8176244.7699999996</v>
      </c>
      <c r="L86" s="87">
        <v>7322347.5800000001</v>
      </c>
      <c r="M86" s="87">
        <v>8156090.4900000002</v>
      </c>
      <c r="N86" s="87">
        <v>7377958</v>
      </c>
      <c r="O86" s="87">
        <v>5598868.9900000002</v>
      </c>
      <c r="P86" s="87">
        <v>7376898.6899999995</v>
      </c>
      <c r="Q86" s="87">
        <v>6576898.6899999995</v>
      </c>
      <c r="R86" s="87">
        <v>15676898.689999999</v>
      </c>
      <c r="S86" s="112">
        <f t="shared" si="21"/>
        <v>94789892.310000002</v>
      </c>
      <c r="T86" s="463">
        <f t="shared" si="22"/>
        <v>1.6628638746403763</v>
      </c>
      <c r="V86" s="311"/>
    </row>
    <row r="87" spans="1:26">
      <c r="A87" s="116" t="str">
        <f t="shared" si="18"/>
        <v>7112p</v>
      </c>
      <c r="B87" s="586" t="str">
        <f>+VLOOKUP(LEFT($A87,LEN(A87)-1)*1,Master!$D$30:$G$229,4,FALSE)</f>
        <v>Porez na dobit pravnih lica</v>
      </c>
      <c r="C87" s="587"/>
      <c r="D87" s="587"/>
      <c r="E87" s="587"/>
      <c r="F87" s="587"/>
      <c r="G87" s="87">
        <v>395935.5</v>
      </c>
      <c r="H87" s="87">
        <v>2173083.29</v>
      </c>
      <c r="I87" s="87">
        <v>38679260.32</v>
      </c>
      <c r="J87" s="87">
        <v>28771681.68</v>
      </c>
      <c r="K87" s="87">
        <v>2149499.0699999998</v>
      </c>
      <c r="L87" s="87">
        <v>3024620.31</v>
      </c>
      <c r="M87" s="87">
        <v>1873254.93</v>
      </c>
      <c r="N87" s="87">
        <v>2349199.71</v>
      </c>
      <c r="O87" s="87">
        <v>2622669.34</v>
      </c>
      <c r="P87" s="87">
        <v>448381.46333333803</v>
      </c>
      <c r="Q87" s="87">
        <v>348381.46333333803</v>
      </c>
      <c r="R87" s="87">
        <v>1448381.463333338</v>
      </c>
      <c r="S87" s="112">
        <f t="shared" si="21"/>
        <v>84284348.540000007</v>
      </c>
      <c r="T87" s="463">
        <f t="shared" si="22"/>
        <v>1.4785690221738825</v>
      </c>
      <c r="V87" s="311"/>
    </row>
    <row r="88" spans="1:26">
      <c r="A88" s="116" t="str">
        <f t="shared" si="18"/>
        <v>7113p</v>
      </c>
      <c r="B88" s="586" t="str">
        <f>+VLOOKUP(LEFT($A88,LEN(A88)-1)*1,Master!$D$30:$G$229,4,FALSE)</f>
        <v>Porez na promet nepokretnosti</v>
      </c>
      <c r="C88" s="587"/>
      <c r="D88" s="587"/>
      <c r="E88" s="587"/>
      <c r="F88" s="587"/>
      <c r="G88" s="87">
        <v>146340.34</v>
      </c>
      <c r="H88" s="87">
        <v>168193.65</v>
      </c>
      <c r="I88" s="87">
        <v>233459.66</v>
      </c>
      <c r="J88" s="87">
        <v>245580.28</v>
      </c>
      <c r="K88" s="87">
        <v>189584.64000000001</v>
      </c>
      <c r="L88" s="87">
        <v>263126.03999999998</v>
      </c>
      <c r="M88" s="87">
        <v>180172.4</v>
      </c>
      <c r="N88" s="87">
        <v>55084.76</v>
      </c>
      <c r="O88" s="87">
        <v>0</v>
      </c>
      <c r="P88" s="87">
        <v>24.3</v>
      </c>
      <c r="Q88" s="87">
        <v>0</v>
      </c>
      <c r="R88" s="87">
        <v>0</v>
      </c>
      <c r="S88" s="112">
        <f t="shared" si="21"/>
        <v>1481566.07</v>
      </c>
      <c r="T88" s="463">
        <f t="shared" si="22"/>
        <v>2.5990563293803944E-2</v>
      </c>
      <c r="V88" s="311"/>
    </row>
    <row r="89" spans="1:26">
      <c r="A89" s="116" t="str">
        <f t="shared" si="18"/>
        <v>7114p</v>
      </c>
      <c r="B89" s="586" t="str">
        <f>+VLOOKUP(LEFT($A89,LEN(A89)-1)*1,Master!$D$30:$G$229,4,FALSE)</f>
        <v>Porez na dodatu vrijednost</v>
      </c>
      <c r="C89" s="587"/>
      <c r="D89" s="587"/>
      <c r="E89" s="587"/>
      <c r="F89" s="587"/>
      <c r="G89" s="87">
        <v>50270008.859999999</v>
      </c>
      <c r="H89" s="87">
        <v>54121445.460000001</v>
      </c>
      <c r="I89" s="87">
        <v>67019753.909999996</v>
      </c>
      <c r="J89" s="87">
        <v>73487462.640000001</v>
      </c>
      <c r="K89" s="87">
        <v>76474660.090000004</v>
      </c>
      <c r="L89" s="87">
        <v>79678383.590000004</v>
      </c>
      <c r="M89" s="87">
        <v>83883709.769999996</v>
      </c>
      <c r="N89" s="87">
        <v>95638013.599999994</v>
      </c>
      <c r="O89" s="87">
        <v>84609670.859999999</v>
      </c>
      <c r="P89" s="87">
        <v>49878315.989999972</v>
      </c>
      <c r="Q89" s="87">
        <v>44878315.990000002</v>
      </c>
      <c r="R89" s="87">
        <v>54878315.990000002</v>
      </c>
      <c r="S89" s="112">
        <f t="shared" si="21"/>
        <v>814818056.75000012</v>
      </c>
      <c r="T89" s="463">
        <f t="shared" si="22"/>
        <v>14.294050535927305</v>
      </c>
      <c r="V89" s="311"/>
    </row>
    <row r="90" spans="1:26">
      <c r="A90" s="116" t="str">
        <f t="shared" si="18"/>
        <v>7115p</v>
      </c>
      <c r="B90" s="586" t="str">
        <f>+VLOOKUP(LEFT($A90,LEN(A90)-1)*1,Master!$D$30:$G$229,4,FALSE)</f>
        <v>Akcize</v>
      </c>
      <c r="C90" s="587"/>
      <c r="D90" s="587"/>
      <c r="E90" s="587"/>
      <c r="F90" s="587"/>
      <c r="G90" s="87">
        <v>21096875.199999999</v>
      </c>
      <c r="H90" s="87">
        <v>16062530.34</v>
      </c>
      <c r="I90" s="87">
        <v>19528829.140000001</v>
      </c>
      <c r="J90" s="87">
        <v>19259652.579999998</v>
      </c>
      <c r="K90" s="87">
        <v>21309575.899999999</v>
      </c>
      <c r="L90" s="87">
        <v>20484664.210000001</v>
      </c>
      <c r="M90" s="87">
        <v>19630528.800000001</v>
      </c>
      <c r="N90" s="87">
        <v>27418018.539999999</v>
      </c>
      <c r="O90" s="87">
        <v>23606498.559999999</v>
      </c>
      <c r="P90" s="87">
        <v>23617898.436666675</v>
      </c>
      <c r="Q90" s="87">
        <v>23617898.436666675</v>
      </c>
      <c r="R90" s="87">
        <v>25317898.436666675</v>
      </c>
      <c r="S90" s="112">
        <f t="shared" si="21"/>
        <v>260950868.58000001</v>
      </c>
      <c r="T90" s="463">
        <f t="shared" si="22"/>
        <v>4.577764167075995</v>
      </c>
      <c r="V90" s="311"/>
      <c r="X90" s="257"/>
      <c r="Y90" s="257"/>
      <c r="Z90" s="257"/>
    </row>
    <row r="91" spans="1:26">
      <c r="A91" s="116" t="str">
        <f t="shared" si="18"/>
        <v>7116p</v>
      </c>
      <c r="B91" s="586" t="str">
        <f>+VLOOKUP(LEFT($A91,LEN(A91)-1)*1,Master!$D$30:$G$229,4,FALSE)</f>
        <v>Porez na međunarodnu trgovinu i transakcije</v>
      </c>
      <c r="C91" s="587"/>
      <c r="D91" s="587"/>
      <c r="E91" s="587"/>
      <c r="F91" s="587"/>
      <c r="G91" s="87">
        <v>1689510.83</v>
      </c>
      <c r="H91" s="87">
        <v>2149003.6</v>
      </c>
      <c r="I91" s="87">
        <v>3284454.25</v>
      </c>
      <c r="J91" s="87">
        <v>3111315.33</v>
      </c>
      <c r="K91" s="87">
        <v>3394780.34</v>
      </c>
      <c r="L91" s="87">
        <v>3720198.33</v>
      </c>
      <c r="M91" s="87">
        <v>3648629.78</v>
      </c>
      <c r="N91" s="87">
        <v>4253554.42</v>
      </c>
      <c r="O91" s="87">
        <v>3769936.82</v>
      </c>
      <c r="P91" s="87">
        <v>215355.98999999961</v>
      </c>
      <c r="Q91" s="87">
        <v>215355.98999999961</v>
      </c>
      <c r="R91" s="87">
        <v>215355.98999999961</v>
      </c>
      <c r="S91" s="112">
        <f t="shared" si="21"/>
        <v>29667451.669999998</v>
      </c>
      <c r="T91" s="463">
        <f t="shared" si="22"/>
        <v>0.52044508578345383</v>
      </c>
      <c r="V91" s="311"/>
    </row>
    <row r="92" spans="1:26">
      <c r="A92" s="116" t="str">
        <f t="shared" si="18"/>
        <v>7118p</v>
      </c>
      <c r="B92" s="586" t="str">
        <f>+VLOOKUP(LEFT($A92,LEN(A92)-1)*1,Master!$D$30:$G$229,4,FALSE)</f>
        <v>Ostali državni porezi</v>
      </c>
      <c r="C92" s="587"/>
      <c r="D92" s="587"/>
      <c r="E92" s="587"/>
      <c r="F92" s="587"/>
      <c r="G92" s="87">
        <v>821034.23</v>
      </c>
      <c r="H92" s="87">
        <v>868952.95</v>
      </c>
      <c r="I92" s="87">
        <v>953225.4</v>
      </c>
      <c r="J92" s="87">
        <v>1052043.6399999999</v>
      </c>
      <c r="K92" s="87">
        <v>936044.49</v>
      </c>
      <c r="L92" s="87">
        <v>1057933.1200000001</v>
      </c>
      <c r="M92" s="87">
        <v>1219008.31</v>
      </c>
      <c r="N92" s="87">
        <v>1147207.1299999999</v>
      </c>
      <c r="O92" s="87">
        <v>1053536.77</v>
      </c>
      <c r="P92" s="87">
        <v>932899.45666666597</v>
      </c>
      <c r="Q92" s="87">
        <v>932899.45666666597</v>
      </c>
      <c r="R92" s="87">
        <v>632899.45666666597</v>
      </c>
      <c r="S92" s="112">
        <f t="shared" si="21"/>
        <v>11607684.409999996</v>
      </c>
      <c r="T92" s="463">
        <f t="shared" si="22"/>
        <v>0.2036292963651673</v>
      </c>
      <c r="V92" s="311"/>
    </row>
    <row r="93" spans="1:26">
      <c r="A93" s="116" t="str">
        <f t="shared" si="18"/>
        <v>712p</v>
      </c>
      <c r="B93" s="592" t="str">
        <f>+VLOOKUP(LEFT($A93,LEN(A93)-1)*1,Master!$D$30:$G$229,4,FALSE)</f>
        <v>Doprinosi</v>
      </c>
      <c r="C93" s="593"/>
      <c r="D93" s="593"/>
      <c r="E93" s="593"/>
      <c r="F93" s="593"/>
      <c r="G93" s="81">
        <f>+SUM(G94:G97)</f>
        <v>11731802.159999998</v>
      </c>
      <c r="H93" s="81">
        <f t="shared" ref="H93:R93" si="23">+SUM(H94:H97)</f>
        <v>34984293.990000002</v>
      </c>
      <c r="I93" s="479">
        <f t="shared" si="23"/>
        <v>37056759.600000001</v>
      </c>
      <c r="J93" s="81">
        <f t="shared" si="23"/>
        <v>37592490.479999997</v>
      </c>
      <c r="K93" s="81">
        <f t="shared" si="23"/>
        <v>33463530.389999997</v>
      </c>
      <c r="L93" s="81">
        <f t="shared" si="23"/>
        <v>37796292.359999999</v>
      </c>
      <c r="M93" s="81">
        <f t="shared" si="23"/>
        <v>36710432.280000001</v>
      </c>
      <c r="N93" s="81">
        <f t="shared" si="23"/>
        <v>39015024.850000001</v>
      </c>
      <c r="O93" s="81">
        <f t="shared" si="23"/>
        <v>38998261.349999994</v>
      </c>
      <c r="P93" s="81">
        <f t="shared" si="23"/>
        <v>46105466.860000037</v>
      </c>
      <c r="Q93" s="81">
        <f t="shared" si="23"/>
        <v>45141802.740000039</v>
      </c>
      <c r="R93" s="82">
        <f t="shared" si="23"/>
        <v>79469130.979999989</v>
      </c>
      <c r="S93" s="113">
        <f t="shared" si="21"/>
        <v>478065288.03999996</v>
      </c>
      <c r="T93" s="464">
        <f t="shared" si="22"/>
        <v>8.3865217886464105</v>
      </c>
      <c r="V93" s="311"/>
    </row>
    <row r="94" spans="1:26">
      <c r="A94" s="116" t="str">
        <f t="shared" si="18"/>
        <v>7121p</v>
      </c>
      <c r="B94" s="586" t="str">
        <f>+VLOOKUP(LEFT($A94,LEN(A94)-1)*1,Master!$D$30:$G$229,4,FALSE)</f>
        <v>Doprinosi za penzijsko i invalidsko osiguranje</v>
      </c>
      <c r="C94" s="587"/>
      <c r="D94" s="587"/>
      <c r="E94" s="587"/>
      <c r="F94" s="587"/>
      <c r="G94" s="87">
        <v>7550452.8499999996</v>
      </c>
      <c r="H94" s="87">
        <v>24366605.109999999</v>
      </c>
      <c r="I94" s="87">
        <v>31891479.559999999</v>
      </c>
      <c r="J94" s="87">
        <v>32988975.75</v>
      </c>
      <c r="K94" s="87">
        <v>29598378.829999998</v>
      </c>
      <c r="L94" s="87">
        <v>33851315.109999999</v>
      </c>
      <c r="M94" s="87">
        <v>32996526.960000001</v>
      </c>
      <c r="N94" s="87">
        <v>35394821.75</v>
      </c>
      <c r="O94" s="87">
        <v>35762026.799999997</v>
      </c>
      <c r="P94" s="87">
        <v>41374533.736666702</v>
      </c>
      <c r="Q94" s="87">
        <v>40410869.616666704</v>
      </c>
      <c r="R94" s="87">
        <v>72638197.856666654</v>
      </c>
      <c r="S94" s="112">
        <f t="shared" si="21"/>
        <v>418824183.93000007</v>
      </c>
      <c r="T94" s="463">
        <f t="shared" si="22"/>
        <v>7.3472771021331846</v>
      </c>
      <c r="V94" s="311"/>
      <c r="W94" s="311"/>
    </row>
    <row r="95" spans="1:26">
      <c r="A95" s="116" t="str">
        <f t="shared" si="18"/>
        <v>7122p</v>
      </c>
      <c r="B95" s="586" t="str">
        <f>+VLOOKUP(LEFT($A95,LEN(A95)-1)*1,Master!$D$30:$G$229,4,FALSE)</f>
        <v>Doprinosi za zdravstveno osiguranje</v>
      </c>
      <c r="C95" s="587"/>
      <c r="D95" s="587"/>
      <c r="E95" s="587"/>
      <c r="F95" s="587"/>
      <c r="G95" s="87">
        <v>3618221.62</v>
      </c>
      <c r="H95" s="87">
        <v>8815681.4700000007</v>
      </c>
      <c r="I95" s="87">
        <v>2582574.44</v>
      </c>
      <c r="J95" s="87">
        <v>1899377.01</v>
      </c>
      <c r="K95" s="87">
        <v>1480944.7</v>
      </c>
      <c r="L95" s="87">
        <v>1150315.93</v>
      </c>
      <c r="M95" s="87">
        <v>951006.28</v>
      </c>
      <c r="N95" s="87">
        <v>823067.88</v>
      </c>
      <c r="O95" s="87">
        <v>668162.97</v>
      </c>
      <c r="P95" s="87">
        <v>162054.15333333486</v>
      </c>
      <c r="Q95" s="87">
        <v>162054.15333333501</v>
      </c>
      <c r="R95" s="87">
        <v>162054.15333333486</v>
      </c>
      <c r="S95" s="112">
        <f t="shared" si="21"/>
        <v>22475514.760000005</v>
      </c>
      <c r="T95" s="463">
        <f t="shared" si="22"/>
        <v>0.39427960774682491</v>
      </c>
      <c r="V95" s="311"/>
    </row>
    <row r="96" spans="1:26">
      <c r="A96" s="116" t="str">
        <f t="shared" si="18"/>
        <v>7123p</v>
      </c>
      <c r="B96" s="586" t="str">
        <f>+VLOOKUP(LEFT($A96,LEN(A96)-1)*1,Master!$D$30:$G$229,4,FALSE)</f>
        <v>Doprinosi za osiguranje od nezaposlenosti</v>
      </c>
      <c r="C96" s="587"/>
      <c r="D96" s="587"/>
      <c r="E96" s="587"/>
      <c r="F96" s="587"/>
      <c r="G96" s="87">
        <v>333527.59999999998</v>
      </c>
      <c r="H96" s="87">
        <v>1107968.99</v>
      </c>
      <c r="I96" s="87">
        <v>1459655.88</v>
      </c>
      <c r="J96" s="87">
        <v>1501790.24</v>
      </c>
      <c r="K96" s="87">
        <v>1379492.12</v>
      </c>
      <c r="L96" s="87">
        <v>1561408.27</v>
      </c>
      <c r="M96" s="87">
        <v>1571588.31</v>
      </c>
      <c r="N96" s="87">
        <v>1597593.61</v>
      </c>
      <c r="O96" s="87">
        <v>1507262.14</v>
      </c>
      <c r="P96" s="87">
        <v>2577754.3266666699</v>
      </c>
      <c r="Q96" s="87">
        <v>2677754.3266666699</v>
      </c>
      <c r="R96" s="87">
        <v>3377754.3266666699</v>
      </c>
      <c r="S96" s="112">
        <f t="shared" si="21"/>
        <v>20653550.140000008</v>
      </c>
      <c r="T96" s="463">
        <f t="shared" si="22"/>
        <v>0.36231755911865848</v>
      </c>
      <c r="V96" s="311"/>
    </row>
    <row r="97" spans="1:23">
      <c r="A97" s="116" t="str">
        <f t="shared" si="18"/>
        <v>7124p</v>
      </c>
      <c r="B97" s="586" t="str">
        <f>+VLOOKUP(LEFT($A97,LEN(A97)-1)*1,Master!$D$30:$G$229,4,FALSE)</f>
        <v>Ostali doprinosi</v>
      </c>
      <c r="C97" s="587"/>
      <c r="D97" s="587"/>
      <c r="E97" s="587"/>
      <c r="F97" s="587"/>
      <c r="G97" s="87">
        <v>229600.09</v>
      </c>
      <c r="H97" s="87">
        <v>694038.42</v>
      </c>
      <c r="I97" s="87">
        <v>1123049.72</v>
      </c>
      <c r="J97" s="87">
        <v>1202347.48</v>
      </c>
      <c r="K97" s="87">
        <v>1004714.74</v>
      </c>
      <c r="L97" s="87">
        <v>1233253.05</v>
      </c>
      <c r="M97" s="87">
        <v>1191310.73</v>
      </c>
      <c r="N97" s="87">
        <v>1199541.6100000001</v>
      </c>
      <c r="O97" s="87">
        <v>1060809.44</v>
      </c>
      <c r="P97" s="87">
        <v>1991124.6433333298</v>
      </c>
      <c r="Q97" s="87">
        <v>1891124.6433333298</v>
      </c>
      <c r="R97" s="87">
        <v>3291124.6433333298</v>
      </c>
      <c r="S97" s="112">
        <f t="shared" si="21"/>
        <v>16112039.209999993</v>
      </c>
      <c r="T97" s="463">
        <f t="shared" si="22"/>
        <v>0.28264751964774393</v>
      </c>
      <c r="V97" s="311"/>
    </row>
    <row r="98" spans="1:23">
      <c r="A98" s="116" t="str">
        <f t="shared" si="18"/>
        <v>713p</v>
      </c>
      <c r="B98" s="592" t="str">
        <f>+VLOOKUP(LEFT($A98,LEN(A98)-1)*1,Master!$D$30:$G$229,4,FALSE)</f>
        <v>Takse</v>
      </c>
      <c r="C98" s="593"/>
      <c r="D98" s="593"/>
      <c r="E98" s="593"/>
      <c r="F98" s="593"/>
      <c r="G98" s="83">
        <v>635258.53</v>
      </c>
      <c r="H98" s="83">
        <v>808672.01</v>
      </c>
      <c r="I98" s="83">
        <v>976895.25</v>
      </c>
      <c r="J98" s="83">
        <v>1014885.9700000001</v>
      </c>
      <c r="K98" s="83">
        <v>989967.5199999999</v>
      </c>
      <c r="L98" s="83">
        <v>1292686.0099999998</v>
      </c>
      <c r="M98" s="83">
        <v>1450241.7799999998</v>
      </c>
      <c r="N98" s="83">
        <v>1794328.3</v>
      </c>
      <c r="O98" s="83">
        <v>1183872.1599999999</v>
      </c>
      <c r="P98" s="83">
        <v>1076581.8733333331</v>
      </c>
      <c r="Q98" s="83">
        <v>876581.87333333003</v>
      </c>
      <c r="R98" s="83">
        <v>1276581.87333333</v>
      </c>
      <c r="S98" s="113">
        <f t="shared" si="21"/>
        <v>13376553.149999993</v>
      </c>
      <c r="T98" s="464">
        <f t="shared" si="22"/>
        <v>0.23465990369096892</v>
      </c>
      <c r="V98" s="311"/>
    </row>
    <row r="99" spans="1:23">
      <c r="A99" s="116" t="str">
        <f t="shared" si="18"/>
        <v>714p</v>
      </c>
      <c r="B99" s="592" t="str">
        <f>+VLOOKUP(LEFT($A99,LEN(A99)-1)*1,Master!$D$30:$G$229,4,FALSE)</f>
        <v>Naknade</v>
      </c>
      <c r="C99" s="593"/>
      <c r="D99" s="593"/>
      <c r="E99" s="593"/>
      <c r="F99" s="593"/>
      <c r="G99" s="83">
        <v>12538803.32</v>
      </c>
      <c r="H99" s="83">
        <v>2358745.7999999998</v>
      </c>
      <c r="I99" s="83">
        <v>2432089.7200000002</v>
      </c>
      <c r="J99" s="83">
        <v>3083781.29</v>
      </c>
      <c r="K99" s="83">
        <v>2678608.52</v>
      </c>
      <c r="L99" s="83">
        <v>4570368.01</v>
      </c>
      <c r="M99" s="83">
        <v>3736951.12</v>
      </c>
      <c r="N99" s="83">
        <v>3318573.4699999997</v>
      </c>
      <c r="O99" s="83">
        <v>9160845.5500000007</v>
      </c>
      <c r="P99" s="83">
        <v>3515025.5066666701</v>
      </c>
      <c r="Q99" s="83">
        <v>3115025.5066666701</v>
      </c>
      <c r="R99" s="83">
        <v>4215025.5066666696</v>
      </c>
      <c r="S99" s="113">
        <f t="shared" si="21"/>
        <v>54723843.32</v>
      </c>
      <c r="T99" s="464">
        <f t="shared" si="22"/>
        <v>0.96000005824152701</v>
      </c>
      <c r="V99" s="311"/>
    </row>
    <row r="100" spans="1:23">
      <c r="A100" s="116" t="str">
        <f t="shared" si="18"/>
        <v>715p</v>
      </c>
      <c r="B100" s="592" t="str">
        <f>+VLOOKUP(LEFT($A100,LEN(A100)-1)*1,Master!$D$30:$G$229,4,FALSE)</f>
        <v>Ostali prihodi</v>
      </c>
      <c r="C100" s="593"/>
      <c r="D100" s="593"/>
      <c r="E100" s="593"/>
      <c r="F100" s="593"/>
      <c r="G100" s="83">
        <v>1280630.6100000001</v>
      </c>
      <c r="H100" s="83">
        <v>1589565.7</v>
      </c>
      <c r="I100" s="83">
        <v>1733963.47</v>
      </c>
      <c r="J100" s="83">
        <v>3432683.27</v>
      </c>
      <c r="K100" s="83">
        <v>3422423.95</v>
      </c>
      <c r="L100" s="83">
        <v>2748963.77</v>
      </c>
      <c r="M100" s="83">
        <v>3152431.28</v>
      </c>
      <c r="N100" s="83">
        <v>3601917.47</v>
      </c>
      <c r="O100" s="83">
        <v>2166236.2000000002</v>
      </c>
      <c r="P100" s="83">
        <v>2305486.89</v>
      </c>
      <c r="Q100" s="83">
        <v>2005486.8900000001</v>
      </c>
      <c r="R100" s="83">
        <v>3205486.89</v>
      </c>
      <c r="S100" s="113">
        <f t="shared" si="21"/>
        <v>30645276.390000001</v>
      </c>
      <c r="T100" s="464">
        <f t="shared" si="22"/>
        <v>0.53759870167005819</v>
      </c>
      <c r="V100" s="311"/>
    </row>
    <row r="101" spans="1:23">
      <c r="A101" s="116" t="str">
        <f t="shared" si="18"/>
        <v>73p</v>
      </c>
      <c r="B101" s="592" t="str">
        <f>+VLOOKUP(LEFT($A101,LEN(A101)-1)*1,Master!$D$30:$G$229,4,FALSE)</f>
        <v>Primici od otplate kredita i sredstva prenesena iz prethodne godine</v>
      </c>
      <c r="C101" s="593"/>
      <c r="D101" s="593"/>
      <c r="E101" s="593"/>
      <c r="F101" s="593"/>
      <c r="G101" s="83">
        <v>124509.95</v>
      </c>
      <c r="H101" s="83">
        <v>574574.73</v>
      </c>
      <c r="I101" s="83">
        <v>672855.19</v>
      </c>
      <c r="J101" s="83">
        <v>750452.36</v>
      </c>
      <c r="K101" s="83">
        <v>894295.88</v>
      </c>
      <c r="L101" s="83">
        <v>3753999.56</v>
      </c>
      <c r="M101" s="83">
        <v>308101.69</v>
      </c>
      <c r="N101" s="83">
        <v>1524959.660000002</v>
      </c>
      <c r="O101" s="83">
        <v>1144155.6099999999</v>
      </c>
      <c r="P101" s="83">
        <v>0</v>
      </c>
      <c r="Q101" s="83">
        <v>0</v>
      </c>
      <c r="R101" s="83">
        <v>0</v>
      </c>
      <c r="S101" s="113">
        <f t="shared" si="21"/>
        <v>9747904.6300000027</v>
      </c>
      <c r="T101" s="464">
        <f t="shared" si="22"/>
        <v>0.17100387043014531</v>
      </c>
      <c r="V101" s="311"/>
      <c r="W101" s="311"/>
    </row>
    <row r="102" spans="1:23" ht="13.5" thickBot="1">
      <c r="A102" s="116" t="str">
        <f t="shared" si="18"/>
        <v>74p</v>
      </c>
      <c r="B102" s="588" t="str">
        <f>+VLOOKUP(LEFT($A102,LEN(A102)-1)*1,Master!$D$30:$G$229,4,FALSE)</f>
        <v>Donacije i transferi</v>
      </c>
      <c r="C102" s="589"/>
      <c r="D102" s="589"/>
      <c r="E102" s="589"/>
      <c r="F102" s="589"/>
      <c r="G102" s="83">
        <v>944706.6</v>
      </c>
      <c r="H102" s="83">
        <v>1117937.32</v>
      </c>
      <c r="I102" s="83">
        <v>4945090.66</v>
      </c>
      <c r="J102" s="83">
        <v>2104525.41</v>
      </c>
      <c r="K102" s="83">
        <v>651019.71</v>
      </c>
      <c r="L102" s="83">
        <v>3347743.2</v>
      </c>
      <c r="M102" s="83">
        <v>1853223.08</v>
      </c>
      <c r="N102" s="83">
        <v>6896634.3600000003</v>
      </c>
      <c r="O102" s="83">
        <v>1689253.82</v>
      </c>
      <c r="P102" s="83">
        <v>4972757.6133333296</v>
      </c>
      <c r="Q102" s="83">
        <v>8572757.6133333296</v>
      </c>
      <c r="R102" s="83">
        <v>9772757.6133333296</v>
      </c>
      <c r="S102" s="114">
        <f t="shared" si="21"/>
        <v>46868406.999999985</v>
      </c>
      <c r="T102" s="465">
        <f t="shared" si="22"/>
        <v>0.82219505648726388</v>
      </c>
      <c r="V102" s="311"/>
    </row>
    <row r="103" spans="1:23" ht="13.5" thickBot="1">
      <c r="A103" s="116" t="str">
        <f t="shared" si="18"/>
        <v>4p</v>
      </c>
      <c r="B103" s="570" t="str">
        <f>+VLOOKUP(LEFT($A103,LEN(A103)-1)*1,Master!$D$30:$G$229,4,FALSE)</f>
        <v>Izdaci budžeta</v>
      </c>
      <c r="C103" s="571"/>
      <c r="D103" s="571"/>
      <c r="E103" s="571"/>
      <c r="F103" s="571"/>
      <c r="G103" s="93">
        <f t="shared" ref="G103:R103" si="24">+G104+G114+G120+SUM(G121:G125)</f>
        <v>135523250.91000003</v>
      </c>
      <c r="H103" s="93">
        <f t="shared" si="24"/>
        <v>150834089.17000002</v>
      </c>
      <c r="I103" s="93">
        <f t="shared" si="24"/>
        <v>152224116.23999998</v>
      </c>
      <c r="J103" s="93">
        <f t="shared" si="24"/>
        <v>202240908.68999994</v>
      </c>
      <c r="K103" s="93">
        <f t="shared" si="24"/>
        <v>146275241.75</v>
      </c>
      <c r="L103" s="93">
        <f t="shared" si="24"/>
        <v>179868475.11000001</v>
      </c>
      <c r="M103" s="93">
        <f t="shared" si="24"/>
        <v>178564947.84</v>
      </c>
      <c r="N103" s="93">
        <f t="shared" si="24"/>
        <v>147040975.11000001</v>
      </c>
      <c r="O103" s="93">
        <f t="shared" si="24"/>
        <v>202134465.49000001</v>
      </c>
      <c r="P103" s="93">
        <f t="shared" si="24"/>
        <v>289006911.81666666</v>
      </c>
      <c r="Q103" s="93">
        <f t="shared" si="24"/>
        <v>289006911.81666666</v>
      </c>
      <c r="R103" s="93">
        <f t="shared" si="24"/>
        <v>311543750.08666664</v>
      </c>
      <c r="S103" s="450">
        <f>+SUM(G103:R103)</f>
        <v>2384264044.0300002</v>
      </c>
      <c r="T103" s="477">
        <f t="shared" si="22"/>
        <v>41.826258578871659</v>
      </c>
      <c r="V103" s="291"/>
    </row>
    <row r="104" spans="1:23">
      <c r="A104" s="116" t="str">
        <f t="shared" si="18"/>
        <v>41p</v>
      </c>
      <c r="B104" s="590" t="str">
        <f>+VLOOKUP(LEFT($A104,LEN(A104)-1)*1,Master!$D$30:$G$229,4,FALSE)</f>
        <v>Tekući izdaci</v>
      </c>
      <c r="C104" s="591"/>
      <c r="D104" s="591"/>
      <c r="E104" s="591"/>
      <c r="F104" s="591"/>
      <c r="G104" s="85">
        <f t="shared" ref="G104:R104" si="25">+SUM(G105:G113)</f>
        <v>50898622.75</v>
      </c>
      <c r="H104" s="85">
        <f t="shared" si="25"/>
        <v>61674016.410000004</v>
      </c>
      <c r="I104" s="85">
        <f t="shared" si="25"/>
        <v>59813922.179999992</v>
      </c>
      <c r="J104" s="85">
        <f t="shared" si="25"/>
        <v>96816184.329999983</v>
      </c>
      <c r="K104" s="85">
        <f t="shared" si="25"/>
        <v>58712954.390000008</v>
      </c>
      <c r="L104" s="85">
        <f t="shared" si="25"/>
        <v>71887625.940000013</v>
      </c>
      <c r="M104" s="85">
        <f t="shared" si="25"/>
        <v>67839356.109999999</v>
      </c>
      <c r="N104" s="85">
        <f t="shared" si="25"/>
        <v>64016075.760000005</v>
      </c>
      <c r="O104" s="85">
        <f t="shared" si="25"/>
        <v>80374470.550000012</v>
      </c>
      <c r="P104" s="85">
        <f t="shared" si="25"/>
        <v>107720251.61000003</v>
      </c>
      <c r="Q104" s="85">
        <f t="shared" si="25"/>
        <v>107720251.61000003</v>
      </c>
      <c r="R104" s="86">
        <f t="shared" si="25"/>
        <v>130257088.88000003</v>
      </c>
      <c r="S104" s="111">
        <f t="shared" si="21"/>
        <v>957730820.51999998</v>
      </c>
      <c r="T104" s="462">
        <f t="shared" si="22"/>
        <v>16.801116071152901</v>
      </c>
      <c r="V104" s="291"/>
      <c r="W104" s="291"/>
    </row>
    <row r="105" spans="1:23">
      <c r="A105" s="116" t="str">
        <f t="shared" si="18"/>
        <v>411p</v>
      </c>
      <c r="B105" s="586" t="str">
        <f>+VLOOKUP(LEFT($A105,LEN(A105)-1)*1,Master!$D$30:$G$229,4,FALSE)</f>
        <v>Bruto zarade i doprinosi na teret poslodavca</v>
      </c>
      <c r="C105" s="587"/>
      <c r="D105" s="587"/>
      <c r="E105" s="587"/>
      <c r="F105" s="587"/>
      <c r="G105" s="87">
        <v>44240125.009999998</v>
      </c>
      <c r="H105" s="87">
        <v>44550830.43</v>
      </c>
      <c r="I105" s="87">
        <v>40375934.009999998</v>
      </c>
      <c r="J105" s="87">
        <v>46977114.019999973</v>
      </c>
      <c r="K105" s="87">
        <v>41754372.079999998</v>
      </c>
      <c r="L105" s="87">
        <v>47101871.300000019</v>
      </c>
      <c r="M105" s="87">
        <v>44920963.490000002</v>
      </c>
      <c r="N105" s="87">
        <v>43889720.369999997</v>
      </c>
      <c r="O105" s="87">
        <v>44535467.409999996</v>
      </c>
      <c r="P105" s="87">
        <v>53967463.813333347</v>
      </c>
      <c r="Q105" s="87">
        <v>53967463.813333347</v>
      </c>
      <c r="R105" s="87">
        <v>53967463.813333347</v>
      </c>
      <c r="S105" s="112">
        <f t="shared" si="21"/>
        <v>560248789.56000006</v>
      </c>
      <c r="T105" s="463">
        <f t="shared" si="22"/>
        <v>9.828236431829346</v>
      </c>
      <c r="V105" s="311"/>
    </row>
    <row r="106" spans="1:23">
      <c r="A106" s="116" t="str">
        <f t="shared" si="18"/>
        <v>412p</v>
      </c>
      <c r="B106" s="586" t="str">
        <f>+VLOOKUP(LEFT($A106,LEN(A106)-1)*1,Master!$D$30:$G$229,4,FALSE)</f>
        <v>Ostala lična primanja</v>
      </c>
      <c r="C106" s="587"/>
      <c r="D106" s="587"/>
      <c r="E106" s="587"/>
      <c r="F106" s="587"/>
      <c r="G106" s="87">
        <v>137001.32999999999</v>
      </c>
      <c r="H106" s="87">
        <v>1212395.8600000001</v>
      </c>
      <c r="I106" s="87">
        <v>946225.55</v>
      </c>
      <c r="J106" s="87">
        <v>1448549.91</v>
      </c>
      <c r="K106" s="87">
        <v>1078145.3399999999</v>
      </c>
      <c r="L106" s="87">
        <v>2203226.2300000004</v>
      </c>
      <c r="M106" s="87">
        <v>1651284.02</v>
      </c>
      <c r="N106" s="87">
        <v>1322412.92</v>
      </c>
      <c r="O106" s="87">
        <v>1530315.4199999992</v>
      </c>
      <c r="P106" s="87">
        <v>2596726.726666667</v>
      </c>
      <c r="Q106" s="87">
        <v>2596726.726666667</v>
      </c>
      <c r="R106" s="87">
        <v>2586888.726666667</v>
      </c>
      <c r="S106" s="112">
        <f t="shared" si="21"/>
        <v>19309898.760000002</v>
      </c>
      <c r="T106" s="463">
        <f t="shared" si="22"/>
        <v>0.33874638200828017</v>
      </c>
      <c r="V106" s="311"/>
    </row>
    <row r="107" spans="1:23">
      <c r="A107" s="116" t="str">
        <f t="shared" si="18"/>
        <v>413p</v>
      </c>
      <c r="B107" s="586" t="str">
        <f>+VLOOKUP(LEFT($A107,LEN(A107)-1)*1,Master!$D$30:$G$229,4,FALSE)</f>
        <v>Rashodi za materijal</v>
      </c>
      <c r="C107" s="587"/>
      <c r="D107" s="587"/>
      <c r="E107" s="587"/>
      <c r="F107" s="587"/>
      <c r="G107" s="87">
        <v>140825.03</v>
      </c>
      <c r="H107" s="87">
        <v>3489117.82</v>
      </c>
      <c r="I107" s="87">
        <v>2628375.67</v>
      </c>
      <c r="J107" s="87">
        <v>2038640.9</v>
      </c>
      <c r="K107" s="87">
        <v>1012773.5900000001</v>
      </c>
      <c r="L107" s="87">
        <v>4898255.55</v>
      </c>
      <c r="M107" s="87">
        <v>2338020.8000000012</v>
      </c>
      <c r="N107" s="87">
        <v>4632464.3099999996</v>
      </c>
      <c r="O107" s="87">
        <v>2320647.6999999997</v>
      </c>
      <c r="P107" s="87">
        <v>8236382.3600000003</v>
      </c>
      <c r="Q107" s="87">
        <v>8236382.3600000003</v>
      </c>
      <c r="R107" s="87">
        <v>8210640.7600000063</v>
      </c>
      <c r="S107" s="112">
        <f t="shared" si="21"/>
        <v>48182526.850000001</v>
      </c>
      <c r="T107" s="463">
        <f t="shared" si="22"/>
        <v>0.84524817293523258</v>
      </c>
      <c r="V107" s="311"/>
    </row>
    <row r="108" spans="1:23">
      <c r="A108" s="116" t="str">
        <f t="shared" si="18"/>
        <v>414p</v>
      </c>
      <c r="B108" s="586" t="str">
        <f>+VLOOKUP(LEFT($A108,LEN(A108)-1)*1,Master!$D$30:$G$229,4,FALSE)</f>
        <v>Rashodi za usluge</v>
      </c>
      <c r="C108" s="587"/>
      <c r="D108" s="587"/>
      <c r="E108" s="587"/>
      <c r="F108" s="587"/>
      <c r="G108" s="87">
        <v>1088181.68</v>
      </c>
      <c r="H108" s="87">
        <v>2912682.95</v>
      </c>
      <c r="I108" s="87">
        <v>4471137.08</v>
      </c>
      <c r="J108" s="87">
        <v>6152655.29</v>
      </c>
      <c r="K108" s="87">
        <v>2627348.3200000003</v>
      </c>
      <c r="L108" s="87">
        <v>5667722.6900000004</v>
      </c>
      <c r="M108" s="87">
        <v>3971417.36</v>
      </c>
      <c r="N108" s="87">
        <v>4243743.3099999996</v>
      </c>
      <c r="O108" s="87">
        <v>4864024.1500000004</v>
      </c>
      <c r="P108" s="87">
        <v>10058637.546666674</v>
      </c>
      <c r="Q108" s="87">
        <v>10058637.546666674</v>
      </c>
      <c r="R108" s="87">
        <v>10058637.546666674</v>
      </c>
      <c r="S108" s="112">
        <f t="shared" si="21"/>
        <v>66174825.470000021</v>
      </c>
      <c r="T108" s="463">
        <f t="shared" si="22"/>
        <v>1.1608803850606979</v>
      </c>
      <c r="V108" s="311"/>
    </row>
    <row r="109" spans="1:23">
      <c r="A109" s="116" t="str">
        <f t="shared" si="18"/>
        <v>415p</v>
      </c>
      <c r="B109" s="586" t="str">
        <f>+VLOOKUP(LEFT($A109,LEN(A109)-1)*1,Master!$D$30:$G$229,4,FALSE)</f>
        <v>Rashodi za tekuće održavanje</v>
      </c>
      <c r="C109" s="587"/>
      <c r="D109" s="587"/>
      <c r="E109" s="587"/>
      <c r="F109" s="587"/>
      <c r="G109" s="87">
        <v>51153.02</v>
      </c>
      <c r="H109" s="87">
        <v>1786959.03</v>
      </c>
      <c r="I109" s="87">
        <v>1812618.69</v>
      </c>
      <c r="J109" s="87">
        <v>1718005.5900000003</v>
      </c>
      <c r="K109" s="87">
        <v>1522624.21</v>
      </c>
      <c r="L109" s="87">
        <v>1758456.5100000002</v>
      </c>
      <c r="M109" s="87">
        <v>1898548.19</v>
      </c>
      <c r="N109" s="87">
        <v>1129451.4900000002</v>
      </c>
      <c r="O109" s="87">
        <v>2940859.11</v>
      </c>
      <c r="P109" s="87">
        <v>4461159.9499999993</v>
      </c>
      <c r="Q109" s="87">
        <v>4461159.9499999993</v>
      </c>
      <c r="R109" s="87">
        <v>4461159.9499999993</v>
      </c>
      <c r="S109" s="112">
        <f t="shared" si="21"/>
        <v>28002155.689999998</v>
      </c>
      <c r="T109" s="463">
        <f t="shared" si="22"/>
        <v>0.49123141691811095</v>
      </c>
      <c r="V109" s="311"/>
    </row>
    <row r="110" spans="1:23">
      <c r="A110" s="116" t="str">
        <f t="shared" si="18"/>
        <v>416p</v>
      </c>
      <c r="B110" s="586" t="str">
        <f>+VLOOKUP(LEFT($A110,LEN(A110)-1)*1,Master!$D$30:$G$229,4,FALSE)</f>
        <v>Kamate</v>
      </c>
      <c r="C110" s="587"/>
      <c r="D110" s="587"/>
      <c r="E110" s="587"/>
      <c r="F110" s="587"/>
      <c r="G110" s="87">
        <v>3854762.25</v>
      </c>
      <c r="H110" s="87">
        <v>1270344.19</v>
      </c>
      <c r="I110" s="87">
        <v>949082.56</v>
      </c>
      <c r="J110" s="87">
        <v>27195621.07</v>
      </c>
      <c r="K110" s="87">
        <v>4588473.78</v>
      </c>
      <c r="L110" s="87">
        <v>1216799.03</v>
      </c>
      <c r="M110" s="87">
        <v>3784062.82</v>
      </c>
      <c r="N110" s="87">
        <v>1331665.0299999998</v>
      </c>
      <c r="O110" s="87">
        <v>13564532.83</v>
      </c>
      <c r="P110" s="87">
        <v>4036426.7599999993</v>
      </c>
      <c r="Q110" s="87">
        <v>4036426.7599999993</v>
      </c>
      <c r="R110" s="87">
        <v>26608843.629999999</v>
      </c>
      <c r="S110" s="112">
        <f t="shared" si="21"/>
        <v>92437040.709999993</v>
      </c>
      <c r="T110" s="463">
        <f t="shared" si="22"/>
        <v>1.6215886729001472</v>
      </c>
      <c r="V110" s="311"/>
    </row>
    <row r="111" spans="1:23">
      <c r="A111" s="116" t="str">
        <f t="shared" si="18"/>
        <v>417p</v>
      </c>
      <c r="B111" s="586" t="str">
        <f>+VLOOKUP(LEFT($A111,LEN(A111)-1)*1,Master!$D$30:$G$229,4,FALSE)</f>
        <v>Renta</v>
      </c>
      <c r="C111" s="587"/>
      <c r="D111" s="587"/>
      <c r="E111" s="587"/>
      <c r="F111" s="587"/>
      <c r="G111" s="87">
        <v>222069.04</v>
      </c>
      <c r="H111" s="87">
        <v>743329.49</v>
      </c>
      <c r="I111" s="87">
        <v>821318.4</v>
      </c>
      <c r="J111" s="87">
        <v>1247632.42</v>
      </c>
      <c r="K111" s="87">
        <v>498993.7</v>
      </c>
      <c r="L111" s="87">
        <v>995508.2</v>
      </c>
      <c r="M111" s="87">
        <v>1038790.1100000001</v>
      </c>
      <c r="N111" s="87">
        <v>884250.45000000007</v>
      </c>
      <c r="O111" s="87">
        <v>1095625.8400000003</v>
      </c>
      <c r="P111" s="87">
        <v>1375364.1133333328</v>
      </c>
      <c r="Q111" s="87">
        <v>1375364.1133333328</v>
      </c>
      <c r="R111" s="87">
        <v>1375364.1133333328</v>
      </c>
      <c r="S111" s="112">
        <f t="shared" si="21"/>
        <v>11673609.99</v>
      </c>
      <c r="T111" s="463">
        <f t="shared" si="22"/>
        <v>0.20478580432952073</v>
      </c>
      <c r="V111" s="311"/>
    </row>
    <row r="112" spans="1:23">
      <c r="A112" s="116" t="str">
        <f t="shared" si="18"/>
        <v>418p</v>
      </c>
      <c r="B112" s="586" t="str">
        <f>+VLOOKUP(LEFT($A112,LEN(A112)-1)*1,Master!$D$30:$G$229,4,FALSE)</f>
        <v>Subvencije</v>
      </c>
      <c r="C112" s="587"/>
      <c r="D112" s="587"/>
      <c r="E112" s="587"/>
      <c r="F112" s="587"/>
      <c r="G112" s="87">
        <v>511006.04</v>
      </c>
      <c r="H112" s="87">
        <v>2686343.5</v>
      </c>
      <c r="I112" s="87">
        <v>4730535.5999999996</v>
      </c>
      <c r="J112" s="87">
        <v>6972651.8400000008</v>
      </c>
      <c r="K112" s="87">
        <v>2647649.44</v>
      </c>
      <c r="L112" s="87">
        <v>3319529.0100000002</v>
      </c>
      <c r="M112" s="87">
        <v>3592301.72</v>
      </c>
      <c r="N112" s="87">
        <v>3747108.6899999995</v>
      </c>
      <c r="O112" s="87">
        <v>6868760.4699999997</v>
      </c>
      <c r="P112" s="87">
        <v>10584907.556666669</v>
      </c>
      <c r="Q112" s="87">
        <v>10584907.556666669</v>
      </c>
      <c r="R112" s="87">
        <v>10584907.556666669</v>
      </c>
      <c r="S112" s="112">
        <f t="shared" si="21"/>
        <v>66830608.980000019</v>
      </c>
      <c r="T112" s="463">
        <f t="shared" si="22"/>
        <v>1.1723845516104137</v>
      </c>
      <c r="V112" s="311"/>
    </row>
    <row r="113" spans="1:22">
      <c r="A113" s="116" t="str">
        <f t="shared" si="18"/>
        <v>419p</v>
      </c>
      <c r="B113" s="586" t="str">
        <f>+VLOOKUP(LEFT($A113,LEN(A113)-1)*1,Master!$D$30:$G$229,4,FALSE)</f>
        <v>Ostali izdaci</v>
      </c>
      <c r="C113" s="587"/>
      <c r="D113" s="587"/>
      <c r="E113" s="587"/>
      <c r="F113" s="587"/>
      <c r="G113" s="87">
        <v>653499.35</v>
      </c>
      <c r="H113" s="87">
        <v>3022013.14</v>
      </c>
      <c r="I113" s="87">
        <v>3078694.62</v>
      </c>
      <c r="J113" s="87">
        <v>3065313.290000001</v>
      </c>
      <c r="K113" s="87">
        <v>2982573.9299999988</v>
      </c>
      <c r="L113" s="87">
        <v>4726257.419999999</v>
      </c>
      <c r="M113" s="87">
        <v>4643967.5999999996</v>
      </c>
      <c r="N113" s="87">
        <v>2835259.1899999995</v>
      </c>
      <c r="O113" s="87">
        <v>2654237.6199999996</v>
      </c>
      <c r="P113" s="87">
        <v>12403182.783333331</v>
      </c>
      <c r="Q113" s="87">
        <v>12403182.783333331</v>
      </c>
      <c r="R113" s="87">
        <v>12403182.783333331</v>
      </c>
      <c r="S113" s="112">
        <f t="shared" si="21"/>
        <v>64871364.50999999</v>
      </c>
      <c r="T113" s="463">
        <f t="shared" si="22"/>
        <v>1.1380142535611533</v>
      </c>
      <c r="V113" s="311"/>
    </row>
    <row r="114" spans="1:22">
      <c r="A114" s="116" t="str">
        <f t="shared" si="18"/>
        <v>42p</v>
      </c>
      <c r="B114" s="582" t="str">
        <f>+VLOOKUP(LEFT($A114,LEN(A114)-1)*1,Master!$D$30:$G$229,4,FALSE)</f>
        <v>Transferi za socijalnu zaštitu</v>
      </c>
      <c r="C114" s="583"/>
      <c r="D114" s="583"/>
      <c r="E114" s="583"/>
      <c r="F114" s="583"/>
      <c r="G114" s="84">
        <f t="shared" ref="G114:R114" si="26">+SUM(G115:G119)</f>
        <v>43461857.619999997</v>
      </c>
      <c r="H114" s="84">
        <f t="shared" si="26"/>
        <v>49030666.979999997</v>
      </c>
      <c r="I114" s="84">
        <f t="shared" si="26"/>
        <v>50283198.670000002</v>
      </c>
      <c r="J114" s="84">
        <f t="shared" si="26"/>
        <v>49157743.099999957</v>
      </c>
      <c r="K114" s="84">
        <f t="shared" si="26"/>
        <v>51083547.040000007</v>
      </c>
      <c r="L114" s="84">
        <f t="shared" si="26"/>
        <v>53813247.140000008</v>
      </c>
      <c r="M114" s="84">
        <f t="shared" si="26"/>
        <v>55873905.100000001</v>
      </c>
      <c r="N114" s="84">
        <f t="shared" si="26"/>
        <v>54392412.859999999</v>
      </c>
      <c r="O114" s="84">
        <f t="shared" si="26"/>
        <v>55114295.500000015</v>
      </c>
      <c r="P114" s="84">
        <f t="shared" si="26"/>
        <v>78609110.530000016</v>
      </c>
      <c r="Q114" s="84">
        <f t="shared" si="26"/>
        <v>78609110.530000016</v>
      </c>
      <c r="R114" s="84">
        <f t="shared" si="26"/>
        <v>78609110.530000016</v>
      </c>
      <c r="S114" s="113">
        <f t="shared" si="21"/>
        <v>698038205.5999999</v>
      </c>
      <c r="T114" s="464">
        <f t="shared" si="22"/>
        <v>12.245424980703106</v>
      </c>
      <c r="V114" s="311"/>
    </row>
    <row r="115" spans="1:22">
      <c r="A115" s="116" t="str">
        <f t="shared" si="18"/>
        <v>421p</v>
      </c>
      <c r="B115" s="586" t="str">
        <f>+VLOOKUP(LEFT($A115,LEN(A115)-1)*1,Master!$D$30:$G$229,4,FALSE)</f>
        <v>Prava iz oblasti socijalne zaštite</v>
      </c>
      <c r="C115" s="587"/>
      <c r="D115" s="587"/>
      <c r="E115" s="587"/>
      <c r="F115" s="587"/>
      <c r="G115" s="87">
        <v>8200110.4000000004</v>
      </c>
      <c r="H115" s="87">
        <v>8172331.5999999996</v>
      </c>
      <c r="I115" s="87">
        <v>8605052.6899999995</v>
      </c>
      <c r="J115" s="87">
        <v>8606006.9800000004</v>
      </c>
      <c r="K115" s="87">
        <v>11845768.039999999</v>
      </c>
      <c r="L115" s="87">
        <v>11977864.439999999</v>
      </c>
      <c r="M115" s="87">
        <v>11864302.59</v>
      </c>
      <c r="N115" s="87">
        <v>12016260.289999999</v>
      </c>
      <c r="O115" s="87">
        <v>12319371.459999999</v>
      </c>
      <c r="P115" s="87">
        <v>17084310.503333334</v>
      </c>
      <c r="Q115" s="87">
        <v>17084310.503333334</v>
      </c>
      <c r="R115" s="87">
        <v>17084310.503333334</v>
      </c>
      <c r="S115" s="112">
        <f t="shared" si="21"/>
        <v>144860000</v>
      </c>
      <c r="T115" s="463">
        <f t="shared" si="22"/>
        <v>2.5412251771805487</v>
      </c>
      <c r="V115" s="311"/>
    </row>
    <row r="116" spans="1:22">
      <c r="A116" s="116" t="str">
        <f t="shared" si="18"/>
        <v>422p</v>
      </c>
      <c r="B116" s="586" t="str">
        <f>+VLOOKUP(LEFT($A116,LEN(A116)-1)*1,Master!$D$30:$G$229,4,FALSE)</f>
        <v>Sredstva za tehnološke viškove</v>
      </c>
      <c r="C116" s="587"/>
      <c r="D116" s="587"/>
      <c r="E116" s="587"/>
      <c r="F116" s="587"/>
      <c r="G116" s="87">
        <v>0</v>
      </c>
      <c r="H116" s="87">
        <v>2498429.92</v>
      </c>
      <c r="I116" s="87">
        <v>2440778.17</v>
      </c>
      <c r="J116" s="87">
        <v>2410229.4499999997</v>
      </c>
      <c r="K116" s="87">
        <v>2318949.15</v>
      </c>
      <c r="L116" s="87">
        <v>2335079.0099999998</v>
      </c>
      <c r="M116" s="87">
        <v>2195965.0099999998</v>
      </c>
      <c r="N116" s="87">
        <v>2189311.09</v>
      </c>
      <c r="O116" s="87">
        <v>2177499.94</v>
      </c>
      <c r="P116" s="87">
        <v>3824082.1866666665</v>
      </c>
      <c r="Q116" s="87">
        <v>3824082.1866666665</v>
      </c>
      <c r="R116" s="87">
        <v>3824082.1866666665</v>
      </c>
      <c r="S116" s="112">
        <f t="shared" si="21"/>
        <v>30038488.300000001</v>
      </c>
      <c r="T116" s="463">
        <f t="shared" si="22"/>
        <v>0.52695404357588937</v>
      </c>
      <c r="V116" s="311"/>
    </row>
    <row r="117" spans="1:22">
      <c r="A117" s="116" t="str">
        <f t="shared" si="18"/>
        <v>423p</v>
      </c>
      <c r="B117" s="586" t="str">
        <f>+VLOOKUP(LEFT($A117,LEN(A117)-1)*1,Master!$D$30:$G$229,4,FALSE)</f>
        <v>Prava iz oblasti penzijskog i invalidskog osiguranja</v>
      </c>
      <c r="C117" s="587"/>
      <c r="D117" s="587"/>
      <c r="E117" s="587"/>
      <c r="F117" s="587"/>
      <c r="G117" s="87">
        <v>35149513.420000002</v>
      </c>
      <c r="H117" s="87">
        <v>36354430.689999998</v>
      </c>
      <c r="I117" s="87">
        <v>36069832.590000004</v>
      </c>
      <c r="J117" s="87">
        <v>36181040.329999961</v>
      </c>
      <c r="K117" s="87">
        <v>35168591.790000007</v>
      </c>
      <c r="L117" s="87">
        <v>37894311.820000008</v>
      </c>
      <c r="M117" s="87">
        <v>37880340.310000002</v>
      </c>
      <c r="N117" s="87">
        <v>38069530.059999995</v>
      </c>
      <c r="O117" s="87">
        <v>38038058.110000014</v>
      </c>
      <c r="P117" s="87">
        <v>54747985.703333363</v>
      </c>
      <c r="Q117" s="87">
        <v>54747985.703333363</v>
      </c>
      <c r="R117" s="87">
        <v>54747985.703333363</v>
      </c>
      <c r="S117" s="112">
        <f t="shared" si="21"/>
        <v>495049606.23000014</v>
      </c>
      <c r="T117" s="463">
        <f t="shared" si="22"/>
        <v>8.6844713744649518</v>
      </c>
      <c r="V117" s="311"/>
    </row>
    <row r="118" spans="1:22">
      <c r="A118" s="116" t="str">
        <f t="shared" si="18"/>
        <v>424p</v>
      </c>
      <c r="B118" s="586" t="str">
        <f>+VLOOKUP(LEFT($A118,LEN(A118)-1)*1,Master!$D$30:$G$229,4,FALSE)</f>
        <v>Ostala prava iz oblasti zdravstvene zaštite</v>
      </c>
      <c r="C118" s="587"/>
      <c r="D118" s="587"/>
      <c r="E118" s="587"/>
      <c r="F118" s="587"/>
      <c r="G118" s="87">
        <v>103430</v>
      </c>
      <c r="H118" s="87">
        <v>1069904.71</v>
      </c>
      <c r="I118" s="87">
        <v>1609138.94</v>
      </c>
      <c r="J118" s="87">
        <v>1370159.43</v>
      </c>
      <c r="K118" s="87">
        <v>659345.03</v>
      </c>
      <c r="L118" s="87">
        <v>804103.22</v>
      </c>
      <c r="M118" s="87">
        <v>2611388.4699999997</v>
      </c>
      <c r="N118" s="87">
        <v>1036291.4600000001</v>
      </c>
      <c r="O118" s="87">
        <v>1292962.81</v>
      </c>
      <c r="P118" s="87">
        <v>1374407.6299999994</v>
      </c>
      <c r="Q118" s="87">
        <v>1374407.6299999994</v>
      </c>
      <c r="R118" s="87">
        <v>1374407.6299999994</v>
      </c>
      <c r="S118" s="112">
        <f t="shared" si="21"/>
        <v>14679946.959999997</v>
      </c>
      <c r="T118" s="463">
        <f t="shared" si="22"/>
        <v>0.25752485720300322</v>
      </c>
      <c r="V118" s="311"/>
    </row>
    <row r="119" spans="1:22">
      <c r="A119" s="116" t="str">
        <f t="shared" si="18"/>
        <v>425p</v>
      </c>
      <c r="B119" s="586" t="str">
        <f>+VLOOKUP(LEFT($A119,LEN(A119)-1)*1,Master!$D$30:$G$229,4,FALSE)</f>
        <v>Ostala prava iz zdravstvenog osiguranja</v>
      </c>
      <c r="C119" s="587"/>
      <c r="D119" s="587"/>
      <c r="E119" s="587"/>
      <c r="F119" s="587"/>
      <c r="G119" s="87">
        <v>8803.7999999999993</v>
      </c>
      <c r="H119" s="87">
        <v>935570.06</v>
      </c>
      <c r="I119" s="87">
        <v>1558396.28</v>
      </c>
      <c r="J119" s="87">
        <v>590306.91</v>
      </c>
      <c r="K119" s="87">
        <v>1090893.03</v>
      </c>
      <c r="L119" s="87">
        <v>801888.65</v>
      </c>
      <c r="M119" s="87">
        <v>1321908.72</v>
      </c>
      <c r="N119" s="87">
        <v>1081019.96</v>
      </c>
      <c r="O119" s="87">
        <v>1286403.18</v>
      </c>
      <c r="P119" s="87">
        <v>1578324.5066666668</v>
      </c>
      <c r="Q119" s="87">
        <v>1578324.5066666668</v>
      </c>
      <c r="R119" s="87">
        <v>1578324.5066666668</v>
      </c>
      <c r="S119" s="112">
        <f t="shared" si="21"/>
        <v>13410164.110000003</v>
      </c>
      <c r="T119" s="463">
        <f t="shared" si="22"/>
        <v>0.23524952827871734</v>
      </c>
      <c r="V119" s="311"/>
    </row>
    <row r="120" spans="1:22">
      <c r="A120" s="116" t="str">
        <f t="shared" si="18"/>
        <v>43p</v>
      </c>
      <c r="B120" s="584" t="str">
        <f>+VLOOKUP(LEFT($A120,LEN(A120)-1)*1,Master!$D$30:$G$229,4,FALSE)</f>
        <v xml:space="preserve">Transferi institucijama, pojedincima, nevladinom i javnom sektoru </v>
      </c>
      <c r="C120" s="585"/>
      <c r="D120" s="585"/>
      <c r="E120" s="585"/>
      <c r="F120" s="585"/>
      <c r="G120" s="83">
        <v>7351440.8700000001</v>
      </c>
      <c r="H120" s="83">
        <v>23788257.170000002</v>
      </c>
      <c r="I120" s="83">
        <v>30704364.969999999</v>
      </c>
      <c r="J120" s="83">
        <v>28731832.689999998</v>
      </c>
      <c r="K120" s="83">
        <v>16386723.549999999</v>
      </c>
      <c r="L120" s="83">
        <v>26579249.149999995</v>
      </c>
      <c r="M120" s="83">
        <v>21692065.57</v>
      </c>
      <c r="N120" s="83">
        <v>18751731.399999999</v>
      </c>
      <c r="O120" s="83">
        <v>29316367.350000001</v>
      </c>
      <c r="P120" s="83">
        <v>36220465.866666652</v>
      </c>
      <c r="Q120" s="83">
        <v>36220465.866666652</v>
      </c>
      <c r="R120" s="83">
        <v>36220465.866666652</v>
      </c>
      <c r="S120" s="113">
        <f>+SUM(G120:R120)</f>
        <v>311963430.31999999</v>
      </c>
      <c r="T120" s="464">
        <f t="shared" si="22"/>
        <v>5.4726585909760717</v>
      </c>
      <c r="V120" s="311"/>
    </row>
    <row r="121" spans="1:22">
      <c r="A121" s="116" t="str">
        <f t="shared" si="18"/>
        <v>44p</v>
      </c>
      <c r="B121" s="584" t="str">
        <f>+VLOOKUP(LEFT($A121,LEN(A121)-1)*1,Master!$D$30:$G$229,4,FALSE)</f>
        <v>Kapitalni izdaci</v>
      </c>
      <c r="C121" s="585"/>
      <c r="D121" s="585"/>
      <c r="E121" s="585"/>
      <c r="F121" s="585"/>
      <c r="G121" s="83">
        <v>16016474.34</v>
      </c>
      <c r="H121" s="83">
        <v>11650538.710000001</v>
      </c>
      <c r="I121" s="83">
        <v>7995861.7599999998</v>
      </c>
      <c r="J121" s="83">
        <v>25620437.929999996</v>
      </c>
      <c r="K121" s="83">
        <v>18640717.440000001</v>
      </c>
      <c r="L121" s="83">
        <v>23469892.199999999</v>
      </c>
      <c r="M121" s="83">
        <v>25045170.949999999</v>
      </c>
      <c r="N121" s="83">
        <v>7683091.5899999999</v>
      </c>
      <c r="O121" s="83">
        <v>16121479.17</v>
      </c>
      <c r="P121" s="83">
        <v>41814542.016666658</v>
      </c>
      <c r="Q121" s="83">
        <v>41814542.016666658</v>
      </c>
      <c r="R121" s="83">
        <v>41814542.016666658</v>
      </c>
      <c r="S121" s="113">
        <f>+SUM(G121:R121)</f>
        <v>277687290.13999993</v>
      </c>
      <c r="T121" s="464">
        <f t="shared" si="22"/>
        <v>4.8713649943863579</v>
      </c>
      <c r="U121" s="311"/>
      <c r="V121" s="311"/>
    </row>
    <row r="122" spans="1:22">
      <c r="A122" s="116" t="str">
        <f t="shared" si="18"/>
        <v>451p</v>
      </c>
      <c r="B122" s="576" t="str">
        <f>+VLOOKUP(LEFT($A122,LEN(A122)-1)*1,Master!$D$30:$G$229,4,FALSE)</f>
        <v>Pozajmice i krediti</v>
      </c>
      <c r="C122" s="577"/>
      <c r="D122" s="577"/>
      <c r="E122" s="577"/>
      <c r="F122" s="577"/>
      <c r="G122" s="87">
        <v>0</v>
      </c>
      <c r="H122" s="87">
        <v>248510</v>
      </c>
      <c r="I122" s="87">
        <v>1730</v>
      </c>
      <c r="J122" s="87">
        <v>302436</v>
      </c>
      <c r="K122" s="87">
        <v>260378</v>
      </c>
      <c r="L122" s="87">
        <v>700</v>
      </c>
      <c r="M122" s="87">
        <v>0</v>
      </c>
      <c r="N122" s="87">
        <v>350</v>
      </c>
      <c r="O122" s="87">
        <v>0</v>
      </c>
      <c r="P122" s="87">
        <v>619965.66666666674</v>
      </c>
      <c r="Q122" s="87">
        <v>619965.66666666674</v>
      </c>
      <c r="R122" s="87">
        <v>619965.66666666674</v>
      </c>
      <c r="S122" s="112">
        <f t="shared" si="21"/>
        <v>2674001</v>
      </c>
      <c r="T122" s="463">
        <f t="shared" si="22"/>
        <v>4.6909006385516809E-2</v>
      </c>
      <c r="U122" s="311"/>
      <c r="V122" s="311"/>
    </row>
    <row r="123" spans="1:22">
      <c r="A123" s="116" t="str">
        <f t="shared" si="18"/>
        <v>47p</v>
      </c>
      <c r="B123" s="576" t="str">
        <f>+VLOOKUP(LEFT($A123,LEN(A123)-1)*1,Master!$D$30:$G$229,4,FALSE)</f>
        <v>Rezerve</v>
      </c>
      <c r="C123" s="577"/>
      <c r="D123" s="577"/>
      <c r="E123" s="577"/>
      <c r="F123" s="577"/>
      <c r="G123" s="87">
        <v>265800</v>
      </c>
      <c r="H123" s="87">
        <v>495710</v>
      </c>
      <c r="I123" s="87">
        <v>1101664.26</v>
      </c>
      <c r="J123" s="87">
        <v>401200</v>
      </c>
      <c r="K123" s="87">
        <v>45800</v>
      </c>
      <c r="L123" s="87">
        <v>3114786.03</v>
      </c>
      <c r="M123" s="87">
        <v>5703477.5800000001</v>
      </c>
      <c r="N123" s="87">
        <v>1405979.19</v>
      </c>
      <c r="O123" s="87">
        <v>20100803.789999999</v>
      </c>
      <c r="P123" s="87">
        <v>22444044.24666667</v>
      </c>
      <c r="Q123" s="87">
        <v>22444044.24666667</v>
      </c>
      <c r="R123" s="87">
        <v>22444044.24666667</v>
      </c>
      <c r="S123" s="112">
        <f t="shared" si="21"/>
        <v>99967353.590000004</v>
      </c>
      <c r="T123" s="463">
        <f t="shared" si="22"/>
        <v>1.7536901549014106</v>
      </c>
      <c r="U123" s="311"/>
      <c r="V123" s="311"/>
    </row>
    <row r="124" spans="1:22">
      <c r="A124" s="116" t="str">
        <f t="shared" si="18"/>
        <v>462p</v>
      </c>
      <c r="B124" s="576" t="str">
        <f>+VLOOKUP(LEFT($A124,LEN(A124)-1)*1,Master!$D$30:$G$229,4,FALSE)</f>
        <v>Otplata garancija</v>
      </c>
      <c r="C124" s="577"/>
      <c r="D124" s="577"/>
      <c r="E124" s="577"/>
      <c r="F124" s="577"/>
      <c r="G124" s="87">
        <v>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1</v>
      </c>
      <c r="S124" s="112">
        <f t="shared" si="21"/>
        <v>1</v>
      </c>
      <c r="T124" s="463">
        <f t="shared" si="22"/>
        <v>1.7542628587467546E-8</v>
      </c>
      <c r="U124" s="311"/>
      <c r="V124" s="311"/>
    </row>
    <row r="125" spans="1:22">
      <c r="A125" s="117" t="str">
        <f t="shared" si="18"/>
        <v>4630p</v>
      </c>
      <c r="B125" s="576" t="str">
        <f>+VLOOKUP(LEFT($A125,LEN(A125)-1)*1,Master!$D$30:$G$229,4,FALSE)</f>
        <v>Otplata obaveza iz prethodnog perioda</v>
      </c>
      <c r="C125" s="577"/>
      <c r="D125" s="577"/>
      <c r="E125" s="577"/>
      <c r="F125" s="577"/>
      <c r="G125" s="87">
        <v>17529055.329999998</v>
      </c>
      <c r="H125" s="87">
        <v>3946389.9</v>
      </c>
      <c r="I125" s="87">
        <v>2323374.4</v>
      </c>
      <c r="J125" s="87">
        <v>1211074.6399999999</v>
      </c>
      <c r="K125" s="87">
        <v>1145121.3300000003</v>
      </c>
      <c r="L125" s="87">
        <v>1002974.65</v>
      </c>
      <c r="M125" s="87">
        <v>2410972.5299999993</v>
      </c>
      <c r="N125" s="87">
        <v>791334.30999999994</v>
      </c>
      <c r="O125" s="87">
        <v>1107049.1300000001</v>
      </c>
      <c r="P125" s="87">
        <v>1578531.8799999962</v>
      </c>
      <c r="Q125" s="87">
        <v>1578531.8799999962</v>
      </c>
      <c r="R125" s="87">
        <v>1578531.8799999962</v>
      </c>
      <c r="S125" s="103">
        <f>+SUM(G125:R125)</f>
        <v>36202941.859999977</v>
      </c>
      <c r="T125" s="471">
        <f t="shared" si="22"/>
        <v>0.63509476282366117</v>
      </c>
      <c r="U125" s="311"/>
      <c r="V125" s="311"/>
    </row>
    <row r="126" spans="1:22" ht="13.5" thickBot="1">
      <c r="A126" s="116" t="str">
        <f t="shared" si="18"/>
        <v>1005p</v>
      </c>
      <c r="B126" s="576" t="str">
        <f>+VLOOKUP(LEFT($A126,LEN(A126)-1)*1,Master!$D$30:$G$229,4,FALSE)</f>
        <v>Neto povećanje obaveza</v>
      </c>
      <c r="C126" s="577"/>
      <c r="D126" s="577"/>
      <c r="E126" s="577"/>
      <c r="F126" s="577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8">
        <f t="shared" si="22"/>
        <v>0</v>
      </c>
      <c r="U126" s="311"/>
      <c r="V126" s="311"/>
    </row>
    <row r="127" spans="1:22" ht="13.5" thickBot="1">
      <c r="A127" s="117" t="str">
        <f t="shared" si="18"/>
        <v>1000p</v>
      </c>
      <c r="B127" s="578" t="str">
        <f>+VLOOKUP(LEFT($A127,LEN(A127)-1)*1,Master!$D$30:$G$226,4,FALSE)</f>
        <v>Suficit / deficit</v>
      </c>
      <c r="C127" s="579"/>
      <c r="D127" s="579"/>
      <c r="E127" s="579"/>
      <c r="F127" s="579"/>
      <c r="G127" s="93">
        <f t="shared" ref="G127:R127" si="27">+G84-G103</f>
        <v>-27708044.210000038</v>
      </c>
      <c r="H127" s="93">
        <f t="shared" si="27"/>
        <v>-26184314.520000011</v>
      </c>
      <c r="I127" s="93">
        <f t="shared" si="27"/>
        <v>31956870.970000029</v>
      </c>
      <c r="J127" s="93">
        <f t="shared" si="27"/>
        <v>-20283584.369999915</v>
      </c>
      <c r="K127" s="93">
        <f t="shared" si="27"/>
        <v>8454993.5200000107</v>
      </c>
      <c r="L127" s="93">
        <f t="shared" si="27"/>
        <v>-10807149.019999981</v>
      </c>
      <c r="M127" s="93">
        <f t="shared" si="27"/>
        <v>-12762172.130000025</v>
      </c>
      <c r="N127" s="93">
        <f t="shared" si="27"/>
        <v>47349499.159999937</v>
      </c>
      <c r="O127" s="93">
        <f t="shared" si="27"/>
        <v>-26530659.460000008</v>
      </c>
      <c r="P127" s="93">
        <f t="shared" si="27"/>
        <v>-148561818.74666664</v>
      </c>
      <c r="Q127" s="93">
        <f t="shared" si="27"/>
        <v>-152725507.16666663</v>
      </c>
      <c r="R127" s="93">
        <f t="shared" si="27"/>
        <v>-115435017.19666666</v>
      </c>
      <c r="S127" s="106">
        <f t="shared" si="21"/>
        <v>-453236903.1699999</v>
      </c>
      <c r="T127" s="469">
        <f t="shared" si="22"/>
        <v>-7.9509666544452999</v>
      </c>
      <c r="U127" s="311"/>
      <c r="V127" s="311"/>
    </row>
    <row r="128" spans="1:22" ht="13.5" thickBot="1">
      <c r="A128" s="117" t="str">
        <f t="shared" si="18"/>
        <v>1001p</v>
      </c>
      <c r="B128" s="580" t="str">
        <f>+VLOOKUP(LEFT($A128,LEN(A128)-1)*1,Master!$D$30:$G$226,4,FALSE)</f>
        <v>Primarni suficit/deficit</v>
      </c>
      <c r="C128" s="581"/>
      <c r="D128" s="581"/>
      <c r="E128" s="581"/>
      <c r="F128" s="581"/>
      <c r="G128" s="94">
        <f>+G127+G110</f>
        <v>-23853281.960000038</v>
      </c>
      <c r="H128" s="94">
        <f t="shared" ref="H128:R128" si="28">+H127+H110</f>
        <v>-24913970.330000009</v>
      </c>
      <c r="I128" s="94">
        <f t="shared" si="28"/>
        <v>32905953.530000027</v>
      </c>
      <c r="J128" s="94">
        <f t="shared" si="28"/>
        <v>6912036.7000000849</v>
      </c>
      <c r="K128" s="94">
        <f t="shared" si="28"/>
        <v>13043467.300000012</v>
      </c>
      <c r="L128" s="94">
        <f t="shared" si="28"/>
        <v>-9590349.9899999816</v>
      </c>
      <c r="M128" s="94">
        <f t="shared" si="28"/>
        <v>-8978109.3100000247</v>
      </c>
      <c r="N128" s="94">
        <f t="shared" si="28"/>
        <v>48681164.189999938</v>
      </c>
      <c r="O128" s="94">
        <f t="shared" si="28"/>
        <v>-12966126.630000008</v>
      </c>
      <c r="P128" s="94">
        <f t="shared" si="28"/>
        <v>-144525391.98666665</v>
      </c>
      <c r="Q128" s="94">
        <f t="shared" si="28"/>
        <v>-148689080.40666664</v>
      </c>
      <c r="R128" s="94">
        <f t="shared" si="28"/>
        <v>-88826173.566666663</v>
      </c>
      <c r="S128" s="106">
        <f t="shared" si="21"/>
        <v>-360799862.45999998</v>
      </c>
      <c r="T128" s="469">
        <f t="shared" si="22"/>
        <v>-6.3293779815451545</v>
      </c>
      <c r="U128" s="311"/>
      <c r="V128" s="311"/>
    </row>
    <row r="129" spans="1:22">
      <c r="A129" s="117" t="str">
        <f t="shared" si="18"/>
        <v>46p</v>
      </c>
      <c r="B129" s="582" t="str">
        <f>+VLOOKUP(LEFT($A129,LEN(A129)-1)*1,Master!$D$30:$G$226,4,FALSE)</f>
        <v>Otplata dugova</v>
      </c>
      <c r="C129" s="583"/>
      <c r="D129" s="583"/>
      <c r="E129" s="583"/>
      <c r="F129" s="583"/>
      <c r="G129" s="84">
        <f>+SUM(G130:G131)</f>
        <v>28431258.969999999</v>
      </c>
      <c r="H129" s="84">
        <f t="shared" ref="H129:R129" si="29">+SUM(H130:H131)</f>
        <v>14209001.130000001</v>
      </c>
      <c r="I129" s="84">
        <f t="shared" si="29"/>
        <v>11671682.99</v>
      </c>
      <c r="J129" s="84">
        <f t="shared" si="29"/>
        <v>57474225.629999995</v>
      </c>
      <c r="K129" s="84">
        <f t="shared" si="29"/>
        <v>39081986.149999999</v>
      </c>
      <c r="L129" s="84">
        <f t="shared" si="29"/>
        <v>11628176.57</v>
      </c>
      <c r="M129" s="483">
        <f t="shared" ref="M129" si="30">+SUM(M130:M131)</f>
        <v>30399609.420000002</v>
      </c>
      <c r="N129" s="84">
        <f t="shared" si="29"/>
        <v>13945467.43</v>
      </c>
      <c r="O129" s="84">
        <f t="shared" si="29"/>
        <v>10059315</v>
      </c>
      <c r="P129" s="84">
        <f t="shared" si="29"/>
        <v>5778395.2733333334</v>
      </c>
      <c r="Q129" s="84">
        <f t="shared" si="29"/>
        <v>32377155.383333333</v>
      </c>
      <c r="R129" s="84">
        <f t="shared" si="29"/>
        <v>37097385.81333334</v>
      </c>
      <c r="S129" s="104">
        <f t="shared" si="21"/>
        <v>292153659.76000005</v>
      </c>
      <c r="T129" s="470">
        <f t="shared" si="22"/>
        <v>5.1251431436390433</v>
      </c>
      <c r="U129" s="311"/>
      <c r="V129" s="311"/>
    </row>
    <row r="130" spans="1:22">
      <c r="A130" s="117" t="str">
        <f t="shared" si="18"/>
        <v>4611p</v>
      </c>
      <c r="B130" s="574" t="str">
        <f>+VLOOKUP(LEFT($A130,LEN(A130)-1)*1,Master!$D$30:$G$226,4,FALSE)</f>
        <v>Otplata hartija od vrijednosti i kredita rezidentima</v>
      </c>
      <c r="C130" s="575"/>
      <c r="D130" s="575"/>
      <c r="E130" s="575"/>
      <c r="F130" s="575"/>
      <c r="G130" s="96">
        <v>2390495.08</v>
      </c>
      <c r="H130" s="96">
        <v>3087670.22</v>
      </c>
      <c r="I130" s="96">
        <v>2560106.65</v>
      </c>
      <c r="J130" s="96">
        <v>4658647.9099999992</v>
      </c>
      <c r="K130" s="96">
        <v>8572190.1199999992</v>
      </c>
      <c r="L130" s="96">
        <v>713784.35</v>
      </c>
      <c r="M130" s="96">
        <v>2437648.0699999998</v>
      </c>
      <c r="N130" s="96">
        <v>2374633.7599999998</v>
      </c>
      <c r="O130" s="96">
        <v>722146.47000000009</v>
      </c>
      <c r="P130" s="96">
        <v>2457849.3233333332</v>
      </c>
      <c r="Q130" s="96">
        <v>9233144.0033333339</v>
      </c>
      <c r="R130" s="96">
        <v>720539.80333333823</v>
      </c>
      <c r="S130" s="103">
        <f t="shared" si="21"/>
        <v>39928855.759999998</v>
      </c>
      <c r="T130" s="471">
        <f t="shared" si="22"/>
        <v>0.70045708652024419</v>
      </c>
      <c r="U130" s="311"/>
      <c r="V130" s="311"/>
    </row>
    <row r="131" spans="1:22" ht="13.5" thickBot="1">
      <c r="A131" s="117" t="str">
        <f t="shared" si="18"/>
        <v>4612p</v>
      </c>
      <c r="B131" s="576" t="str">
        <f>+VLOOKUP(LEFT($A131,LEN(A131)-1)*1,Master!$D$30:$G$226,4,FALSE)</f>
        <v>Otplata hartija od vrijednosti i kredita nerezidentima</v>
      </c>
      <c r="C131" s="577"/>
      <c r="D131" s="577"/>
      <c r="E131" s="577"/>
      <c r="F131" s="577"/>
      <c r="G131" s="96">
        <v>26040763.890000001</v>
      </c>
      <c r="H131" s="96">
        <v>11121330.91</v>
      </c>
      <c r="I131" s="96">
        <v>9111576.3399999999</v>
      </c>
      <c r="J131" s="96">
        <v>52815577.719999999</v>
      </c>
      <c r="K131" s="96">
        <v>30509796.030000001</v>
      </c>
      <c r="L131" s="96">
        <v>10914392.220000001</v>
      </c>
      <c r="M131" s="96">
        <v>27961961.350000001</v>
      </c>
      <c r="N131" s="96">
        <v>11570833.67</v>
      </c>
      <c r="O131" s="96">
        <v>9337168.5299999993</v>
      </c>
      <c r="P131" s="96">
        <v>3320545.95</v>
      </c>
      <c r="Q131" s="96">
        <v>23144011.379999999</v>
      </c>
      <c r="R131" s="96">
        <v>36376846.010000005</v>
      </c>
      <c r="S131" s="103">
        <f t="shared" si="21"/>
        <v>252224804</v>
      </c>
      <c r="T131" s="471">
        <f t="shared" si="22"/>
        <v>4.424686057118798</v>
      </c>
      <c r="U131" s="311"/>
      <c r="V131" s="311"/>
    </row>
    <row r="132" spans="1:22" ht="13.5" thickBot="1">
      <c r="A132" s="117" t="str">
        <f t="shared" si="18"/>
        <v>4418p</v>
      </c>
      <c r="B132" s="570" t="str">
        <f>+VLOOKUP(LEFT($A132,LEN(A132)-1)*1,Master!$D$30:$G$226,4,FALSE)</f>
        <v>Izdaci za kupovinu hartija od vrijednosti</v>
      </c>
      <c r="C132" s="571"/>
      <c r="D132" s="571"/>
      <c r="E132" s="571"/>
      <c r="F132" s="571"/>
      <c r="G132" s="93">
        <v>0</v>
      </c>
      <c r="H132" s="93">
        <v>0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3536336.666666667</v>
      </c>
      <c r="Q132" s="93">
        <v>3536336.666666667</v>
      </c>
      <c r="R132" s="93">
        <v>3536336.666666667</v>
      </c>
      <c r="S132" s="448">
        <f t="shared" si="21"/>
        <v>10609010</v>
      </c>
      <c r="T132" s="478">
        <f t="shared" si="22"/>
        <v>0.18610992211072908</v>
      </c>
      <c r="U132" s="311"/>
      <c r="V132" s="311"/>
    </row>
    <row r="133" spans="1:22" ht="13.5" thickBot="1">
      <c r="A133" s="117" t="str">
        <f t="shared" si="18"/>
        <v>1002p</v>
      </c>
      <c r="B133" s="572" t="str">
        <f>+VLOOKUP(LEFT($A133,LEN(A133)-1)*1,Master!$D$30:$G$226,4,FALSE)</f>
        <v>Nedostajuća sredstva</v>
      </c>
      <c r="C133" s="573"/>
      <c r="D133" s="573"/>
      <c r="E133" s="573"/>
      <c r="F133" s="573"/>
      <c r="G133" s="77">
        <f t="shared" ref="G133:R133" si="31">+G127-G129-G132</f>
        <v>-56139303.180000037</v>
      </c>
      <c r="H133" s="77">
        <f t="shared" si="31"/>
        <v>-40393315.650000013</v>
      </c>
      <c r="I133" s="77">
        <f t="shared" si="31"/>
        <v>20285187.980000027</v>
      </c>
      <c r="J133" s="77">
        <f t="shared" si="31"/>
        <v>-77757809.999999911</v>
      </c>
      <c r="K133" s="77">
        <f t="shared" si="31"/>
        <v>-30626992.629999988</v>
      </c>
      <c r="L133" s="77">
        <f t="shared" si="31"/>
        <v>-22435325.589999981</v>
      </c>
      <c r="M133" s="77">
        <f t="shared" si="31"/>
        <v>-43161781.550000027</v>
      </c>
      <c r="N133" s="77">
        <f t="shared" si="31"/>
        <v>33404031.729999937</v>
      </c>
      <c r="O133" s="77">
        <f t="shared" si="31"/>
        <v>-36589974.460000008</v>
      </c>
      <c r="P133" s="77">
        <f t="shared" si="31"/>
        <v>-157876550.68666664</v>
      </c>
      <c r="Q133" s="77">
        <f t="shared" si="31"/>
        <v>-188638999.21666661</v>
      </c>
      <c r="R133" s="77">
        <f t="shared" si="31"/>
        <v>-156068739.67666665</v>
      </c>
      <c r="S133" s="109">
        <f t="shared" si="21"/>
        <v>-755999572.92999983</v>
      </c>
      <c r="T133" s="473">
        <f t="shared" si="22"/>
        <v>-13.26221972019507</v>
      </c>
      <c r="U133" s="311"/>
      <c r="V133" s="311"/>
    </row>
    <row r="134" spans="1:22" ht="13.5" thickBot="1">
      <c r="A134" s="117" t="str">
        <f t="shared" si="18"/>
        <v>1003p</v>
      </c>
      <c r="B134" s="570" t="str">
        <f>+VLOOKUP(LEFT($A134,LEN(A134)-1)*1,Master!$D$30:$G$226,4,FALSE)</f>
        <v>Finansiranje</v>
      </c>
      <c r="C134" s="571"/>
      <c r="D134" s="571"/>
      <c r="E134" s="571"/>
      <c r="F134" s="571"/>
      <c r="G134" s="93">
        <f t="shared" ref="G134:R134" si="32">+SUM(G135:G138)</f>
        <v>56139303.180000037</v>
      </c>
      <c r="H134" s="93">
        <f t="shared" si="32"/>
        <v>40393315.650000013</v>
      </c>
      <c r="I134" s="93">
        <f t="shared" si="32"/>
        <v>-20285187.980000027</v>
      </c>
      <c r="J134" s="93">
        <f t="shared" si="32"/>
        <v>77757809.999999911</v>
      </c>
      <c r="K134" s="93">
        <f t="shared" si="32"/>
        <v>30626992.629999988</v>
      </c>
      <c r="L134" s="93">
        <f t="shared" si="32"/>
        <v>22435325.589999981</v>
      </c>
      <c r="M134" s="93">
        <f t="shared" si="32"/>
        <v>43161781.550000027</v>
      </c>
      <c r="N134" s="93">
        <f t="shared" si="32"/>
        <v>-33404031.729999937</v>
      </c>
      <c r="O134" s="93">
        <f t="shared" si="32"/>
        <v>36589974.460000008</v>
      </c>
      <c r="P134" s="93">
        <f t="shared" si="32"/>
        <v>157876550.68666664</v>
      </c>
      <c r="Q134" s="93">
        <f t="shared" si="32"/>
        <v>188638999.21666661</v>
      </c>
      <c r="R134" s="93">
        <f t="shared" si="32"/>
        <v>156068739.67666665</v>
      </c>
      <c r="S134" s="110">
        <f t="shared" si="21"/>
        <v>755999572.92999983</v>
      </c>
      <c r="T134" s="474">
        <f t="shared" si="22"/>
        <v>13.26221972019507</v>
      </c>
      <c r="U134" s="311"/>
      <c r="V134" s="311"/>
    </row>
    <row r="135" spans="1:22">
      <c r="A135" s="117" t="str">
        <f t="shared" si="18"/>
        <v>7511p</v>
      </c>
      <c r="B135" s="574" t="str">
        <f>+VLOOKUP(LEFT($A135,LEN(A135)-1)*1,Master!$D$30:$G$226,4,FALSE)</f>
        <v>Pozajmice i krediti od domaćih izvora</v>
      </c>
      <c r="C135" s="575"/>
      <c r="D135" s="575"/>
      <c r="E135" s="575"/>
      <c r="F135" s="575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116666666.66666667</v>
      </c>
      <c r="Q135" s="96">
        <v>116666666.66666667</v>
      </c>
      <c r="R135" s="96">
        <v>116666666.66666667</v>
      </c>
      <c r="S135" s="103">
        <f t="shared" si="21"/>
        <v>350000000</v>
      </c>
      <c r="T135" s="471">
        <f t="shared" si="22"/>
        <v>6.1399200056136412</v>
      </c>
      <c r="U135" s="311"/>
      <c r="V135" s="311"/>
    </row>
    <row r="136" spans="1:22">
      <c r="A136" s="117" t="str">
        <f t="shared" si="18"/>
        <v>7512p</v>
      </c>
      <c r="B136" s="576" t="str">
        <f>+VLOOKUP(LEFT($A136,LEN(A136)-1)*1,Master!$D$30:$G$226,4,FALSE)</f>
        <v>Pozajmice i krediti od inostranih izvora</v>
      </c>
      <c r="C136" s="577"/>
      <c r="D136" s="577"/>
      <c r="E136" s="577"/>
      <c r="F136" s="577"/>
      <c r="G136" s="96">
        <v>12789994.92</v>
      </c>
      <c r="H136" s="96">
        <v>10460525.210000001</v>
      </c>
      <c r="I136" s="96">
        <v>1259301.6499999999</v>
      </c>
      <c r="J136" s="96">
        <v>8146150.04</v>
      </c>
      <c r="K136" s="96">
        <v>11238716.789999999</v>
      </c>
      <c r="L136" s="96">
        <v>12964517.649999999</v>
      </c>
      <c r="M136" s="96">
        <v>8206743.4400000004</v>
      </c>
      <c r="N136" s="96">
        <v>2667369.89</v>
      </c>
      <c r="O136" s="96">
        <v>2025946.22</v>
      </c>
      <c r="P136" s="96">
        <v>10080244.730000004</v>
      </c>
      <c r="Q136" s="96">
        <v>10080244.730000004</v>
      </c>
      <c r="R136" s="96">
        <v>10080244.730000004</v>
      </c>
      <c r="S136" s="103">
        <f t="shared" si="21"/>
        <v>100000000</v>
      </c>
      <c r="T136" s="471">
        <f t="shared" si="22"/>
        <v>1.7542628587467544</v>
      </c>
      <c r="U136" s="311"/>
      <c r="V136" s="311"/>
    </row>
    <row r="137" spans="1:22">
      <c r="A137" s="117" t="str">
        <f t="shared" si="18"/>
        <v>72p</v>
      </c>
      <c r="B137" s="576" t="str">
        <f>+VLOOKUP(LEFT($A137,LEN(A137)-1)*1,Master!$D$30:$G$226,4,FALSE)</f>
        <v>Primici od prodaje imovine</v>
      </c>
      <c r="C137" s="577"/>
      <c r="D137" s="577"/>
      <c r="E137" s="577"/>
      <c r="F137" s="577"/>
      <c r="G137" s="96">
        <v>710212.98</v>
      </c>
      <c r="H137" s="96">
        <v>70539.22</v>
      </c>
      <c r="I137" s="96">
        <v>383792.48</v>
      </c>
      <c r="J137" s="96">
        <v>766267.74</v>
      </c>
      <c r="K137" s="96">
        <v>26413.63</v>
      </c>
      <c r="L137" s="96">
        <v>243495.38999999998</v>
      </c>
      <c r="M137" s="96">
        <v>209628.7</v>
      </c>
      <c r="N137" s="96">
        <v>313064.5</v>
      </c>
      <c r="O137" s="96">
        <v>705089.56</v>
      </c>
      <c r="P137" s="96">
        <v>857165.2666666666</v>
      </c>
      <c r="Q137" s="96">
        <v>857165.2666666666</v>
      </c>
      <c r="R137" s="96">
        <v>857165.2666666666</v>
      </c>
      <c r="S137" s="103">
        <f t="shared" si="21"/>
        <v>6000000</v>
      </c>
      <c r="T137" s="471">
        <f t="shared" si="22"/>
        <v>0.10525577152480528</v>
      </c>
      <c r="U137" s="311"/>
      <c r="V137" s="311"/>
    </row>
    <row r="138" spans="1:22" ht="13.5" thickBot="1">
      <c r="A138" s="117" t="str">
        <f t="shared" si="18"/>
        <v>1004p</v>
      </c>
      <c r="B138" s="98" t="str">
        <f>+VLOOKUP(LEFT($A138,LEN(A138)-1)*1,Master!$D$30:$G$226,4,FALSE)</f>
        <v>Povećanje / smanjenje depozita</v>
      </c>
      <c r="C138" s="99"/>
      <c r="D138" s="99"/>
      <c r="E138" s="99"/>
      <c r="F138" s="99"/>
      <c r="G138" s="97">
        <f t="shared" ref="G138:R138" si="33">-G133-SUM(G135:G137)</f>
        <v>42639095.280000038</v>
      </c>
      <c r="H138" s="97">
        <f t="shared" si="33"/>
        <v>29862251.220000014</v>
      </c>
      <c r="I138" s="97">
        <f t="shared" si="33"/>
        <v>-21928282.110000025</v>
      </c>
      <c r="J138" s="97">
        <f t="shared" si="33"/>
        <v>68845392.219999909</v>
      </c>
      <c r="K138" s="97">
        <f t="shared" si="33"/>
        <v>19361862.209999986</v>
      </c>
      <c r="L138" s="97">
        <f t="shared" si="33"/>
        <v>9227312.5499999821</v>
      </c>
      <c r="M138" s="97">
        <f t="shared" si="33"/>
        <v>34745409.410000026</v>
      </c>
      <c r="N138" s="97">
        <f t="shared" si="33"/>
        <v>-36384466.119999938</v>
      </c>
      <c r="O138" s="97">
        <f t="shared" si="33"/>
        <v>33858938.680000007</v>
      </c>
      <c r="P138" s="97">
        <f t="shared" si="33"/>
        <v>30272474.023333296</v>
      </c>
      <c r="Q138" s="97">
        <f t="shared" si="33"/>
        <v>61034922.553333268</v>
      </c>
      <c r="R138" s="97">
        <f t="shared" si="33"/>
        <v>28464663.013333306</v>
      </c>
      <c r="S138" s="105">
        <f>+SUM(G138:R138)</f>
        <v>299999572.92999989</v>
      </c>
      <c r="T138" s="475">
        <f t="shared" si="22"/>
        <v>5.2627810843098715</v>
      </c>
      <c r="U138" s="311"/>
      <c r="V138" s="311"/>
    </row>
    <row r="140" spans="1:22">
      <c r="G140" s="311"/>
    </row>
    <row r="141" spans="1:22">
      <c r="G141" s="311"/>
      <c r="H141" s="311"/>
      <c r="I141" s="311"/>
      <c r="J141" s="311"/>
      <c r="K141" s="311"/>
      <c r="L141" s="311"/>
      <c r="M141" s="311"/>
      <c r="N141" s="311"/>
      <c r="O141" s="311"/>
      <c r="P141" s="311"/>
      <c r="Q141" s="311"/>
      <c r="R141" s="311"/>
    </row>
    <row r="142" spans="1:22">
      <c r="N142" s="311"/>
    </row>
    <row r="144" spans="1:22">
      <c r="S144" s="484"/>
    </row>
    <row r="145" spans="19:19">
      <c r="S145" s="311"/>
    </row>
    <row r="146" spans="19:19">
      <c r="S146" s="311"/>
    </row>
  </sheetData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23" width="11.28515625" style="258" bestFit="1" customWidth="1"/>
    <col min="24" max="24" width="10.42578125" style="258" bestFit="1" customWidth="1"/>
    <col min="25" max="16384" width="9.140625" style="258"/>
  </cols>
  <sheetData>
    <row r="1" spans="1:22" s="1" customFormat="1" ht="3" customHeight="1">
      <c r="A1" s="69"/>
    </row>
    <row r="2" spans="1:22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7"/>
      <c r="M2" s="126"/>
      <c r="N2" s="126"/>
      <c r="O2" s="126"/>
      <c r="P2" s="126"/>
      <c r="Q2" s="126"/>
      <c r="R2" s="126"/>
      <c r="S2" s="126"/>
      <c r="T2" s="126"/>
    </row>
    <row r="3" spans="1:22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2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7"/>
      <c r="T4" s="361"/>
    </row>
    <row r="5" spans="1:22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2" ht="13.5" thickBot="1">
      <c r="A6" s="144"/>
      <c r="B6" s="233"/>
      <c r="C6" s="233"/>
      <c r="D6" s="233"/>
      <c r="E6" s="233"/>
      <c r="F6" s="233"/>
      <c r="G6" s="234" t="s">
        <v>811</v>
      </c>
      <c r="H6" s="234" t="s">
        <v>812</v>
      </c>
      <c r="I6" s="234" t="s">
        <v>813</v>
      </c>
      <c r="J6" s="234" t="s">
        <v>814</v>
      </c>
      <c r="K6" s="234" t="s">
        <v>815</v>
      </c>
      <c r="L6" s="234" t="s">
        <v>816</v>
      </c>
      <c r="M6" s="234" t="s">
        <v>817</v>
      </c>
      <c r="N6" s="234" t="s">
        <v>818</v>
      </c>
      <c r="O6" s="234" t="s">
        <v>819</v>
      </c>
      <c r="P6" s="234" t="s">
        <v>820</v>
      </c>
      <c r="Q6" s="234" t="s">
        <v>821</v>
      </c>
      <c r="R6" s="234" t="s">
        <v>822</v>
      </c>
      <c r="S6" s="233"/>
      <c r="T6" s="233"/>
    </row>
    <row r="7" spans="1:22" ht="15" customHeight="1" thickBot="1">
      <c r="A7" s="144"/>
      <c r="B7" s="619" t="str">
        <f>+Master!G252</f>
        <v>Ostvarenje budžeta</v>
      </c>
      <c r="C7" s="551"/>
      <c r="D7" s="551"/>
      <c r="E7" s="551"/>
      <c r="F7" s="551"/>
      <c r="G7" s="559">
        <v>2021</v>
      </c>
      <c r="H7" s="560"/>
      <c r="I7" s="560"/>
      <c r="J7" s="560"/>
      <c r="K7" s="560"/>
      <c r="L7" s="560"/>
      <c r="M7" s="560"/>
      <c r="N7" s="560"/>
      <c r="O7" s="560"/>
      <c r="P7" s="560"/>
      <c r="Q7" s="560"/>
      <c r="R7" s="563"/>
      <c r="S7" s="235" t="str">
        <f>+Master!G249</f>
        <v>BDP</v>
      </c>
      <c r="T7" s="236">
        <v>4955116000</v>
      </c>
    </row>
    <row r="8" spans="1:22" ht="16.5" customHeight="1">
      <c r="A8" s="144"/>
      <c r="B8" s="552"/>
      <c r="C8" s="553"/>
      <c r="D8" s="553"/>
      <c r="E8" s="553"/>
      <c r="F8" s="554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59" t="str">
        <f>+Master!G247</f>
        <v>Jan - Dec</v>
      </c>
      <c r="T8" s="563"/>
    </row>
    <row r="9" spans="1:22" ht="13.5" thickBot="1">
      <c r="A9" s="144"/>
      <c r="B9" s="555"/>
      <c r="C9" s="556"/>
      <c r="D9" s="556"/>
      <c r="E9" s="556"/>
      <c r="F9" s="557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2" ht="13.5" thickBot="1">
      <c r="A10" s="150">
        <v>7</v>
      </c>
      <c r="B10" s="518" t="str">
        <f>+VLOOKUP($A10,Master!$D$30:$G$226,4,FALSE)</f>
        <v>Prihodi budžeta</v>
      </c>
      <c r="C10" s="519"/>
      <c r="D10" s="519"/>
      <c r="E10" s="519"/>
      <c r="F10" s="519"/>
      <c r="G10" s="151">
        <f>+G11+G19+SUM(G24:G28)</f>
        <v>88645153.460000008</v>
      </c>
      <c r="H10" s="151">
        <f t="shared" ref="H10:R10" si="1">+H11+H19+SUM(H24:H28)</f>
        <v>105602053.27</v>
      </c>
      <c r="I10" s="151">
        <f t="shared" si="1"/>
        <v>154192756.19</v>
      </c>
      <c r="J10" s="151">
        <f t="shared" si="1"/>
        <v>144095507.38000003</v>
      </c>
      <c r="K10" s="151">
        <f t="shared" si="1"/>
        <v>136581593.40000001</v>
      </c>
      <c r="L10" s="151">
        <f t="shared" si="1"/>
        <v>158977216.27000001</v>
      </c>
      <c r="M10" s="151">
        <f t="shared" si="1"/>
        <v>194099538.63</v>
      </c>
      <c r="N10" s="151">
        <f t="shared" si="1"/>
        <v>190105745.75999999</v>
      </c>
      <c r="O10" s="151">
        <f t="shared" si="1"/>
        <v>172070591.90000001</v>
      </c>
      <c r="P10" s="151">
        <f t="shared" si="1"/>
        <v>160001549.75000003</v>
      </c>
      <c r="Q10" s="151">
        <f t="shared" si="1"/>
        <v>158602978.81999999</v>
      </c>
      <c r="R10" s="151">
        <f t="shared" si="1"/>
        <v>248407354.71000004</v>
      </c>
      <c r="S10" s="239">
        <f>+SUM(G10:R10)</f>
        <v>1911382039.5400002</v>
      </c>
      <c r="T10" s="461">
        <f>+S10/$T$7*100</f>
        <v>38.573911075744746</v>
      </c>
      <c r="U10" s="501"/>
      <c r="V10" s="311"/>
    </row>
    <row r="11" spans="1:22">
      <c r="A11" s="150">
        <v>711</v>
      </c>
      <c r="B11" s="520" t="str">
        <f>+VLOOKUP($A11,Master!$D$30:$G$226,4,FALSE)</f>
        <v>Porezi</v>
      </c>
      <c r="C11" s="521"/>
      <c r="D11" s="521"/>
      <c r="E11" s="521"/>
      <c r="F11" s="521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132227415.31</v>
      </c>
      <c r="O11" s="157">
        <f t="shared" si="2"/>
        <v>113016911.38000001</v>
      </c>
      <c r="P11" s="157">
        <f t="shared" si="2"/>
        <v>104570246.49000001</v>
      </c>
      <c r="Q11" s="157">
        <f t="shared" si="2"/>
        <v>100241778.90000001</v>
      </c>
      <c r="R11" s="240">
        <f t="shared" si="2"/>
        <v>117752057.5</v>
      </c>
      <c r="S11" s="241">
        <f>+SUM(G11:R11)</f>
        <v>1183874153.45</v>
      </c>
      <c r="T11" s="462">
        <f t="shared" ref="T11:T64" si="3">+S11/$T$7*100</f>
        <v>23.891956383059448</v>
      </c>
      <c r="U11" s="501"/>
      <c r="V11" s="502"/>
    </row>
    <row r="12" spans="1:22">
      <c r="A12" s="150">
        <v>7111</v>
      </c>
      <c r="B12" s="522" t="str">
        <f>+VLOOKUP($A12,Master!$D$30:$G$226,4,FALSE)</f>
        <v>Porez na dohodak fizičkih lica</v>
      </c>
      <c r="C12" s="523"/>
      <c r="D12" s="523"/>
      <c r="E12" s="523"/>
      <c r="F12" s="523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11428081.060000001</v>
      </c>
      <c r="O12" s="163">
        <v>11496389.41</v>
      </c>
      <c r="P12" s="163">
        <v>10714688.65</v>
      </c>
      <c r="Q12" s="163">
        <v>11130007.369999999</v>
      </c>
      <c r="R12" s="163">
        <v>19177675.75</v>
      </c>
      <c r="S12" s="242">
        <f t="shared" ref="S12:S63" si="4">+SUM(G12:R12)</f>
        <v>126864271.05</v>
      </c>
      <c r="T12" s="463">
        <f t="shared" si="3"/>
        <v>2.560268438720708</v>
      </c>
      <c r="U12" s="501"/>
      <c r="V12" s="311"/>
    </row>
    <row r="13" spans="1:22">
      <c r="A13" s="150">
        <v>7112</v>
      </c>
      <c r="B13" s="522" t="str">
        <f>+VLOOKUP($A13,Master!$D$30:$G$226,4,FALSE)</f>
        <v>Porez na dobit pravnih lica</v>
      </c>
      <c r="C13" s="523"/>
      <c r="D13" s="523"/>
      <c r="E13" s="523"/>
      <c r="F13" s="523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3777349.92</v>
      </c>
      <c r="O13" s="163">
        <v>3090820.1</v>
      </c>
      <c r="P13" s="163">
        <v>812369.36</v>
      </c>
      <c r="Q13" s="163">
        <v>572934.72</v>
      </c>
      <c r="R13" s="163">
        <v>3395713.2</v>
      </c>
      <c r="S13" s="242">
        <f t="shared" si="4"/>
        <v>74713724.469999999</v>
      </c>
      <c r="T13" s="463">
        <f t="shared" si="3"/>
        <v>1.5078097963801451</v>
      </c>
      <c r="U13" s="501"/>
      <c r="V13" s="311"/>
    </row>
    <row r="14" spans="1:22">
      <c r="A14" s="150">
        <v>7113</v>
      </c>
      <c r="B14" s="522" t="str">
        <f>+VLOOKUP($A14,Master!$D$30:$G$226,4,FALSE)</f>
        <v>Porez na promet nepokretnosti</v>
      </c>
      <c r="C14" s="523"/>
      <c r="D14" s="523"/>
      <c r="E14" s="523"/>
      <c r="F14" s="523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253511.29</v>
      </c>
      <c r="O14" s="163">
        <v>186859.21</v>
      </c>
      <c r="P14" s="163">
        <v>188590.96</v>
      </c>
      <c r="Q14" s="163">
        <v>256744.67</v>
      </c>
      <c r="R14" s="163">
        <v>326836.90000000002</v>
      </c>
      <c r="S14" s="242">
        <f t="shared" si="4"/>
        <v>2078253.77</v>
      </c>
      <c r="T14" s="463">
        <f t="shared" si="3"/>
        <v>4.1941576544323081E-2</v>
      </c>
      <c r="U14" s="501"/>
      <c r="V14" s="311"/>
    </row>
    <row r="15" spans="1:22">
      <c r="A15" s="150">
        <v>7114</v>
      </c>
      <c r="B15" s="522" t="str">
        <f>+VLOOKUP($A15,Master!$D$30:$G$226,4,FALSE)</f>
        <v>Porez na dodatu vrijednost</v>
      </c>
      <c r="C15" s="523"/>
      <c r="D15" s="523"/>
      <c r="E15" s="523"/>
      <c r="F15" s="523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82197493.75</v>
      </c>
      <c r="O15" s="163">
        <v>66021485.600000001</v>
      </c>
      <c r="P15" s="163">
        <v>66173641.18</v>
      </c>
      <c r="Q15" s="163">
        <v>62811263.609999999</v>
      </c>
      <c r="R15" s="163">
        <v>69407107.409999996</v>
      </c>
      <c r="S15" s="242">
        <f t="shared" si="4"/>
        <v>691948121.63999999</v>
      </c>
      <c r="T15" s="463">
        <f t="shared" si="3"/>
        <v>13.964317316486637</v>
      </c>
      <c r="U15" s="501"/>
      <c r="V15" s="311"/>
    </row>
    <row r="16" spans="1:22">
      <c r="A16" s="150">
        <v>7115</v>
      </c>
      <c r="B16" s="522" t="str">
        <f>+VLOOKUP($A16,Master!$D$30:$G$226,4,FALSE)</f>
        <v>Akcize</v>
      </c>
      <c r="C16" s="523"/>
      <c r="D16" s="523"/>
      <c r="E16" s="523"/>
      <c r="F16" s="523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30364249.789999999</v>
      </c>
      <c r="O16" s="163">
        <v>28556581.329999998</v>
      </c>
      <c r="P16" s="163">
        <v>23175011.010000002</v>
      </c>
      <c r="Q16" s="163">
        <v>22114560.530000001</v>
      </c>
      <c r="R16" s="163">
        <v>21883171.960000001</v>
      </c>
      <c r="S16" s="242">
        <f t="shared" si="4"/>
        <v>248717895.15999997</v>
      </c>
      <c r="T16" s="463">
        <f t="shared" si="3"/>
        <v>5.0194161985309727</v>
      </c>
      <c r="U16" s="501"/>
      <c r="V16" s="311"/>
    </row>
    <row r="17" spans="1:23">
      <c r="A17" s="150">
        <v>7116</v>
      </c>
      <c r="B17" s="522" t="str">
        <f>+VLOOKUP($A17,Master!$D$30:$G$226,4,FALSE)</f>
        <v>Porez na međunarodnu trgovinu i transakcije</v>
      </c>
      <c r="C17" s="523"/>
      <c r="D17" s="523"/>
      <c r="E17" s="523"/>
      <c r="F17" s="523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3107860.7</v>
      </c>
      <c r="O17" s="163">
        <v>2664634.4500000002</v>
      </c>
      <c r="P17" s="163">
        <v>2522288.0299999998</v>
      </c>
      <c r="Q17" s="163">
        <v>2368746</v>
      </c>
      <c r="R17" s="163">
        <v>2571250.9</v>
      </c>
      <c r="S17" s="242">
        <f t="shared" si="4"/>
        <v>28296642.069999997</v>
      </c>
      <c r="T17" s="463">
        <f t="shared" si="3"/>
        <v>0.57105912495287692</v>
      </c>
      <c r="U17" s="501"/>
      <c r="V17" s="311"/>
    </row>
    <row r="18" spans="1:23">
      <c r="A18" s="150">
        <v>7118</v>
      </c>
      <c r="B18" s="522" t="str">
        <f>+VLOOKUP($A18,Master!$D$30:$G$226,4,FALSE)</f>
        <v>Ostali državni porezi</v>
      </c>
      <c r="C18" s="523"/>
      <c r="D18" s="523"/>
      <c r="E18" s="523"/>
      <c r="F18" s="523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1098868.8</v>
      </c>
      <c r="O18" s="163">
        <v>1000141.28</v>
      </c>
      <c r="P18" s="163">
        <v>983657.3</v>
      </c>
      <c r="Q18" s="163">
        <v>987522</v>
      </c>
      <c r="R18" s="163">
        <v>990301.38</v>
      </c>
      <c r="S18" s="242">
        <f t="shared" si="4"/>
        <v>11255245.290000003</v>
      </c>
      <c r="T18" s="463">
        <f t="shared" si="3"/>
        <v>0.22714393144378461</v>
      </c>
      <c r="U18" s="501"/>
      <c r="V18" s="311"/>
    </row>
    <row r="19" spans="1:23">
      <c r="A19" s="150">
        <v>712</v>
      </c>
      <c r="B19" s="526" t="str">
        <f>+VLOOKUP($A19,Master!$D$30:$G$226,4,FALSE)</f>
        <v>Doprinosi</v>
      </c>
      <c r="C19" s="527"/>
      <c r="D19" s="527"/>
      <c r="E19" s="527"/>
      <c r="F19" s="527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49096195.219999999</v>
      </c>
      <c r="O19" s="169">
        <f t="shared" si="5"/>
        <v>47503080.450000003</v>
      </c>
      <c r="P19" s="169">
        <f t="shared" si="5"/>
        <v>44583829.93</v>
      </c>
      <c r="Q19" s="169">
        <f t="shared" si="5"/>
        <v>46560226.979999997</v>
      </c>
      <c r="R19" s="169">
        <f t="shared" si="5"/>
        <v>86995680.920000002</v>
      </c>
      <c r="S19" s="243">
        <f t="shared" si="4"/>
        <v>554476128.65999997</v>
      </c>
      <c r="T19" s="464">
        <f t="shared" si="3"/>
        <v>11.18997272031573</v>
      </c>
      <c r="U19" s="501"/>
      <c r="V19" s="311"/>
    </row>
    <row r="20" spans="1:23">
      <c r="A20" s="150">
        <v>7121</v>
      </c>
      <c r="B20" s="522" t="str">
        <f>+VLOOKUP($A20,Master!$D$30:$G$226,4,FALSE)</f>
        <v>Doprinosi za penzijsko i invalidsko osiguranje</v>
      </c>
      <c r="C20" s="523"/>
      <c r="D20" s="523"/>
      <c r="E20" s="523"/>
      <c r="F20" s="523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30394889.460000001</v>
      </c>
      <c r="O20" s="163">
        <v>29243345.5</v>
      </c>
      <c r="P20" s="163">
        <v>27909453.050000001</v>
      </c>
      <c r="Q20" s="163">
        <v>28933702.27</v>
      </c>
      <c r="R20" s="163">
        <v>54713937.329999998</v>
      </c>
      <c r="S20" s="242">
        <f>+SUM(G20:R20)</f>
        <v>343738250.03000003</v>
      </c>
      <c r="T20" s="463">
        <f t="shared" si="3"/>
        <v>6.9370373979135911</v>
      </c>
      <c r="U20" s="501"/>
      <c r="V20" s="311"/>
    </row>
    <row r="21" spans="1:23">
      <c r="A21" s="150">
        <v>7122</v>
      </c>
      <c r="B21" s="522" t="str">
        <f>+VLOOKUP($A21,Master!$D$30:$G$226,4,FALSE)</f>
        <v>Doprinosi za zdravstveno osiguranje</v>
      </c>
      <c r="C21" s="523"/>
      <c r="D21" s="523"/>
      <c r="E21" s="523"/>
      <c r="F21" s="523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16090735.119999999</v>
      </c>
      <c r="O21" s="163">
        <v>15676970.460000001</v>
      </c>
      <c r="P21" s="163">
        <v>14237401.24</v>
      </c>
      <c r="Q21" s="163">
        <v>15188463.41</v>
      </c>
      <c r="R21" s="163">
        <v>27627105</v>
      </c>
      <c r="S21" s="242">
        <f t="shared" si="4"/>
        <v>180566476.64000002</v>
      </c>
      <c r="T21" s="463">
        <f t="shared" si="3"/>
        <v>3.6440413633101629</v>
      </c>
      <c r="U21" s="501"/>
      <c r="V21" s="311"/>
    </row>
    <row r="22" spans="1:23">
      <c r="A22" s="150">
        <v>7123</v>
      </c>
      <c r="B22" s="522" t="str">
        <f>+VLOOKUP($A22,Master!$D$30:$G$226,4,FALSE)</f>
        <v>Doprinosi za osiguranje od nezaposlenosti</v>
      </c>
      <c r="C22" s="523"/>
      <c r="D22" s="523"/>
      <c r="E22" s="523"/>
      <c r="F22" s="523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1413222.93</v>
      </c>
      <c r="O22" s="163">
        <v>1381018.38</v>
      </c>
      <c r="P22" s="163">
        <v>1312625.81</v>
      </c>
      <c r="Q22" s="163">
        <v>1349119.82</v>
      </c>
      <c r="R22" s="163">
        <v>2523171.67</v>
      </c>
      <c r="S22" s="242">
        <f t="shared" si="4"/>
        <v>16358834.440000001</v>
      </c>
      <c r="T22" s="463">
        <f t="shared" si="3"/>
        <v>0.33014029217479474</v>
      </c>
      <c r="U22" s="501"/>
      <c r="V22" s="311"/>
    </row>
    <row r="23" spans="1:23">
      <c r="A23" s="150">
        <v>7124</v>
      </c>
      <c r="B23" s="522" t="str">
        <f>+VLOOKUP($A23,Master!$D$30:$G$226,4,FALSE)</f>
        <v>Ostali doprinosi</v>
      </c>
      <c r="C23" s="523"/>
      <c r="D23" s="523"/>
      <c r="E23" s="523"/>
      <c r="F23" s="523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1197347.71</v>
      </c>
      <c r="O23" s="163">
        <v>1201746.1100000001</v>
      </c>
      <c r="P23" s="163">
        <v>1124349.83</v>
      </c>
      <c r="Q23" s="163">
        <v>1088941.48</v>
      </c>
      <c r="R23" s="163">
        <v>2131466.92</v>
      </c>
      <c r="S23" s="242">
        <f t="shared" si="4"/>
        <v>13812567.550000001</v>
      </c>
      <c r="T23" s="463">
        <f t="shared" si="3"/>
        <v>0.27875366691718217</v>
      </c>
      <c r="U23" s="501"/>
      <c r="V23" s="311"/>
      <c r="W23" s="305"/>
    </row>
    <row r="24" spans="1:23">
      <c r="A24" s="150">
        <v>713</v>
      </c>
      <c r="B24" s="524" t="str">
        <f>+VLOOKUP($A24,Master!$D$30:$G$226,4,FALSE)</f>
        <v>Takse</v>
      </c>
      <c r="C24" s="525"/>
      <c r="D24" s="525"/>
      <c r="E24" s="525"/>
      <c r="F24" s="525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1647875.46</v>
      </c>
      <c r="O24" s="175">
        <v>1279203.6200000001</v>
      </c>
      <c r="P24" s="175">
        <v>999355.85</v>
      </c>
      <c r="Q24" s="175">
        <v>1092535.69</v>
      </c>
      <c r="R24" s="175">
        <v>1205165.5</v>
      </c>
      <c r="S24" s="243">
        <f t="shared" si="4"/>
        <v>12641917.529999999</v>
      </c>
      <c r="T24" s="464">
        <f t="shared" si="3"/>
        <v>0.25512858891699003</v>
      </c>
      <c r="U24" s="501"/>
      <c r="V24" s="311"/>
      <c r="W24" s="305"/>
    </row>
    <row r="25" spans="1:23">
      <c r="A25" s="150">
        <v>714</v>
      </c>
      <c r="B25" s="524" t="str">
        <f>+VLOOKUP($A25,Master!$D$30:$G$226,4,FALSE)</f>
        <v>Naknade</v>
      </c>
      <c r="C25" s="525"/>
      <c r="D25" s="525"/>
      <c r="E25" s="525"/>
      <c r="F25" s="525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3469493.29</v>
      </c>
      <c r="O25" s="175">
        <v>3922721.92</v>
      </c>
      <c r="P25" s="175">
        <v>4441066.2300000004</v>
      </c>
      <c r="Q25" s="175">
        <v>5178797.51</v>
      </c>
      <c r="R25" s="175">
        <v>12294668.549999999</v>
      </c>
      <c r="S25" s="243">
        <f t="shared" si="4"/>
        <v>51095041.979999997</v>
      </c>
      <c r="T25" s="464">
        <f t="shared" si="3"/>
        <v>1.0311573327445815</v>
      </c>
      <c r="U25" s="501"/>
      <c r="V25" s="311"/>
    </row>
    <row r="26" spans="1:23">
      <c r="A26" s="150">
        <v>715</v>
      </c>
      <c r="B26" s="524" t="str">
        <f>+VLOOKUP($A26,Master!$D$30:$G$226,4,FALSE)</f>
        <v>Ostali prihodi</v>
      </c>
      <c r="C26" s="525"/>
      <c r="D26" s="525"/>
      <c r="E26" s="525"/>
      <c r="F26" s="525"/>
      <c r="G26" s="175">
        <v>1525496.18</v>
      </c>
      <c r="H26" s="175">
        <v>1791757.35</v>
      </c>
      <c r="I26" s="175">
        <v>1693779.5</v>
      </c>
      <c r="J26" s="175">
        <v>1358988.92</v>
      </c>
      <c r="K26" s="175">
        <v>3754382.9</v>
      </c>
      <c r="L26" s="175">
        <v>2287001.67</v>
      </c>
      <c r="M26" s="175">
        <v>30215055.109999999</v>
      </c>
      <c r="N26" s="175">
        <v>2283335.13</v>
      </c>
      <c r="O26" s="175">
        <v>1871626.8</v>
      </c>
      <c r="P26" s="175">
        <v>1566793.48</v>
      </c>
      <c r="Q26" s="175">
        <v>1628758.26</v>
      </c>
      <c r="R26" s="175">
        <v>9339583.0500000007</v>
      </c>
      <c r="S26" s="243">
        <f t="shared" si="4"/>
        <v>59316558.349999994</v>
      </c>
      <c r="T26" s="464">
        <f t="shared" si="3"/>
        <v>1.1970770886090254</v>
      </c>
      <c r="U26" s="501"/>
      <c r="V26" s="311"/>
    </row>
    <row r="27" spans="1:23">
      <c r="A27" s="150">
        <v>73</v>
      </c>
      <c r="B27" s="524" t="str">
        <f>+VLOOKUP($A27,Master!$D$30:$G$226,4,FALSE)</f>
        <v>Primici od otplate kredita i sredstva prenesena iz prethodne godine</v>
      </c>
      <c r="C27" s="525"/>
      <c r="D27" s="525"/>
      <c r="E27" s="525"/>
      <c r="F27" s="525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594112.48</v>
      </c>
      <c r="O27" s="175">
        <v>261920.15</v>
      </c>
      <c r="P27" s="175">
        <v>739287.02</v>
      </c>
      <c r="Q27" s="175">
        <v>1198500.7600000002</v>
      </c>
      <c r="R27" s="175">
        <v>2260792.52</v>
      </c>
      <c r="S27" s="243">
        <f t="shared" si="4"/>
        <v>10101545.129999999</v>
      </c>
      <c r="T27" s="464">
        <f t="shared" si="3"/>
        <v>0.20386092131849184</v>
      </c>
      <c r="U27" s="501"/>
      <c r="V27" s="311"/>
    </row>
    <row r="28" spans="1:23" ht="13.5" thickBot="1">
      <c r="A28" s="150">
        <v>74</v>
      </c>
      <c r="B28" s="528" t="str">
        <f>+VLOOKUP($A28,Master!$D$30:$G$226,4,FALSE)</f>
        <v>Donacije i transferi</v>
      </c>
      <c r="C28" s="529"/>
      <c r="D28" s="529"/>
      <c r="E28" s="529"/>
      <c r="F28" s="529"/>
      <c r="G28" s="175">
        <v>196070.01</v>
      </c>
      <c r="H28" s="175">
        <v>1359247.78</v>
      </c>
      <c r="I28" s="175">
        <v>1522925.29</v>
      </c>
      <c r="J28" s="175">
        <v>1551438.49</v>
      </c>
      <c r="K28" s="175">
        <v>1021922.13</v>
      </c>
      <c r="L28" s="175">
        <v>2485028.85</v>
      </c>
      <c r="M28" s="175">
        <v>2374857.2999999998</v>
      </c>
      <c r="N28" s="175">
        <v>787318.87</v>
      </c>
      <c r="O28" s="175">
        <v>4215127.58</v>
      </c>
      <c r="P28" s="175">
        <v>3100970.75</v>
      </c>
      <c r="Q28" s="175">
        <v>2702380.72</v>
      </c>
      <c r="R28" s="175">
        <v>18559406.670000002</v>
      </c>
      <c r="S28" s="243">
        <f t="shared" si="4"/>
        <v>39876694.439999998</v>
      </c>
      <c r="T28" s="465">
        <f t="shared" si="3"/>
        <v>0.80475804078047819</v>
      </c>
      <c r="U28" s="501"/>
      <c r="V28" s="311"/>
    </row>
    <row r="29" spans="1:23" ht="13.5" thickBot="1">
      <c r="A29" s="150">
        <v>4</v>
      </c>
      <c r="B29" s="530" t="str">
        <f>+VLOOKUP($A29,Master!$D$30:$G$226,4,FALSE)</f>
        <v>Izdaci budžeta</v>
      </c>
      <c r="C29" s="531"/>
      <c r="D29" s="531"/>
      <c r="E29" s="531"/>
      <c r="F29" s="531"/>
      <c r="G29" s="151">
        <f>+G30+G40+G46+SUM(G47:G51)</f>
        <v>127396828.25</v>
      </c>
      <c r="H29" s="151">
        <f t="shared" ref="H29:R29" si="6">+H30+H40+H46+SUM(H47:H51)</f>
        <v>157167837.01000002</v>
      </c>
      <c r="I29" s="151">
        <f t="shared" si="6"/>
        <v>164445477.49000001</v>
      </c>
      <c r="J29" s="151">
        <f t="shared" si="6"/>
        <v>184229402.44</v>
      </c>
      <c r="K29" s="151">
        <f t="shared" si="6"/>
        <v>156160617.69999999</v>
      </c>
      <c r="L29" s="151">
        <f t="shared" si="6"/>
        <v>155954573.21000001</v>
      </c>
      <c r="M29" s="151">
        <f t="shared" si="6"/>
        <v>153615847.25999999</v>
      </c>
      <c r="N29" s="151">
        <f t="shared" si="6"/>
        <v>129238299.72999999</v>
      </c>
      <c r="O29" s="151">
        <f t="shared" si="6"/>
        <v>178825524.81</v>
      </c>
      <c r="P29" s="151">
        <f t="shared" si="6"/>
        <v>157199480.03</v>
      </c>
      <c r="Q29" s="151">
        <f t="shared" si="6"/>
        <v>171968946.21000004</v>
      </c>
      <c r="R29" s="151">
        <f t="shared" si="6"/>
        <v>274697551.67000002</v>
      </c>
      <c r="S29" s="245">
        <f t="shared" si="4"/>
        <v>2010900385.8100002</v>
      </c>
      <c r="T29" s="466">
        <f t="shared" si="3"/>
        <v>40.582306969402943</v>
      </c>
    </row>
    <row r="30" spans="1:23">
      <c r="A30" s="150">
        <v>41</v>
      </c>
      <c r="B30" s="534" t="str">
        <f>+VLOOKUP($A30,Master!$D$30:$G$226,4,FALSE)</f>
        <v>Tekući izdaci</v>
      </c>
      <c r="C30" s="535"/>
      <c r="D30" s="535"/>
      <c r="E30" s="535"/>
      <c r="F30" s="535"/>
      <c r="G30" s="187">
        <f t="shared" ref="G30:R30" si="7">+SUM(G31:G39)</f>
        <v>51210284.650000006</v>
      </c>
      <c r="H30" s="187">
        <f t="shared" si="7"/>
        <v>62965413.100000009</v>
      </c>
      <c r="I30" s="187">
        <f t="shared" si="7"/>
        <v>74935995.659999996</v>
      </c>
      <c r="J30" s="187">
        <f t="shared" si="7"/>
        <v>90496993.260000005</v>
      </c>
      <c r="K30" s="187">
        <f t="shared" si="7"/>
        <v>68124731.88000001</v>
      </c>
      <c r="L30" s="187">
        <f t="shared" si="7"/>
        <v>67097102.760000005</v>
      </c>
      <c r="M30" s="187">
        <f t="shared" si="7"/>
        <v>63481997.489999995</v>
      </c>
      <c r="N30" s="187">
        <f t="shared" si="7"/>
        <v>55427957.800000004</v>
      </c>
      <c r="O30" s="187">
        <f t="shared" si="7"/>
        <v>78413496.099999994</v>
      </c>
      <c r="P30" s="187">
        <f t="shared" si="7"/>
        <v>65409325.240000002</v>
      </c>
      <c r="Q30" s="187">
        <f t="shared" si="7"/>
        <v>70426763.63000001</v>
      </c>
      <c r="R30" s="246">
        <f t="shared" si="7"/>
        <v>127800869.73000002</v>
      </c>
      <c r="S30" s="423">
        <f t="shared" si="4"/>
        <v>875790931.30000007</v>
      </c>
      <c r="T30" s="462">
        <f t="shared" si="3"/>
        <v>17.67447888808254</v>
      </c>
      <c r="U30" s="242"/>
    </row>
    <row r="31" spans="1:23">
      <c r="A31" s="150">
        <v>411</v>
      </c>
      <c r="B31" s="522" t="str">
        <f>+VLOOKUP($A31,Master!$D$30:$G$226,4,FALSE)</f>
        <v>Bruto zarade i doprinosi na teret poslodavca</v>
      </c>
      <c r="C31" s="523"/>
      <c r="D31" s="523"/>
      <c r="E31" s="523"/>
      <c r="F31" s="523"/>
      <c r="G31" s="163">
        <v>40605076.340000004</v>
      </c>
      <c r="H31" s="163">
        <v>49306803.189999998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43807195.049999997</v>
      </c>
      <c r="N31" s="163">
        <v>42438933.920000002</v>
      </c>
      <c r="O31" s="163">
        <v>43464407.469999999</v>
      </c>
      <c r="P31" s="163">
        <v>44324596.259999998</v>
      </c>
      <c r="Q31" s="163">
        <v>42746815.590000004</v>
      </c>
      <c r="R31" s="163">
        <v>47109142.439999998</v>
      </c>
      <c r="S31" s="242">
        <f t="shared" si="4"/>
        <v>535131409.99000007</v>
      </c>
      <c r="T31" s="463">
        <f t="shared" si="3"/>
        <v>10.799573814013639</v>
      </c>
      <c r="U31" s="501"/>
      <c r="V31" s="311"/>
      <c r="W31" s="311"/>
    </row>
    <row r="32" spans="1:23">
      <c r="A32" s="150">
        <v>412</v>
      </c>
      <c r="B32" s="522" t="str">
        <f>+VLOOKUP($A32,Master!$D$30:$G$226,4,FALSE)</f>
        <v>Ostala lična primanja</v>
      </c>
      <c r="C32" s="523"/>
      <c r="D32" s="523"/>
      <c r="E32" s="523"/>
      <c r="F32" s="523"/>
      <c r="G32" s="163">
        <v>108603.95</v>
      </c>
      <c r="H32" s="163">
        <v>889477.21</v>
      </c>
      <c r="I32" s="163">
        <v>864515.21</v>
      </c>
      <c r="J32" s="163">
        <v>1093625.3</v>
      </c>
      <c r="K32" s="163">
        <v>847625.01</v>
      </c>
      <c r="L32" s="163">
        <v>813914.56</v>
      </c>
      <c r="M32" s="163">
        <v>749930.47</v>
      </c>
      <c r="N32" s="163">
        <v>668764.4</v>
      </c>
      <c r="O32" s="163">
        <v>915237.68</v>
      </c>
      <c r="P32" s="163">
        <v>879406.09</v>
      </c>
      <c r="Q32" s="163">
        <v>1196263.8500000001</v>
      </c>
      <c r="R32" s="163">
        <v>2247806.5299999998</v>
      </c>
      <c r="S32" s="242">
        <f t="shared" si="4"/>
        <v>11275170.26</v>
      </c>
      <c r="T32" s="463">
        <f t="shared" si="3"/>
        <v>0.22754604049632743</v>
      </c>
      <c r="U32" s="501"/>
      <c r="V32" s="311"/>
    </row>
    <row r="33" spans="1:24">
      <c r="A33" s="150">
        <v>413</v>
      </c>
      <c r="B33" s="522" t="str">
        <f>+VLOOKUP($A33,Master!$D$30:$G$226,4,FALSE)</f>
        <v>Rashodi za materijal</v>
      </c>
      <c r="C33" s="523"/>
      <c r="D33" s="523"/>
      <c r="E33" s="523"/>
      <c r="F33" s="523"/>
      <c r="G33" s="163">
        <v>596838.26</v>
      </c>
      <c r="H33" s="163">
        <v>1661848.94</v>
      </c>
      <c r="I33" s="163">
        <v>2846541.08</v>
      </c>
      <c r="J33" s="163">
        <v>2296904.4900000002</v>
      </c>
      <c r="K33" s="163">
        <v>3107444.27</v>
      </c>
      <c r="L33" s="163">
        <v>3282627.05</v>
      </c>
      <c r="M33" s="163">
        <v>1182931.33</v>
      </c>
      <c r="N33" s="163">
        <v>1969996.33</v>
      </c>
      <c r="O33" s="163">
        <v>2482311.52</v>
      </c>
      <c r="P33" s="163">
        <v>3816798.21</v>
      </c>
      <c r="Q33" s="163">
        <v>3299098.02</v>
      </c>
      <c r="R33" s="163">
        <v>8911018.8100000042</v>
      </c>
      <c r="S33" s="242">
        <f t="shared" si="4"/>
        <v>35454358.310000002</v>
      </c>
      <c r="T33" s="463">
        <f t="shared" si="3"/>
        <v>0.71551015778439897</v>
      </c>
      <c r="U33" s="501"/>
      <c r="V33" s="501"/>
      <c r="W33" s="502"/>
      <c r="X33" s="502"/>
    </row>
    <row r="34" spans="1:24" s="360" customFormat="1">
      <c r="A34" s="359">
        <v>414</v>
      </c>
      <c r="B34" s="617" t="str">
        <f>+VLOOKUP($A34,Master!$D$30:$G$226,4,FALSE)</f>
        <v>Rashodi za usluge</v>
      </c>
      <c r="C34" s="618"/>
      <c r="D34" s="618"/>
      <c r="E34" s="618"/>
      <c r="F34" s="618"/>
      <c r="G34" s="163">
        <v>1050676.99</v>
      </c>
      <c r="H34" s="163">
        <v>2622012.9300000002</v>
      </c>
      <c r="I34" s="163">
        <v>3354519.16</v>
      </c>
      <c r="J34" s="163">
        <v>6154506.5599999996</v>
      </c>
      <c r="K34" s="163">
        <v>5017598.9000000004</v>
      </c>
      <c r="L34" s="163">
        <v>3879531.65</v>
      </c>
      <c r="M34" s="163">
        <v>6369348.1299999999</v>
      </c>
      <c r="N34" s="163">
        <v>4219891.16</v>
      </c>
      <c r="O34" s="163">
        <v>4939166.8</v>
      </c>
      <c r="P34" s="163">
        <v>4343483.78</v>
      </c>
      <c r="Q34" s="163">
        <v>4786018.53</v>
      </c>
      <c r="R34" s="163">
        <v>13024531.369999999</v>
      </c>
      <c r="S34" s="242">
        <f t="shared" si="4"/>
        <v>59761285.959999993</v>
      </c>
      <c r="T34" s="463">
        <f t="shared" si="3"/>
        <v>1.2060522086667596</v>
      </c>
      <c r="U34" s="501"/>
    </row>
    <row r="35" spans="1:24">
      <c r="A35" s="150">
        <v>415</v>
      </c>
      <c r="B35" s="522" t="str">
        <f>+VLOOKUP($A35,Master!$D$30:$G$226,4,FALSE)</f>
        <v>Rashodi za tekuće održavanje</v>
      </c>
      <c r="C35" s="523"/>
      <c r="D35" s="523"/>
      <c r="E35" s="523"/>
      <c r="F35" s="523"/>
      <c r="G35" s="163">
        <v>189404.04</v>
      </c>
      <c r="H35" s="163">
        <v>914551.09</v>
      </c>
      <c r="I35" s="163">
        <v>2439729.2400000002</v>
      </c>
      <c r="J35" s="163">
        <v>1685725.93</v>
      </c>
      <c r="K35" s="163">
        <v>1714591.59</v>
      </c>
      <c r="L35" s="163">
        <v>1668289.12</v>
      </c>
      <c r="M35" s="163">
        <v>1673838.33</v>
      </c>
      <c r="N35" s="163">
        <v>625484.89</v>
      </c>
      <c r="O35" s="163">
        <v>2494776.16</v>
      </c>
      <c r="P35" s="163">
        <v>1622294.67</v>
      </c>
      <c r="Q35" s="163">
        <v>2048358.48</v>
      </c>
      <c r="R35" s="163">
        <v>4621532.54</v>
      </c>
      <c r="S35" s="242">
        <f t="shared" si="4"/>
        <v>21698576.079999998</v>
      </c>
      <c r="T35" s="463">
        <f t="shared" si="3"/>
        <v>0.43790248462397247</v>
      </c>
      <c r="U35" s="501"/>
      <c r="V35" s="311"/>
    </row>
    <row r="36" spans="1:24">
      <c r="A36" s="150">
        <v>416</v>
      </c>
      <c r="B36" s="522" t="str">
        <f>+VLOOKUP($A36,Master!$D$30:$G$226,4,FALSE)</f>
        <v>Kamate</v>
      </c>
      <c r="C36" s="523"/>
      <c r="D36" s="523"/>
      <c r="E36" s="523"/>
      <c r="F36" s="523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4536771.22</v>
      </c>
      <c r="N36" s="163">
        <v>1656473.82</v>
      </c>
      <c r="O36" s="163">
        <v>14251047.82</v>
      </c>
      <c r="P36" s="163">
        <v>1257915.1499999999</v>
      </c>
      <c r="Q36" s="163">
        <v>6572572.5</v>
      </c>
      <c r="R36" s="163">
        <v>26695596.420000002</v>
      </c>
      <c r="S36" s="242">
        <f>+SUM(G36:R36)</f>
        <v>114058902.18000002</v>
      </c>
      <c r="T36" s="463">
        <f t="shared" si="3"/>
        <v>2.3018412117899971</v>
      </c>
      <c r="U36" s="501"/>
      <c r="V36" s="311"/>
    </row>
    <row r="37" spans="1:24">
      <c r="A37" s="150">
        <v>417</v>
      </c>
      <c r="B37" s="522" t="str">
        <f>+VLOOKUP($A37,Master!$D$30:$G$226,4,FALSE)</f>
        <v>Renta</v>
      </c>
      <c r="C37" s="523"/>
      <c r="D37" s="523"/>
      <c r="E37" s="523"/>
      <c r="F37" s="523"/>
      <c r="G37" s="163">
        <v>38595.83</v>
      </c>
      <c r="H37" s="163">
        <v>967161.85</v>
      </c>
      <c r="I37" s="163">
        <v>803228.89</v>
      </c>
      <c r="J37" s="163">
        <v>789217.3</v>
      </c>
      <c r="K37" s="163">
        <v>642844.74</v>
      </c>
      <c r="L37" s="163">
        <v>989320.52</v>
      </c>
      <c r="M37" s="163">
        <v>776698.1</v>
      </c>
      <c r="N37" s="163">
        <v>599617.06999999995</v>
      </c>
      <c r="O37" s="163">
        <v>1289567.81</v>
      </c>
      <c r="P37" s="163">
        <v>956228.2</v>
      </c>
      <c r="Q37" s="163">
        <v>1013643.73</v>
      </c>
      <c r="R37" s="163">
        <v>2324906.65</v>
      </c>
      <c r="S37" s="242">
        <f t="shared" si="4"/>
        <v>11191030.690000001</v>
      </c>
      <c r="T37" s="463">
        <f t="shared" si="3"/>
        <v>0.22584800618189366</v>
      </c>
      <c r="U37" s="501"/>
      <c r="V37" s="311"/>
    </row>
    <row r="38" spans="1:24">
      <c r="A38" s="150">
        <v>418</v>
      </c>
      <c r="B38" s="522" t="str">
        <f>+VLOOKUP($A38,Master!$D$30:$G$226,4,FALSE)</f>
        <v>Subvencije</v>
      </c>
      <c r="C38" s="523"/>
      <c r="D38" s="523"/>
      <c r="E38" s="523"/>
      <c r="F38" s="523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1281724.1100000001</v>
      </c>
      <c r="O38" s="163">
        <v>5015730.92</v>
      </c>
      <c r="P38" s="163">
        <v>5211144.05</v>
      </c>
      <c r="Q38" s="163">
        <v>4749689.82</v>
      </c>
      <c r="R38" s="163">
        <v>13213431.09</v>
      </c>
      <c r="S38" s="242">
        <f t="shared" si="4"/>
        <v>48518773.370000005</v>
      </c>
      <c r="T38" s="463">
        <f t="shared" si="3"/>
        <v>0.97916523790764953</v>
      </c>
      <c r="U38" s="501"/>
      <c r="V38" s="311"/>
    </row>
    <row r="39" spans="1:24" s="360" customFormat="1">
      <c r="A39" s="359">
        <v>419</v>
      </c>
      <c r="B39" s="617" t="str">
        <f>+VLOOKUP($A39,Master!$D$30:$G$226,4,FALSE)</f>
        <v>Ostali izdaci</v>
      </c>
      <c r="C39" s="618"/>
      <c r="D39" s="618"/>
      <c r="E39" s="618"/>
      <c r="F39" s="618"/>
      <c r="G39" s="163">
        <v>792964.83</v>
      </c>
      <c r="H39" s="163">
        <v>2319532.63</v>
      </c>
      <c r="I39" s="163">
        <v>3429558.98</v>
      </c>
      <c r="J39" s="163">
        <v>2707945.17</v>
      </c>
      <c r="K39" s="163">
        <v>2591070.98</v>
      </c>
      <c r="L39" s="163">
        <v>2772575.41</v>
      </c>
      <c r="M39" s="163">
        <v>1894788.62</v>
      </c>
      <c r="N39" s="163">
        <v>1967072.1</v>
      </c>
      <c r="O39" s="163">
        <v>3561249.92</v>
      </c>
      <c r="P39" s="163">
        <v>2997458.83</v>
      </c>
      <c r="Q39" s="163">
        <v>4014303.11</v>
      </c>
      <c r="R39" s="163">
        <v>9652903.8800000008</v>
      </c>
      <c r="S39" s="242">
        <f t="shared" si="4"/>
        <v>38701424.460000001</v>
      </c>
      <c r="T39" s="463">
        <f t="shared" si="3"/>
        <v>0.78103972661790366</v>
      </c>
      <c r="U39" s="501"/>
      <c r="V39" s="311"/>
    </row>
    <row r="40" spans="1:24">
      <c r="A40" s="150">
        <v>42</v>
      </c>
      <c r="B40" s="538" t="str">
        <f>+VLOOKUP($A40,Master!$D$30:$G$226,4,FALSE)</f>
        <v>Transferi za socijalnu zaštitu</v>
      </c>
      <c r="C40" s="539"/>
      <c r="D40" s="539"/>
      <c r="E40" s="539"/>
      <c r="F40" s="539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47701801.869999997</v>
      </c>
      <c r="M40" s="193">
        <f t="shared" si="8"/>
        <v>46709328.349999994</v>
      </c>
      <c r="N40" s="193">
        <f t="shared" si="8"/>
        <v>48312853.209999993</v>
      </c>
      <c r="O40" s="193">
        <f t="shared" si="8"/>
        <v>47346058.890000001</v>
      </c>
      <c r="P40" s="193">
        <f t="shared" si="8"/>
        <v>47321393.019999996</v>
      </c>
      <c r="Q40" s="193">
        <f t="shared" si="8"/>
        <v>47602308.230000004</v>
      </c>
      <c r="R40" s="247">
        <f t="shared" si="8"/>
        <v>50150725.600000001</v>
      </c>
      <c r="S40" s="486">
        <f t="shared" si="4"/>
        <v>567405550.29999983</v>
      </c>
      <c r="T40" s="487">
        <f t="shared" si="3"/>
        <v>11.450903476326282</v>
      </c>
      <c r="U40" s="242"/>
    </row>
    <row r="41" spans="1:24">
      <c r="A41" s="150">
        <v>421</v>
      </c>
      <c r="B41" s="522" t="str">
        <f>+VLOOKUP($A41,Master!$D$30:$G$226,4,FALSE)</f>
        <v>Prava iz oblasti socijalne zaštite</v>
      </c>
      <c r="C41" s="523"/>
      <c r="D41" s="523"/>
      <c r="E41" s="523"/>
      <c r="F41" s="523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6922132.7699999996</v>
      </c>
      <c r="O41" s="163">
        <v>7012911.9400000004</v>
      </c>
      <c r="P41" s="163">
        <v>7587918.79</v>
      </c>
      <c r="Q41" s="163">
        <v>8108140.6100000003</v>
      </c>
      <c r="R41" s="163">
        <v>8364482.7699999996</v>
      </c>
      <c r="S41" s="242">
        <f t="shared" si="4"/>
        <v>84933837.310000002</v>
      </c>
      <c r="T41" s="463">
        <f t="shared" si="3"/>
        <v>1.7140635518926299</v>
      </c>
      <c r="U41" s="501"/>
      <c r="V41" s="311"/>
    </row>
    <row r="42" spans="1:24">
      <c r="A42" s="150">
        <v>422</v>
      </c>
      <c r="B42" s="522" t="str">
        <f>+VLOOKUP($A42,Master!$D$30:$G$226,4,FALSE)</f>
        <v>Sredstva za tehnološke viškove</v>
      </c>
      <c r="C42" s="523"/>
      <c r="D42" s="523"/>
      <c r="E42" s="523"/>
      <c r="F42" s="523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3011655.31</v>
      </c>
      <c r="O42" s="163">
        <v>1946279.26</v>
      </c>
      <c r="P42" s="163">
        <v>1580041.11</v>
      </c>
      <c r="Q42" s="163">
        <v>1693671.28</v>
      </c>
      <c r="R42" s="163">
        <v>3225105.76</v>
      </c>
      <c r="S42" s="242">
        <f t="shared" si="4"/>
        <v>23087428.329999998</v>
      </c>
      <c r="T42" s="463">
        <f t="shared" si="3"/>
        <v>0.46593113723271062</v>
      </c>
      <c r="U42" s="501"/>
      <c r="V42" s="311"/>
    </row>
    <row r="43" spans="1:24">
      <c r="A43" s="150">
        <v>423</v>
      </c>
      <c r="B43" s="522" t="str">
        <f>+VLOOKUP($A43,Master!$D$30:$G$226,4,FALSE)</f>
        <v>Prava iz oblasti penzijskog i invalidskog osiguranja</v>
      </c>
      <c r="C43" s="523"/>
      <c r="D43" s="523"/>
      <c r="E43" s="523"/>
      <c r="F43" s="523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35679553.039999999</v>
      </c>
      <c r="M43" s="163">
        <v>35659550.979999997</v>
      </c>
      <c r="N43" s="163">
        <v>35676248.939999998</v>
      </c>
      <c r="O43" s="163">
        <v>35868624.289999999</v>
      </c>
      <c r="P43" s="163">
        <v>35842810.990000002</v>
      </c>
      <c r="Q43" s="163">
        <v>35886030.640000001</v>
      </c>
      <c r="R43" s="163">
        <v>35788467.600000001</v>
      </c>
      <c r="S43" s="242">
        <f t="shared" si="4"/>
        <v>431007818.79000002</v>
      </c>
      <c r="T43" s="463">
        <f t="shared" si="3"/>
        <v>8.6982387251882702</v>
      </c>
      <c r="U43" s="501"/>
      <c r="V43" s="311"/>
    </row>
    <row r="44" spans="1:24">
      <c r="A44" s="150">
        <v>424</v>
      </c>
      <c r="B44" s="522" t="str">
        <f>+VLOOKUP($A44,Master!$D$30:$G$226,4,FALSE)</f>
        <v>Ostala prava iz oblasti zdravstvene zaštite</v>
      </c>
      <c r="C44" s="523"/>
      <c r="D44" s="523"/>
      <c r="E44" s="523"/>
      <c r="F44" s="523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1514594.61</v>
      </c>
      <c r="O44" s="163">
        <v>1755810.82</v>
      </c>
      <c r="P44" s="163">
        <v>978865.16</v>
      </c>
      <c r="Q44" s="163">
        <v>925856.6</v>
      </c>
      <c r="R44" s="163">
        <v>1584384.3</v>
      </c>
      <c r="S44" s="242">
        <f t="shared" si="4"/>
        <v>17077333.689999998</v>
      </c>
      <c r="T44" s="463">
        <f t="shared" si="3"/>
        <v>0.34464044212083023</v>
      </c>
      <c r="U44" s="501"/>
      <c r="V44" s="311"/>
    </row>
    <row r="45" spans="1:24" s="360" customFormat="1">
      <c r="A45" s="359">
        <v>425</v>
      </c>
      <c r="B45" s="613" t="str">
        <f>+VLOOKUP($A45,Master!$D$30:$G$226,4,FALSE)</f>
        <v>Ostala prava iz zdravstvenog osiguranja</v>
      </c>
      <c r="C45" s="614"/>
      <c r="D45" s="614"/>
      <c r="E45" s="614"/>
      <c r="F45" s="614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1188221.58</v>
      </c>
      <c r="O45" s="163">
        <v>762432.58</v>
      </c>
      <c r="P45" s="163">
        <v>1331756.97</v>
      </c>
      <c r="Q45" s="163">
        <v>988609.1</v>
      </c>
      <c r="R45" s="163">
        <v>1188285.17</v>
      </c>
      <c r="S45" s="242">
        <f t="shared" si="4"/>
        <v>11299132.18</v>
      </c>
      <c r="T45" s="463">
        <f t="shared" si="3"/>
        <v>0.22802961989184509</v>
      </c>
      <c r="U45" s="501"/>
      <c r="V45" s="311"/>
    </row>
    <row r="46" spans="1:24">
      <c r="A46" s="150">
        <v>43</v>
      </c>
      <c r="B46" s="536" t="str">
        <f>+VLOOKUP($A46,Master!$D$30:$G$226,4,FALSE)</f>
        <v xml:space="preserve">Transferi institucijama, pojedincima, nevladinom i javnom sektoru </v>
      </c>
      <c r="C46" s="537"/>
      <c r="D46" s="537"/>
      <c r="E46" s="537"/>
      <c r="F46" s="537"/>
      <c r="G46" s="175">
        <v>12392775.73</v>
      </c>
      <c r="H46" s="175">
        <v>21028699.079999998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18906470.68</v>
      </c>
      <c r="N46" s="175">
        <v>16083684.529999999</v>
      </c>
      <c r="O46" s="175">
        <v>26541391.52</v>
      </c>
      <c r="P46" s="175">
        <v>20455248.059999999</v>
      </c>
      <c r="Q46" s="175">
        <v>27077034.149999999</v>
      </c>
      <c r="R46" s="175">
        <v>29427111.050000001</v>
      </c>
      <c r="S46" s="243">
        <f t="shared" si="4"/>
        <v>257066480.46000004</v>
      </c>
      <c r="T46" s="464">
        <f t="shared" si="3"/>
        <v>5.1879003530896153</v>
      </c>
      <c r="U46" s="501"/>
      <c r="V46" s="311"/>
    </row>
    <row r="47" spans="1:24">
      <c r="A47" s="150">
        <v>44</v>
      </c>
      <c r="B47" s="536" t="str">
        <f>+VLOOKUP($A47,Master!$D$30:$G$226,4,FALSE)</f>
        <v>Kapitalni izdaci</v>
      </c>
      <c r="C47" s="537"/>
      <c r="D47" s="537"/>
      <c r="E47" s="537"/>
      <c r="F47" s="537"/>
      <c r="G47" s="175">
        <v>11603510.130000001</v>
      </c>
      <c r="H47" s="175">
        <v>4574318.42</v>
      </c>
      <c r="I47" s="175">
        <v>8279888.46</v>
      </c>
      <c r="J47" s="175">
        <v>16938736.609999999</v>
      </c>
      <c r="K47" s="175">
        <v>6491669.8099999996</v>
      </c>
      <c r="L47" s="175">
        <v>11935338.039999999</v>
      </c>
      <c r="M47" s="175">
        <v>13239855.810000001</v>
      </c>
      <c r="N47" s="175">
        <v>7339618.0199999996</v>
      </c>
      <c r="O47" s="175">
        <v>24684802.260000002</v>
      </c>
      <c r="P47" s="175">
        <v>20452763.75</v>
      </c>
      <c r="Q47" s="175">
        <v>19451903.010000002</v>
      </c>
      <c r="R47" s="175">
        <v>59175879.799999997</v>
      </c>
      <c r="S47" s="243">
        <f t="shared" si="4"/>
        <v>204168284.12</v>
      </c>
      <c r="T47" s="464">
        <f t="shared" si="3"/>
        <v>4.1203532696308223</v>
      </c>
      <c r="U47" s="501"/>
      <c r="V47" s="311"/>
    </row>
    <row r="48" spans="1:24">
      <c r="A48" s="150">
        <v>451</v>
      </c>
      <c r="B48" s="615" t="str">
        <f>+VLOOKUP($A48,Master!$D$30:$G$226,4,FALSE)</f>
        <v>Pozajmice i krediti</v>
      </c>
      <c r="C48" s="616"/>
      <c r="D48" s="616"/>
      <c r="E48" s="616"/>
      <c r="F48" s="616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320698</v>
      </c>
      <c r="Q48" s="163">
        <v>1680</v>
      </c>
      <c r="R48" s="163">
        <v>164365</v>
      </c>
      <c r="S48" s="242">
        <f t="shared" si="4"/>
        <v>1315523</v>
      </c>
      <c r="T48" s="463">
        <f t="shared" si="3"/>
        <v>2.6548783116278205E-2</v>
      </c>
      <c r="U48" s="501"/>
      <c r="V48" s="311"/>
    </row>
    <row r="49" spans="1:22" s="360" customFormat="1">
      <c r="A49" s="359">
        <v>47</v>
      </c>
      <c r="B49" s="607" t="str">
        <f>+VLOOKUP($A49,Master!$D$30:$G$226,4,FALSE)</f>
        <v>Rezerve</v>
      </c>
      <c r="C49" s="608"/>
      <c r="D49" s="608"/>
      <c r="E49" s="608"/>
      <c r="F49" s="608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1341810.29</v>
      </c>
      <c r="O49" s="163">
        <v>862178.99</v>
      </c>
      <c r="P49" s="163">
        <v>2434932.13</v>
      </c>
      <c r="Q49" s="163">
        <v>5966200</v>
      </c>
      <c r="R49" s="163">
        <v>5072697.09</v>
      </c>
      <c r="S49" s="242">
        <f t="shared" si="4"/>
        <v>71230165.420000002</v>
      </c>
      <c r="T49" s="463">
        <f t="shared" si="3"/>
        <v>1.4375075259590291</v>
      </c>
      <c r="U49" s="501"/>
      <c r="V49" s="311"/>
    </row>
    <row r="50" spans="1:22" ht="13.5" thickBot="1">
      <c r="A50" s="150">
        <v>462</v>
      </c>
      <c r="B50" s="542" t="str">
        <f>+VLOOKUP($A50,Master!$D$30:$G$226,4,FALSE)</f>
        <v>Otplata garancija</v>
      </c>
      <c r="C50" s="543"/>
      <c r="D50" s="543"/>
      <c r="E50" s="543"/>
      <c r="F50" s="543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3879755.68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7711252.0800000001</v>
      </c>
      <c r="T50" s="463">
        <f t="shared" si="3"/>
        <v>0.15562202943382153</v>
      </c>
      <c r="U50" s="501"/>
      <c r="V50" s="311"/>
    </row>
    <row r="51" spans="1:22" ht="13.5" thickBot="1">
      <c r="A51" s="144">
        <v>4630</v>
      </c>
      <c r="B51" s="609" t="str">
        <f>+VLOOKUP($A51,Master!$D$30:$G$226,4,TRUE)</f>
        <v>Otplata obaveza iz prethodnog perioda</v>
      </c>
      <c r="C51" s="610"/>
      <c r="D51" s="610"/>
      <c r="E51" s="610"/>
      <c r="F51" s="610"/>
      <c r="G51" s="457">
        <v>1018944.7</v>
      </c>
      <c r="H51" s="457">
        <v>1642283.23</v>
      </c>
      <c r="I51" s="457">
        <v>1493597.85</v>
      </c>
      <c r="J51" s="457">
        <v>1366097.79</v>
      </c>
      <c r="K51" s="457">
        <v>11033574.689999999</v>
      </c>
      <c r="L51" s="457">
        <v>1293176.52</v>
      </c>
      <c r="M51" s="457">
        <v>1500471</v>
      </c>
      <c r="N51" s="457">
        <v>732375.88</v>
      </c>
      <c r="O51" s="457">
        <v>977597.05</v>
      </c>
      <c r="P51" s="457">
        <v>805119.83</v>
      </c>
      <c r="Q51" s="457">
        <v>1443057.19</v>
      </c>
      <c r="R51" s="458">
        <v>2905903.4</v>
      </c>
      <c r="S51" s="424">
        <f>+SUM(G51:R51)</f>
        <v>26212199.129999999</v>
      </c>
      <c r="T51" s="467">
        <f t="shared" si="3"/>
        <v>0.52899264376454558</v>
      </c>
      <c r="U51" s="501"/>
      <c r="V51" s="311"/>
    </row>
    <row r="52" spans="1:22" ht="13.5" thickBot="1">
      <c r="A52" s="70">
        <v>1005</v>
      </c>
      <c r="B52" s="611" t="str">
        <f>+VLOOKUP($A52,Master!$D$30:$G$228,4,FALSE)</f>
        <v>Neto povećanje obaveza</v>
      </c>
      <c r="C52" s="612"/>
      <c r="D52" s="612"/>
      <c r="E52" s="612"/>
      <c r="F52" s="612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68">
        <f t="shared" si="3"/>
        <v>0</v>
      </c>
      <c r="U52" s="480"/>
    </row>
    <row r="53" spans="1:22" ht="13.5" thickBot="1">
      <c r="A53" s="144">
        <v>1000</v>
      </c>
      <c r="B53" s="544" t="str">
        <f>+VLOOKUP($A53,Master!$D$30:$G$226,4,FALSE)</f>
        <v>Suficit / deficit</v>
      </c>
      <c r="C53" s="545"/>
      <c r="D53" s="545"/>
      <c r="E53" s="545"/>
      <c r="F53" s="545"/>
      <c r="G53" s="151">
        <f t="shared" ref="G53:R53" si="9">+G10-G29</f>
        <v>-38751674.789999992</v>
      </c>
      <c r="H53" s="151">
        <f t="shared" si="9"/>
        <v>-51565783.740000024</v>
      </c>
      <c r="I53" s="151">
        <f t="shared" si="9"/>
        <v>-10252721.300000012</v>
      </c>
      <c r="J53" s="151">
        <f t="shared" si="9"/>
        <v>-40133895.059999973</v>
      </c>
      <c r="K53" s="151">
        <f t="shared" si="9"/>
        <v>-19579024.299999982</v>
      </c>
      <c r="L53" s="151">
        <f t="shared" si="9"/>
        <v>3022643.0600000024</v>
      </c>
      <c r="M53" s="151">
        <f t="shared" si="9"/>
        <v>40483691.370000005</v>
      </c>
      <c r="N53" s="151">
        <f t="shared" si="9"/>
        <v>60867446.030000001</v>
      </c>
      <c r="O53" s="151">
        <f t="shared" si="9"/>
        <v>-6754932.9099999964</v>
      </c>
      <c r="P53" s="151">
        <f t="shared" si="9"/>
        <v>2802069.7200000286</v>
      </c>
      <c r="Q53" s="151">
        <f t="shared" si="9"/>
        <v>-13365967.390000045</v>
      </c>
      <c r="R53" s="151">
        <f t="shared" si="9"/>
        <v>-26290196.959999979</v>
      </c>
      <c r="S53" s="248">
        <f t="shared" si="4"/>
        <v>-99518346.269999951</v>
      </c>
      <c r="T53" s="469">
        <f t="shared" si="3"/>
        <v>-2.0083958936581898</v>
      </c>
      <c r="U53" s="501"/>
      <c r="V53" s="311"/>
    </row>
    <row r="54" spans="1:22" ht="13.5" thickBot="1">
      <c r="A54" s="144">
        <v>1001</v>
      </c>
      <c r="B54" s="546" t="str">
        <f>+VLOOKUP($A54,Master!$D$30:$G$226,4,FALSE)</f>
        <v>Primarni suficit/deficit</v>
      </c>
      <c r="C54" s="547"/>
      <c r="D54" s="547"/>
      <c r="E54" s="547"/>
      <c r="F54" s="547"/>
      <c r="G54" s="205">
        <f t="shared" ref="G54:R54" si="10">+G53+G36</f>
        <v>-31174189.719999991</v>
      </c>
      <c r="H54" s="205">
        <f t="shared" si="10"/>
        <v>-49601593.360000022</v>
      </c>
      <c r="I54" s="205">
        <f t="shared" si="10"/>
        <v>4535261.2699999884</v>
      </c>
      <c r="J54" s="205">
        <f t="shared" si="10"/>
        <v>-17365383.099999972</v>
      </c>
      <c r="K54" s="205">
        <f t="shared" si="10"/>
        <v>-12878723.459999982</v>
      </c>
      <c r="L54" s="205">
        <f t="shared" si="10"/>
        <v>8312697.4900000021</v>
      </c>
      <c r="M54" s="205">
        <f t="shared" si="10"/>
        <v>45020462.590000004</v>
      </c>
      <c r="N54" s="205">
        <f t="shared" si="10"/>
        <v>62523919.850000001</v>
      </c>
      <c r="O54" s="205">
        <f t="shared" si="10"/>
        <v>7496114.9100000039</v>
      </c>
      <c r="P54" s="205">
        <f t="shared" si="10"/>
        <v>4059984.8700000285</v>
      </c>
      <c r="Q54" s="205">
        <f t="shared" si="10"/>
        <v>-6793394.8900000453</v>
      </c>
      <c r="R54" s="205">
        <f t="shared" si="10"/>
        <v>405399.46000002325</v>
      </c>
      <c r="S54" s="248">
        <f t="shared" si="4"/>
        <v>14540555.910000049</v>
      </c>
      <c r="T54" s="469">
        <f t="shared" si="3"/>
        <v>0.29344531813180658</v>
      </c>
    </row>
    <row r="55" spans="1:22">
      <c r="A55" s="144">
        <v>46</v>
      </c>
      <c r="B55" s="568" t="str">
        <f>+VLOOKUP($A55,Master!$D$30:$G$226,4,FALSE)</f>
        <v>Otplata dugova</v>
      </c>
      <c r="C55" s="569"/>
      <c r="D55" s="569"/>
      <c r="E55" s="569"/>
      <c r="F55" s="569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12976050.960000001</v>
      </c>
      <c r="O55" s="193">
        <f t="shared" si="11"/>
        <v>11336186.489999998</v>
      </c>
      <c r="P55" s="193">
        <f t="shared" si="11"/>
        <v>7558722.7800000003</v>
      </c>
      <c r="Q55" s="193">
        <f t="shared" si="11"/>
        <v>17747948.740000002</v>
      </c>
      <c r="R55" s="193">
        <f t="shared" si="11"/>
        <v>12061111.439999999</v>
      </c>
      <c r="S55" s="249">
        <f t="shared" si="4"/>
        <v>437597431.75</v>
      </c>
      <c r="T55" s="470">
        <f t="shared" si="3"/>
        <v>8.8312247735471772</v>
      </c>
    </row>
    <row r="56" spans="1:22">
      <c r="A56" s="144">
        <v>4611</v>
      </c>
      <c r="B56" s="564" t="str">
        <f>+VLOOKUP($A56,Master!$D$30:$G$226,4,FALSE)</f>
        <v>Otplata hartija od vrijednosti i kredita rezidentima</v>
      </c>
      <c r="C56" s="565"/>
      <c r="D56" s="565"/>
      <c r="E56" s="565"/>
      <c r="F56" s="565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1750047.75</v>
      </c>
      <c r="O56" s="211">
        <v>2421267.87</v>
      </c>
      <c r="P56" s="211">
        <v>3875503.62</v>
      </c>
      <c r="Q56" s="211">
        <v>8560164.7799999993</v>
      </c>
      <c r="R56" s="211">
        <v>2536618.6</v>
      </c>
      <c r="S56" s="250">
        <f t="shared" si="4"/>
        <v>85309098.780000001</v>
      </c>
      <c r="T56" s="471">
        <f t="shared" si="3"/>
        <v>1.7216367645076323</v>
      </c>
      <c r="U56" s="501"/>
      <c r="V56" s="311"/>
    </row>
    <row r="57" spans="1:22" ht="13.5" thickBot="1">
      <c r="A57" s="144">
        <v>4612</v>
      </c>
      <c r="B57" s="540" t="str">
        <f>+VLOOKUP($A57,Master!$D$30:$G$226,4,FALSE)</f>
        <v>Otplata hartija od vrijednosti i kredita nerezidentima</v>
      </c>
      <c r="C57" s="541"/>
      <c r="D57" s="541"/>
      <c r="E57" s="541"/>
      <c r="F57" s="541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11226003.210000001</v>
      </c>
      <c r="O57" s="211">
        <v>8914918.6199999992</v>
      </c>
      <c r="P57" s="211">
        <v>3683219.16</v>
      </c>
      <c r="Q57" s="211">
        <v>9187783.9600000009</v>
      </c>
      <c r="R57" s="211">
        <v>9524492.8399999999</v>
      </c>
      <c r="S57" s="250">
        <f t="shared" si="4"/>
        <v>352288332.96999997</v>
      </c>
      <c r="T57" s="471">
        <f t="shared" si="3"/>
        <v>7.1095880090395456</v>
      </c>
      <c r="U57" s="501"/>
      <c r="V57" s="311"/>
    </row>
    <row r="58" spans="1:22" ht="13.5" thickBot="1">
      <c r="A58" s="144">
        <v>4418</v>
      </c>
      <c r="B58" s="532" t="str">
        <f>+VLOOKUP($A58,Master!$D$30:$G$226,4,FALSE)</f>
        <v>Izdaci za kupovinu hartija od vrijednosti</v>
      </c>
      <c r="C58" s="533"/>
      <c r="D58" s="533"/>
      <c r="E58" s="533"/>
      <c r="F58" s="533"/>
      <c r="G58" s="459">
        <v>0</v>
      </c>
      <c r="H58" s="459">
        <v>0</v>
      </c>
      <c r="I58" s="459">
        <v>0</v>
      </c>
      <c r="J58" s="459">
        <v>0</v>
      </c>
      <c r="K58" s="459">
        <v>0</v>
      </c>
      <c r="L58" s="459">
        <v>0</v>
      </c>
      <c r="M58" s="459">
        <v>0</v>
      </c>
      <c r="N58" s="459">
        <v>0</v>
      </c>
      <c r="O58" s="459">
        <v>0</v>
      </c>
      <c r="P58" s="459">
        <v>506343.98</v>
      </c>
      <c r="Q58" s="459">
        <v>0</v>
      </c>
      <c r="R58" s="460">
        <v>0</v>
      </c>
      <c r="S58" s="249">
        <f>SUM(G58:R58)</f>
        <v>506343.98</v>
      </c>
      <c r="T58" s="472">
        <f t="shared" si="3"/>
        <v>1.0218610018413293E-2</v>
      </c>
    </row>
    <row r="59" spans="1:22" ht="13.5" thickBot="1">
      <c r="A59" s="144">
        <v>1002</v>
      </c>
      <c r="B59" s="566" t="str">
        <f>+VLOOKUP($A59,Master!$D$30:$G$226,4,FALSE)</f>
        <v>Nedostajuća sredstva</v>
      </c>
      <c r="C59" s="567"/>
      <c r="D59" s="567"/>
      <c r="E59" s="567"/>
      <c r="F59" s="567"/>
      <c r="G59" s="217">
        <f>+G53-G55-G58</f>
        <v>-62082443.609999992</v>
      </c>
      <c r="H59" s="217">
        <f t="shared" ref="H59:R59" si="12">+H53-H55-H58</f>
        <v>-75820805.090000033</v>
      </c>
      <c r="I59" s="217">
        <f t="shared" si="12"/>
        <v>-249036492.54000002</v>
      </c>
      <c r="J59" s="217">
        <f t="shared" si="12"/>
        <v>-72987358.319999963</v>
      </c>
      <c r="K59" s="217">
        <f t="shared" si="12"/>
        <v>-35861852.219999984</v>
      </c>
      <c r="L59" s="217">
        <f t="shared" si="12"/>
        <v>-12030240.539999999</v>
      </c>
      <c r="M59" s="217">
        <f t="shared" si="12"/>
        <v>15125016.220000003</v>
      </c>
      <c r="N59" s="217">
        <f t="shared" si="12"/>
        <v>47891395.07</v>
      </c>
      <c r="O59" s="217">
        <f t="shared" si="12"/>
        <v>-18091119.399999995</v>
      </c>
      <c r="P59" s="217">
        <f t="shared" si="12"/>
        <v>-5262997.0399999712</v>
      </c>
      <c r="Q59" s="217">
        <f t="shared" si="12"/>
        <v>-31113916.130000047</v>
      </c>
      <c r="R59" s="217">
        <f t="shared" si="12"/>
        <v>-38351308.399999976</v>
      </c>
      <c r="S59" s="251">
        <f t="shared" si="4"/>
        <v>-537622121.99999988</v>
      </c>
      <c r="T59" s="473">
        <f t="shared" si="3"/>
        <v>-10.849839277223779</v>
      </c>
    </row>
    <row r="60" spans="1:22" ht="13.5" thickBot="1">
      <c r="A60" s="144">
        <v>1003</v>
      </c>
      <c r="B60" s="530" t="str">
        <f>+VLOOKUP($A60,Master!$D$30:$G$226,4,FALSE)</f>
        <v>Finansiranje</v>
      </c>
      <c r="C60" s="531"/>
      <c r="D60" s="531"/>
      <c r="E60" s="531"/>
      <c r="F60" s="531"/>
      <c r="G60" s="151">
        <f>+SUM(G61:G64)</f>
        <v>62082443.609999992</v>
      </c>
      <c r="H60" s="151">
        <f t="shared" ref="H60:R60" si="13">+SUM(H61:H64)</f>
        <v>75820805.090000033</v>
      </c>
      <c r="I60" s="151">
        <f t="shared" si="13"/>
        <v>249036492.54000002</v>
      </c>
      <c r="J60" s="151">
        <f t="shared" si="13"/>
        <v>72987358.319999963</v>
      </c>
      <c r="K60" s="151">
        <f t="shared" si="13"/>
        <v>35861852.219999984</v>
      </c>
      <c r="L60" s="151">
        <f t="shared" si="13"/>
        <v>12030240.539999999</v>
      </c>
      <c r="M60" s="151">
        <f t="shared" si="13"/>
        <v>-15125016.220000003</v>
      </c>
      <c r="N60" s="151">
        <f t="shared" si="13"/>
        <v>-47891395.07</v>
      </c>
      <c r="O60" s="151">
        <f t="shared" si="13"/>
        <v>18091119.399999995</v>
      </c>
      <c r="P60" s="151">
        <f t="shared" si="13"/>
        <v>5262997.0399999712</v>
      </c>
      <c r="Q60" s="151">
        <f t="shared" si="13"/>
        <v>31113916.130000047</v>
      </c>
      <c r="R60" s="151">
        <f t="shared" si="13"/>
        <v>38351308.399999976</v>
      </c>
      <c r="S60" s="252">
        <f t="shared" si="4"/>
        <v>537622121.99999988</v>
      </c>
      <c r="T60" s="474">
        <f t="shared" si="3"/>
        <v>10.849839277223779</v>
      </c>
    </row>
    <row r="61" spans="1:22">
      <c r="A61" s="144">
        <v>7511</v>
      </c>
      <c r="B61" s="564" t="str">
        <f>+VLOOKUP($A61,Master!$D$30:$G$226,4,FALSE)</f>
        <v>Pozajmice i krediti od domaćih izvora</v>
      </c>
      <c r="C61" s="565"/>
      <c r="D61" s="565"/>
      <c r="E61" s="565"/>
      <c r="F61" s="565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5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1">
        <f t="shared" si="3"/>
        <v>0</v>
      </c>
      <c r="U61" s="501"/>
      <c r="V61" s="311"/>
    </row>
    <row r="62" spans="1:22">
      <c r="A62" s="144">
        <v>7512</v>
      </c>
      <c r="B62" s="540" t="str">
        <f>+VLOOKUP($A62,Master!$D$30:$G$226,4,FALSE)</f>
        <v>Pozajmice i krediti od inostranih izvora</v>
      </c>
      <c r="C62" s="541"/>
      <c r="D62" s="541"/>
      <c r="E62" s="541"/>
      <c r="F62" s="541"/>
      <c r="G62" s="211">
        <v>8076079.9500000002</v>
      </c>
      <c r="H62" s="211">
        <v>3769107.63</v>
      </c>
      <c r="I62" s="211">
        <v>1856107.06</v>
      </c>
      <c r="J62" s="211">
        <v>15210844.42</v>
      </c>
      <c r="K62" s="211">
        <v>3053139.49</v>
      </c>
      <c r="L62" s="211">
        <v>34333659.25</v>
      </c>
      <c r="M62" s="485">
        <v>5377316.7300000004</v>
      </c>
      <c r="N62" s="211">
        <v>5769169.6600000001</v>
      </c>
      <c r="O62" s="211">
        <v>7472230.3099999996</v>
      </c>
      <c r="P62" s="211">
        <v>7427156.0800000001</v>
      </c>
      <c r="Q62" s="211">
        <v>11705434.800000001</v>
      </c>
      <c r="R62" s="211">
        <v>19527458.25</v>
      </c>
      <c r="S62" s="250">
        <f t="shared" si="4"/>
        <v>123577703.63</v>
      </c>
      <c r="T62" s="471">
        <f t="shared" si="3"/>
        <v>2.4939416883479617</v>
      </c>
      <c r="U62" s="501"/>
      <c r="V62" s="311"/>
    </row>
    <row r="63" spans="1:22">
      <c r="A63" s="144">
        <v>72</v>
      </c>
      <c r="B63" s="540" t="str">
        <f>+VLOOKUP($A63,Master!$D$30:$G$226,4,FALSE)</f>
        <v>Primici od prodaje imovine</v>
      </c>
      <c r="C63" s="541"/>
      <c r="D63" s="541"/>
      <c r="E63" s="541"/>
      <c r="F63" s="541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5">
        <v>183425.54</v>
      </c>
      <c r="N63" s="211">
        <v>207661.26</v>
      </c>
      <c r="O63" s="211">
        <v>176272.14</v>
      </c>
      <c r="P63" s="211">
        <v>306257.21000000002</v>
      </c>
      <c r="Q63" s="211">
        <v>104172.28</v>
      </c>
      <c r="R63" s="211">
        <v>2806225.74</v>
      </c>
      <c r="S63" s="250">
        <f t="shared" si="4"/>
        <v>4453578.24</v>
      </c>
      <c r="T63" s="471">
        <f t="shared" si="3"/>
        <v>8.9878385087251239E-2</v>
      </c>
      <c r="U63" s="501"/>
      <c r="V63" s="311"/>
    </row>
    <row r="64" spans="1:22" ht="13.5" thickBot="1">
      <c r="A64" s="144">
        <v>1004</v>
      </c>
      <c r="B64" s="223" t="str">
        <f>+VLOOKUP($A64,Master!$D$30:$G$226,4,FALSE)</f>
        <v>Povećanje / smanjenje depozita</v>
      </c>
      <c r="C64" s="224"/>
      <c r="D64" s="224"/>
      <c r="E64" s="224"/>
      <c r="F64" s="224"/>
      <c r="G64" s="225">
        <f>-G59-SUM(G61:G63)</f>
        <v>53971615.04999999</v>
      </c>
      <c r="H64" s="225">
        <f t="shared" ref="H64:R64" si="14">-H59-SUM(H61:H63)</f>
        <v>72022129.13000004</v>
      </c>
      <c r="I64" s="225">
        <f t="shared" si="14"/>
        <v>247128221.09000003</v>
      </c>
      <c r="J64" s="225">
        <f t="shared" si="14"/>
        <v>57737261.929999962</v>
      </c>
      <c r="K64" s="225">
        <f t="shared" si="14"/>
        <v>32511561.159999985</v>
      </c>
      <c r="L64" s="225">
        <f t="shared" si="14"/>
        <v>-22520097.910000004</v>
      </c>
      <c r="M64" s="225">
        <f t="shared" si="14"/>
        <v>-20685758.490000002</v>
      </c>
      <c r="N64" s="225">
        <f t="shared" si="14"/>
        <v>-53868225.990000002</v>
      </c>
      <c r="O64" s="225">
        <f t="shared" si="14"/>
        <v>10442616.949999996</v>
      </c>
      <c r="P64" s="225">
        <f t="shared" si="14"/>
        <v>-2470416.2500000289</v>
      </c>
      <c r="Q64" s="225">
        <f t="shared" si="14"/>
        <v>19304309.050000049</v>
      </c>
      <c r="R64" s="225">
        <f t="shared" si="14"/>
        <v>16017624.409999974</v>
      </c>
      <c r="S64" s="253">
        <f>+SUM(G64:R64)</f>
        <v>409590840.13</v>
      </c>
      <c r="T64" s="475">
        <f t="shared" si="3"/>
        <v>8.2660192037885682</v>
      </c>
    </row>
    <row r="65" spans="7:18">
      <c r="R65" s="312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96" t="str">
        <f>+Master!G253</f>
        <v>Plan ostvarenja budžeta</v>
      </c>
      <c r="C81" s="597"/>
      <c r="D81" s="597"/>
      <c r="E81" s="597"/>
      <c r="F81" s="597"/>
      <c r="G81" s="604">
        <v>2021</v>
      </c>
      <c r="H81" s="605"/>
      <c r="I81" s="605"/>
      <c r="J81" s="605"/>
      <c r="K81" s="605"/>
      <c r="L81" s="605"/>
      <c r="M81" s="605"/>
      <c r="N81" s="605"/>
      <c r="O81" s="605"/>
      <c r="P81" s="605"/>
      <c r="Q81" s="605"/>
      <c r="R81" s="606"/>
      <c r="S81" s="107" t="str">
        <f>+S7</f>
        <v>BDP</v>
      </c>
      <c r="T81" s="108">
        <v>4636600000</v>
      </c>
    </row>
    <row r="82" spans="1:21" ht="15.75" customHeight="1">
      <c r="B82" s="598"/>
      <c r="C82" s="599"/>
      <c r="D82" s="599"/>
      <c r="E82" s="599"/>
      <c r="F82" s="600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604" t="str">
        <f>+Master!G247</f>
        <v>Jan - Dec</v>
      </c>
      <c r="T82" s="606">
        <f>+T8</f>
        <v>0</v>
      </c>
    </row>
    <row r="83" spans="1:21" ht="13.5" thickBot="1">
      <c r="B83" s="601"/>
      <c r="C83" s="602"/>
      <c r="D83" s="602"/>
      <c r="E83" s="602"/>
      <c r="F83" s="603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15" si="17">+CONCATENATE(A10,"p")</f>
        <v>7p</v>
      </c>
      <c r="B84" s="620" t="str">
        <f>+VLOOKUP(LEFT($A84,LEN(A84)-1)*1,Master!$D$30:$G$226,4,FALSE)</f>
        <v>Prihodi budžeta</v>
      </c>
      <c r="C84" s="621"/>
      <c r="D84" s="621"/>
      <c r="E84" s="621"/>
      <c r="F84" s="621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2">
        <f>+SUM(G84:R84)</f>
        <v>1880205845.3399</v>
      </c>
      <c r="T84" s="476">
        <f>+S84/$T$81*100</f>
        <v>40.551392083421042</v>
      </c>
      <c r="U84" s="257"/>
    </row>
    <row r="85" spans="1:21">
      <c r="A85" s="116" t="str">
        <f t="shared" si="17"/>
        <v>711p</v>
      </c>
      <c r="B85" s="594" t="str">
        <f>+VLOOKUP(LEFT($A85,LEN(A85)-1)*1,Master!$D$30:$G$226,4,FALSE)</f>
        <v>Porezi</v>
      </c>
      <c r="C85" s="595"/>
      <c r="D85" s="595"/>
      <c r="E85" s="595"/>
      <c r="F85" s="595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2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86" t="str">
        <f>+VLOOKUP(LEFT($A86,LEN(A86)-1)*1,Master!$D$30:$G$229,4,FALSE)</f>
        <v>Porez na dohodak fizičkih lica</v>
      </c>
      <c r="C86" s="587"/>
      <c r="D86" s="587"/>
      <c r="E86" s="587"/>
      <c r="F86" s="587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3">
        <f t="shared" si="21"/>
        <v>3.342095146967782</v>
      </c>
    </row>
    <row r="87" spans="1:21">
      <c r="A87" s="116" t="str">
        <f t="shared" si="17"/>
        <v>7112p</v>
      </c>
      <c r="B87" s="586" t="str">
        <f>+VLOOKUP(LEFT($A87,LEN(A87)-1)*1,Master!$D$30:$G$229,4,FALSE)</f>
        <v>Porez na dobit pravnih lica</v>
      </c>
      <c r="C87" s="587"/>
      <c r="D87" s="587"/>
      <c r="E87" s="587"/>
      <c r="F87" s="587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3">
        <f t="shared" si="21"/>
        <v>1.2943922881014109</v>
      </c>
    </row>
    <row r="88" spans="1:21">
      <c r="A88" s="116" t="str">
        <f t="shared" si="17"/>
        <v>7113p</v>
      </c>
      <c r="B88" s="586" t="str">
        <f>+VLOOKUP(LEFT($A88,LEN(A88)-1)*1,Master!$D$30:$G$229,4,FALSE)</f>
        <v>Porez na promet nepokretnosti</v>
      </c>
      <c r="C88" s="587"/>
      <c r="D88" s="587"/>
      <c r="E88" s="587"/>
      <c r="F88" s="587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3">
        <f t="shared" si="21"/>
        <v>3.4703770606910232E-2</v>
      </c>
    </row>
    <row r="89" spans="1:21">
      <c r="A89" s="116" t="str">
        <f t="shared" si="17"/>
        <v>7114p</v>
      </c>
      <c r="B89" s="586" t="str">
        <f>+VLOOKUP(LEFT($A89,LEN(A89)-1)*1,Master!$D$30:$G$229,4,FALSE)</f>
        <v>Porez na dodatu vrijednost</v>
      </c>
      <c r="C89" s="587"/>
      <c r="D89" s="587"/>
      <c r="E89" s="587"/>
      <c r="F89" s="587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3">
        <f t="shared" si="21"/>
        <v>13.195240452948015</v>
      </c>
    </row>
    <row r="90" spans="1:21">
      <c r="A90" s="116" t="str">
        <f t="shared" si="17"/>
        <v>7115p</v>
      </c>
      <c r="B90" s="586" t="str">
        <f>+VLOOKUP(LEFT($A90,LEN(A90)-1)*1,Master!$D$30:$G$229,4,FALSE)</f>
        <v>Akcize</v>
      </c>
      <c r="C90" s="587"/>
      <c r="D90" s="587"/>
      <c r="E90" s="587"/>
      <c r="F90" s="587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3">
        <f t="shared" si="21"/>
        <v>5.1970907056571622</v>
      </c>
    </row>
    <row r="91" spans="1:21">
      <c r="A91" s="116" t="str">
        <f t="shared" si="17"/>
        <v>7116p</v>
      </c>
      <c r="B91" s="586" t="str">
        <f>+VLOOKUP(LEFT($A91,LEN(A91)-1)*1,Master!$D$30:$G$229,4,FALSE)</f>
        <v>Porez na međunarodnu trgovinu i transakcije</v>
      </c>
      <c r="C91" s="587"/>
      <c r="D91" s="587"/>
      <c r="E91" s="587"/>
      <c r="F91" s="587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3">
        <f t="shared" si="21"/>
        <v>0.53454626393521121</v>
      </c>
    </row>
    <row r="92" spans="1:21">
      <c r="A92" s="116" t="str">
        <f t="shared" si="17"/>
        <v>7118p</v>
      </c>
      <c r="B92" s="586" t="str">
        <f>+VLOOKUP(LEFT($A92,LEN(A92)-1)*1,Master!$D$30:$G$229,4,FALSE)</f>
        <v>Ostali državni porezi</v>
      </c>
      <c r="C92" s="587"/>
      <c r="D92" s="587"/>
      <c r="E92" s="587"/>
      <c r="F92" s="587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3">
        <f t="shared" si="21"/>
        <v>0.23596029916404263</v>
      </c>
    </row>
    <row r="93" spans="1:21">
      <c r="A93" s="116" t="str">
        <f t="shared" si="17"/>
        <v>712p</v>
      </c>
      <c r="B93" s="622" t="str">
        <f>+VLOOKUP(LEFT($A93,LEN(A93)-1)*1,Master!$D$30:$G$229,4,FALSE)</f>
        <v>Doprinosi</v>
      </c>
      <c r="C93" s="623"/>
      <c r="D93" s="623"/>
      <c r="E93" s="623"/>
      <c r="F93" s="623"/>
      <c r="G93" s="81">
        <f>+SUM(G94:G97)</f>
        <v>16292817.308185648</v>
      </c>
      <c r="H93" s="81">
        <f t="shared" ref="H93:R93" si="22">+SUM(H94:H97)</f>
        <v>41389656.549846224</v>
      </c>
      <c r="I93" s="479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4">
        <f t="shared" si="21"/>
        <v>12.548878564749469</v>
      </c>
    </row>
    <row r="94" spans="1:21">
      <c r="A94" s="116" t="str">
        <f t="shared" si="17"/>
        <v>7121p</v>
      </c>
      <c r="B94" s="586" t="str">
        <f>+VLOOKUP(LEFT($A94,LEN(A94)-1)*1,Master!$D$30:$G$229,4,FALSE)</f>
        <v>Doprinosi za penzijsko i invalidsko osiguranje</v>
      </c>
      <c r="C94" s="587"/>
      <c r="D94" s="587"/>
      <c r="E94" s="587"/>
      <c r="F94" s="587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3">
        <f t="shared" si="21"/>
        <v>7.8081986886007</v>
      </c>
    </row>
    <row r="95" spans="1:21">
      <c r="A95" s="116" t="str">
        <f t="shared" si="17"/>
        <v>7122p</v>
      </c>
      <c r="B95" s="586" t="str">
        <f>+VLOOKUP(LEFT($A95,LEN(A95)-1)*1,Master!$D$30:$G$229,4,FALSE)</f>
        <v>Doprinosi za zdravstveno osiguranje</v>
      </c>
      <c r="C95" s="587"/>
      <c r="D95" s="587"/>
      <c r="E95" s="587"/>
      <c r="F95" s="587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3">
        <f t="shared" si="21"/>
        <v>4.0418037813006764</v>
      </c>
    </row>
    <row r="96" spans="1:21">
      <c r="A96" s="116" t="str">
        <f t="shared" si="17"/>
        <v>7123p</v>
      </c>
      <c r="B96" s="586" t="str">
        <f>+VLOOKUP(LEFT($A96,LEN(A96)-1)*1,Master!$D$30:$G$229,4,FALSE)</f>
        <v>Doprinosi za osiguranje od nezaposlenosti</v>
      </c>
      <c r="C96" s="587"/>
      <c r="D96" s="587"/>
      <c r="E96" s="587"/>
      <c r="F96" s="587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3">
        <f t="shared" si="21"/>
        <v>0.37739904074144265</v>
      </c>
    </row>
    <row r="97" spans="1:23">
      <c r="A97" s="116" t="str">
        <f t="shared" si="17"/>
        <v>7124p</v>
      </c>
      <c r="B97" s="586" t="str">
        <f>+VLOOKUP(LEFT($A97,LEN(A97)-1)*1,Master!$D$30:$G$229,4,FALSE)</f>
        <v>Ostali doprinosi</v>
      </c>
      <c r="C97" s="587"/>
      <c r="D97" s="587"/>
      <c r="E97" s="587"/>
      <c r="F97" s="587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3">
        <f t="shared" si="21"/>
        <v>0.32147705410665273</v>
      </c>
    </row>
    <row r="98" spans="1:23">
      <c r="A98" s="116" t="str">
        <f t="shared" si="17"/>
        <v>713p</v>
      </c>
      <c r="B98" s="592" t="str">
        <f>+VLOOKUP(LEFT($A98,LEN(A98)-1)*1,Master!$D$30:$G$229,4,FALSE)</f>
        <v>Takse</v>
      </c>
      <c r="C98" s="593"/>
      <c r="D98" s="593"/>
      <c r="E98" s="593"/>
      <c r="F98" s="593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4">
        <f t="shared" si="21"/>
        <v>0.27557339372126122</v>
      </c>
    </row>
    <row r="99" spans="1:23">
      <c r="A99" s="116" t="str">
        <f t="shared" si="17"/>
        <v>714p</v>
      </c>
      <c r="B99" s="592" t="str">
        <f>+VLOOKUP(LEFT($A99,LEN(A99)-1)*1,Master!$D$30:$G$229,4,FALSE)</f>
        <v>Naknade</v>
      </c>
      <c r="C99" s="593"/>
      <c r="D99" s="593"/>
      <c r="E99" s="593"/>
      <c r="F99" s="593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4">
        <f t="shared" si="21"/>
        <v>0.87442029964197865</v>
      </c>
    </row>
    <row r="100" spans="1:23">
      <c r="A100" s="116" t="str">
        <f t="shared" si="17"/>
        <v>715p</v>
      </c>
      <c r="B100" s="592" t="str">
        <f>+VLOOKUP(LEFT($A100,LEN(A100)-1)*1,Master!$D$30:$G$229,4,FALSE)</f>
        <v>Ostali prihodi</v>
      </c>
      <c r="C100" s="593"/>
      <c r="D100" s="593"/>
      <c r="E100" s="593"/>
      <c r="F100" s="593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4">
        <f t="shared" si="21"/>
        <v>1.4196769637950202</v>
      </c>
    </row>
    <row r="101" spans="1:23">
      <c r="A101" s="116" t="str">
        <f t="shared" si="17"/>
        <v>73p</v>
      </c>
      <c r="B101" s="592" t="str">
        <f>+VLOOKUP(LEFT($A101,LEN(A101)-1)*1,Master!$D$30:$G$229,4,FALSE)</f>
        <v>Primici od otplate kredita i sredstva prenesena iz prethodne godine</v>
      </c>
      <c r="C101" s="593"/>
      <c r="D101" s="593"/>
      <c r="E101" s="593"/>
      <c r="F101" s="593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4">
        <f t="shared" si="21"/>
        <v>0.19907921041280252</v>
      </c>
    </row>
    <row r="102" spans="1:23" ht="13.5" thickBot="1">
      <c r="A102" s="116" t="str">
        <f t="shared" si="17"/>
        <v>74p</v>
      </c>
      <c r="B102" s="588" t="str">
        <f>+VLOOKUP(LEFT($A102,LEN(A102)-1)*1,Master!$D$30:$G$229,4,FALSE)</f>
        <v>Donacije i transferi</v>
      </c>
      <c r="C102" s="589"/>
      <c r="D102" s="589"/>
      <c r="E102" s="589"/>
      <c r="F102" s="589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5">
        <f t="shared" si="21"/>
        <v>1.3997347237199673</v>
      </c>
    </row>
    <row r="103" spans="1:23" ht="13.5" thickBot="1">
      <c r="A103" s="116" t="str">
        <f t="shared" si="17"/>
        <v>4p</v>
      </c>
      <c r="B103" s="570" t="str">
        <f>+VLOOKUP(LEFT($A103,LEN(A103)-1)*1,Master!$D$30:$G$229,4,FALSE)</f>
        <v>Izdaci budžeta</v>
      </c>
      <c r="C103" s="571"/>
      <c r="D103" s="571"/>
      <c r="E103" s="571"/>
      <c r="F103" s="571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0">
        <f>+SUM(G103:R103)</f>
        <v>2055535193.0642829</v>
      </c>
      <c r="T103" s="477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590" t="str">
        <f>+VLOOKUP(LEFT($A104,LEN(A104)-1)*1,Master!$D$30:$G$229,4,FALSE)</f>
        <v>Tekući izdaci</v>
      </c>
      <c r="C104" s="591"/>
      <c r="D104" s="591"/>
      <c r="E104" s="591"/>
      <c r="F104" s="591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2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86" t="str">
        <f>+VLOOKUP(LEFT($A105,LEN(A105)-1)*1,Master!$D$30:$G$229,4,FALSE)</f>
        <v>Bruto zarade i doprinosi na teret poslodavca</v>
      </c>
      <c r="C105" s="587"/>
      <c r="D105" s="587"/>
      <c r="E105" s="587"/>
      <c r="F105" s="587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3">
        <f t="shared" si="21"/>
        <v>11.278641018850019</v>
      </c>
    </row>
    <row r="106" spans="1:23">
      <c r="A106" s="116" t="str">
        <f t="shared" si="17"/>
        <v>412p</v>
      </c>
      <c r="B106" s="586" t="str">
        <f>+VLOOKUP(LEFT($A106,LEN(A106)-1)*1,Master!$D$30:$G$229,4,FALSE)</f>
        <v>Ostala lična primanja</v>
      </c>
      <c r="C106" s="587"/>
      <c r="D106" s="587"/>
      <c r="E106" s="587"/>
      <c r="F106" s="587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3">
        <f t="shared" si="21"/>
        <v>0.26959439934434715</v>
      </c>
    </row>
    <row r="107" spans="1:23">
      <c r="A107" s="116" t="str">
        <f t="shared" si="17"/>
        <v>413p</v>
      </c>
      <c r="B107" s="586" t="str">
        <f>+VLOOKUP(LEFT($A107,LEN(A107)-1)*1,Master!$D$30:$G$229,4,FALSE)</f>
        <v>Rashodi za materijal</v>
      </c>
      <c r="C107" s="587"/>
      <c r="D107" s="587"/>
      <c r="E107" s="587"/>
      <c r="F107" s="587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3">
        <f t="shared" si="21"/>
        <v>0.6893019837812191</v>
      </c>
    </row>
    <row r="108" spans="1:23">
      <c r="A108" s="116" t="str">
        <f t="shared" si="17"/>
        <v>414p</v>
      </c>
      <c r="B108" s="586" t="str">
        <f>+VLOOKUP(LEFT($A108,LEN(A108)-1)*1,Master!$D$30:$G$229,4,FALSE)</f>
        <v>Rashodi za usluge</v>
      </c>
      <c r="C108" s="587"/>
      <c r="D108" s="587"/>
      <c r="E108" s="587"/>
      <c r="F108" s="587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3">
        <f t="shared" si="21"/>
        <v>1.3532731210369666</v>
      </c>
    </row>
    <row r="109" spans="1:23">
      <c r="A109" s="116" t="str">
        <f t="shared" si="17"/>
        <v>415p</v>
      </c>
      <c r="B109" s="586" t="str">
        <f>+VLOOKUP(LEFT($A109,LEN(A109)-1)*1,Master!$D$30:$G$229,4,FALSE)</f>
        <v>Rashodi za tekuće održavanje</v>
      </c>
      <c r="C109" s="587"/>
      <c r="D109" s="587"/>
      <c r="E109" s="587"/>
      <c r="F109" s="587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3">
        <f t="shared" si="21"/>
        <v>0.50341789889142918</v>
      </c>
    </row>
    <row r="110" spans="1:23">
      <c r="A110" s="116" t="str">
        <f t="shared" si="17"/>
        <v>416p</v>
      </c>
      <c r="B110" s="586" t="str">
        <f>+VLOOKUP(LEFT($A110,LEN(A110)-1)*1,Master!$D$30:$G$229,4,FALSE)</f>
        <v>Kamate</v>
      </c>
      <c r="C110" s="587"/>
      <c r="D110" s="587"/>
      <c r="E110" s="587"/>
      <c r="F110" s="587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3">
        <f t="shared" si="21"/>
        <v>2.4387566176569671</v>
      </c>
    </row>
    <row r="111" spans="1:23">
      <c r="A111" s="116" t="str">
        <f t="shared" si="17"/>
        <v>417p</v>
      </c>
      <c r="B111" s="586" t="str">
        <f>+VLOOKUP(LEFT($A111,LEN(A111)-1)*1,Master!$D$30:$G$229,4,FALSE)</f>
        <v>Renta</v>
      </c>
      <c r="C111" s="587"/>
      <c r="D111" s="587"/>
      <c r="E111" s="587"/>
      <c r="F111" s="587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3">
        <f t="shared" si="21"/>
        <v>0.23455438597247985</v>
      </c>
    </row>
    <row r="112" spans="1:23">
      <c r="A112" s="116" t="str">
        <f t="shared" si="17"/>
        <v>418p</v>
      </c>
      <c r="B112" s="586" t="str">
        <f>+VLOOKUP(LEFT($A112,LEN(A112)-1)*1,Master!$D$30:$G$229,4,FALSE)</f>
        <v>Subvencije</v>
      </c>
      <c r="C112" s="587"/>
      <c r="D112" s="587"/>
      <c r="E112" s="587"/>
      <c r="F112" s="587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3">
        <f t="shared" si="21"/>
        <v>1.095014621489885</v>
      </c>
    </row>
    <row r="113" spans="1:22">
      <c r="A113" s="116" t="str">
        <f t="shared" si="17"/>
        <v>419p</v>
      </c>
      <c r="B113" s="586" t="str">
        <f>+VLOOKUP(LEFT($A113,LEN(A113)-1)*1,Master!$D$30:$G$229,4,FALSE)</f>
        <v>Ostali izdaci</v>
      </c>
      <c r="C113" s="587"/>
      <c r="D113" s="587"/>
      <c r="E113" s="587"/>
      <c r="F113" s="587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3">
        <f t="shared" si="21"/>
        <v>0.97937629944355764</v>
      </c>
    </row>
    <row r="114" spans="1:22">
      <c r="A114" s="116" t="str">
        <f t="shared" si="17"/>
        <v>42p</v>
      </c>
      <c r="B114" s="582" t="str">
        <f>+VLOOKUP(LEFT($A114,LEN(A114)-1)*1,Master!$D$30:$G$229,4,FALSE)</f>
        <v>Transferi za socijalnu zaštitu</v>
      </c>
      <c r="C114" s="583"/>
      <c r="D114" s="583"/>
      <c r="E114" s="583"/>
      <c r="F114" s="583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4">
        <f t="shared" si="21"/>
        <v>12.924380405253846</v>
      </c>
    </row>
    <row r="115" spans="1:22">
      <c r="A115" s="116" t="str">
        <f t="shared" si="17"/>
        <v>421p</v>
      </c>
      <c r="B115" s="586" t="str">
        <f>+VLOOKUP(LEFT($A115,LEN(A115)-1)*1,Master!$D$30:$G$229,4,FALSE)</f>
        <v>Prava iz oblasti socijalne zaštite</v>
      </c>
      <c r="C115" s="587"/>
      <c r="D115" s="587"/>
      <c r="E115" s="587"/>
      <c r="F115" s="587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3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86" t="str">
        <f>+VLOOKUP(LEFT($A116,LEN(A116)-1)*1,Master!$D$30:$G$229,4,FALSE)</f>
        <v>Sredstva za tehnološke viškove</v>
      </c>
      <c r="C116" s="587"/>
      <c r="D116" s="587"/>
      <c r="E116" s="587"/>
      <c r="F116" s="587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3">
        <f t="shared" si="21"/>
        <v>0.40028421558900928</v>
      </c>
    </row>
    <row r="117" spans="1:22">
      <c r="A117" s="116" t="str">
        <f t="shared" si="26"/>
        <v>423p</v>
      </c>
      <c r="B117" s="586" t="str">
        <f>+VLOOKUP(LEFT($A117,LEN(A117)-1)*1,Master!$D$30:$G$229,4,FALSE)</f>
        <v>Prava iz oblasti penzijskog i invalidskog osiguranja</v>
      </c>
      <c r="C117" s="587"/>
      <c r="D117" s="587"/>
      <c r="E117" s="587"/>
      <c r="F117" s="587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3">
        <f t="shared" si="21"/>
        <v>9.6073360637104752</v>
      </c>
    </row>
    <row r="118" spans="1:22">
      <c r="A118" s="116" t="str">
        <f t="shared" si="26"/>
        <v>424p</v>
      </c>
      <c r="B118" s="586" t="str">
        <f>+VLOOKUP(LEFT($A118,LEN(A118)-1)*1,Master!$D$30:$G$229,4,FALSE)</f>
        <v>Ostala prava iz oblasti zdravstvene zaštite</v>
      </c>
      <c r="C118" s="587"/>
      <c r="D118" s="587"/>
      <c r="E118" s="587"/>
      <c r="F118" s="587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3">
        <f t="shared" si="21"/>
        <v>0.32998317732821458</v>
      </c>
    </row>
    <row r="119" spans="1:22">
      <c r="A119" s="116" t="str">
        <f t="shared" si="26"/>
        <v>425p</v>
      </c>
      <c r="B119" s="586" t="str">
        <f>+VLOOKUP(LEFT($A119,LEN(A119)-1)*1,Master!$D$30:$G$229,4,FALSE)</f>
        <v>Ostala prava iz zdravstvenog osiguranja</v>
      </c>
      <c r="C119" s="587"/>
      <c r="D119" s="587"/>
      <c r="E119" s="587"/>
      <c r="F119" s="587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3">
        <f t="shared" si="21"/>
        <v>0.24802657119440971</v>
      </c>
    </row>
    <row r="120" spans="1:22">
      <c r="A120" s="116" t="str">
        <f t="shared" si="26"/>
        <v>43p</v>
      </c>
      <c r="B120" s="584" t="str">
        <f>+VLOOKUP(LEFT($A120,LEN(A120)-1)*1,Master!$D$30:$G$229,4,FALSE)</f>
        <v xml:space="preserve">Transferi institucijama, pojedincima, nevladinom i javnom sektoru </v>
      </c>
      <c r="C120" s="585"/>
      <c r="D120" s="585"/>
      <c r="E120" s="585"/>
      <c r="F120" s="585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4">
        <f t="shared" si="21"/>
        <v>5.6085441784928598</v>
      </c>
    </row>
    <row r="121" spans="1:22">
      <c r="A121" s="116" t="str">
        <f t="shared" si="26"/>
        <v>44p</v>
      </c>
      <c r="B121" s="584" t="str">
        <f>+VLOOKUP(LEFT($A121,LEN(A121)-1)*1,Master!$D$30:$G$229,4,FALSE)</f>
        <v>Kapitalni izdaci</v>
      </c>
      <c r="C121" s="585"/>
      <c r="D121" s="585"/>
      <c r="E121" s="585"/>
      <c r="F121" s="585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4">
        <f t="shared" si="21"/>
        <v>5.0803331212526421</v>
      </c>
    </row>
    <row r="122" spans="1:22">
      <c r="A122" s="116" t="str">
        <f t="shared" si="26"/>
        <v>451p</v>
      </c>
      <c r="B122" s="576" t="str">
        <f>+VLOOKUP(LEFT($A122,LEN(A122)-1)*1,Master!$D$30:$G$229,4,FALSE)</f>
        <v>Pozajmice i krediti</v>
      </c>
      <c r="C122" s="577"/>
      <c r="D122" s="577"/>
      <c r="E122" s="577"/>
      <c r="F122" s="577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3">
        <f t="shared" si="21"/>
        <v>3.3515959970668155E-2</v>
      </c>
    </row>
    <row r="123" spans="1:22">
      <c r="A123" s="116" t="str">
        <f t="shared" si="26"/>
        <v>47p</v>
      </c>
      <c r="B123" s="576" t="str">
        <f>+VLOOKUP(LEFT($A123,LEN(A123)-1)*1,Master!$D$30:$G$229,4,FALSE)</f>
        <v>Rezerve</v>
      </c>
      <c r="C123" s="577"/>
      <c r="D123" s="577"/>
      <c r="E123" s="577"/>
      <c r="F123" s="577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3">
        <f t="shared" si="21"/>
        <v>1.535889466419359</v>
      </c>
    </row>
    <row r="124" spans="1:22">
      <c r="A124" s="116" t="str">
        <f t="shared" si="26"/>
        <v>462p</v>
      </c>
      <c r="B124" s="576" t="str">
        <f>+VLOOKUP(LEFT($A124,LEN(A124)-1)*1,Master!$D$30:$G$229,4,FALSE)</f>
        <v>Otplata garancija</v>
      </c>
      <c r="C124" s="577"/>
      <c r="D124" s="577"/>
      <c r="E124" s="577"/>
      <c r="F124" s="577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3">
        <f t="shared" si="21"/>
        <v>8.3250657809601863E-2</v>
      </c>
    </row>
    <row r="125" spans="1:22">
      <c r="A125" s="117" t="str">
        <f t="shared" si="26"/>
        <v>4630p</v>
      </c>
      <c r="B125" s="576" t="str">
        <f>+VLOOKUP(LEFT($A125,LEN(A125)-1)*1,Master!$D$30:$G$229,4,FALSE)</f>
        <v>Otplata obaveza iz prethodnog perioda</v>
      </c>
      <c r="C125" s="577"/>
      <c r="D125" s="577"/>
      <c r="E125" s="577"/>
      <c r="F125" s="577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1">
        <f t="shared" si="21"/>
        <v>0.22496855174049943</v>
      </c>
      <c r="V125" s="257"/>
    </row>
    <row r="126" spans="1:22" ht="13.5" thickBot="1">
      <c r="A126" s="116" t="str">
        <f t="shared" si="26"/>
        <v>1005p</v>
      </c>
      <c r="B126" s="576" t="str">
        <f>+VLOOKUP(LEFT($A126,LEN(A126)-1)*1,Master!$D$30:$G$229,4,FALSE)</f>
        <v>Neto povećanje obaveza</v>
      </c>
      <c r="C126" s="577"/>
      <c r="D126" s="577"/>
      <c r="E126" s="577"/>
      <c r="F126" s="577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8">
        <f t="shared" si="21"/>
        <v>0</v>
      </c>
    </row>
    <row r="127" spans="1:22" ht="13.5" thickBot="1">
      <c r="A127" s="117" t="str">
        <f t="shared" si="26"/>
        <v>1000p</v>
      </c>
      <c r="B127" s="578" t="str">
        <f>+VLOOKUP(LEFT($A127,LEN(A127)-1)*1,Master!$D$30:$G$226,4,FALSE)</f>
        <v>Suficit / deficit</v>
      </c>
      <c r="C127" s="579"/>
      <c r="D127" s="579"/>
      <c r="E127" s="579"/>
      <c r="F127" s="579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69">
        <f t="shared" si="21"/>
        <v>-3.781420603985318</v>
      </c>
      <c r="U127" s="257"/>
    </row>
    <row r="128" spans="1:22" ht="13.5" thickBot="1">
      <c r="A128" s="117" t="str">
        <f t="shared" si="26"/>
        <v>1001p</v>
      </c>
      <c r="B128" s="580" t="str">
        <f>+VLOOKUP(LEFT($A128,LEN(A128)-1)*1,Master!$D$30:$G$226,4,FALSE)</f>
        <v>Primarni suficit/deficit</v>
      </c>
      <c r="C128" s="581"/>
      <c r="D128" s="581"/>
      <c r="E128" s="581"/>
      <c r="F128" s="581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69">
        <f t="shared" si="21"/>
        <v>-1.3426639863283505</v>
      </c>
    </row>
    <row r="129" spans="1:22">
      <c r="A129" s="117" t="str">
        <f t="shared" si="26"/>
        <v>46p</v>
      </c>
      <c r="B129" s="582" t="str">
        <f>+VLOOKUP(LEFT($A129,LEN(A129)-1)*1,Master!$D$30:$G$226,4,FALSE)</f>
        <v>Otplata dugova</v>
      </c>
      <c r="C129" s="583"/>
      <c r="D129" s="583"/>
      <c r="E129" s="583"/>
      <c r="F129" s="583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3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0">
        <f t="shared" si="21"/>
        <v>9.4014988176105767</v>
      </c>
    </row>
    <row r="130" spans="1:22">
      <c r="A130" s="117" t="str">
        <f t="shared" si="26"/>
        <v>4611p</v>
      </c>
      <c r="B130" s="574" t="str">
        <f>+VLOOKUP(LEFT($A130,LEN(A130)-1)*1,Master!$D$30:$G$226,4,FALSE)</f>
        <v>Otplata hartija od vrijednosti i kredita rezidentima</v>
      </c>
      <c r="C130" s="575"/>
      <c r="D130" s="575"/>
      <c r="E130" s="575"/>
      <c r="F130" s="575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2">
        <v>294018.01</v>
      </c>
      <c r="N130" s="482">
        <v>1750047.75</v>
      </c>
      <c r="O130" s="482">
        <v>2421267.87</v>
      </c>
      <c r="P130" s="482">
        <v>3875503.62</v>
      </c>
      <c r="Q130" s="482">
        <v>3741551.76</v>
      </c>
      <c r="R130" s="482">
        <v>2536618.6</v>
      </c>
      <c r="S130" s="103">
        <f t="shared" si="20"/>
        <v>85893831.950000018</v>
      </c>
      <c r="T130" s="471">
        <f t="shared" si="21"/>
        <v>1.8525176195919428</v>
      </c>
    </row>
    <row r="131" spans="1:22" ht="13.5" thickBot="1">
      <c r="A131" s="117" t="str">
        <f t="shared" si="26"/>
        <v>4612p</v>
      </c>
      <c r="B131" s="576" t="str">
        <f>+VLOOKUP(LEFT($A131,LEN(A131)-1)*1,Master!$D$30:$G$226,4,FALSE)</f>
        <v>Otplata hartija od vrijednosti i kredita nerezidentima</v>
      </c>
      <c r="C131" s="577"/>
      <c r="D131" s="577"/>
      <c r="E131" s="577"/>
      <c r="F131" s="577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2">
        <v>25464619.924741425</v>
      </c>
      <c r="N131" s="482">
        <v>3126864.3779565003</v>
      </c>
      <c r="O131" s="482">
        <v>11497770.422649164</v>
      </c>
      <c r="P131" s="482">
        <v>3625120.5096505</v>
      </c>
      <c r="Q131" s="482">
        <v>4121213.775667767</v>
      </c>
      <c r="R131" s="482">
        <v>4218746.7266666656</v>
      </c>
      <c r="S131" s="103">
        <f t="shared" si="20"/>
        <v>350016062.22733206</v>
      </c>
      <c r="T131" s="471">
        <f t="shared" si="21"/>
        <v>7.5489811980186357</v>
      </c>
      <c r="V131" s="257"/>
    </row>
    <row r="132" spans="1:22" ht="13.5" thickBot="1">
      <c r="A132" s="117" t="str">
        <f t="shared" si="26"/>
        <v>4418p</v>
      </c>
      <c r="B132" s="570" t="str">
        <f>+VLOOKUP(LEFT($A132,LEN(A132)-1)*1,Master!$D$30:$G$226,4,FALSE)</f>
        <v>Izdaci za kupovinu hartija od vrijednosti</v>
      </c>
      <c r="C132" s="571"/>
      <c r="D132" s="571"/>
      <c r="E132" s="571"/>
      <c r="F132" s="571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48">
        <f t="shared" si="20"/>
        <v>590000</v>
      </c>
      <c r="T132" s="478">
        <f t="shared" si="21"/>
        <v>1.2724841478669716E-2</v>
      </c>
    </row>
    <row r="133" spans="1:22" ht="13.5" thickBot="1">
      <c r="A133" s="117" t="str">
        <f t="shared" si="26"/>
        <v>1002p</v>
      </c>
      <c r="B133" s="572" t="str">
        <f>+VLOOKUP(LEFT($A133,LEN(A133)-1)*1,Master!$D$30:$G$226,4,FALSE)</f>
        <v>Nedostajuća sredstva</v>
      </c>
      <c r="C133" s="573"/>
      <c r="D133" s="573"/>
      <c r="E133" s="573"/>
      <c r="F133" s="573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3">
        <f t="shared" si="21"/>
        <v>-13.195644263074563</v>
      </c>
    </row>
    <row r="134" spans="1:22" ht="13.5" thickBot="1">
      <c r="A134" s="117" t="str">
        <f t="shared" si="26"/>
        <v>1003p</v>
      </c>
      <c r="B134" s="570" t="str">
        <f>+VLOOKUP(LEFT($A134,LEN(A134)-1)*1,Master!$D$30:$G$226,4,FALSE)</f>
        <v>Finansiranje</v>
      </c>
      <c r="C134" s="571"/>
      <c r="D134" s="571"/>
      <c r="E134" s="571"/>
      <c r="F134" s="571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4">
        <f t="shared" si="21"/>
        <v>13.195644263074563</v>
      </c>
    </row>
    <row r="135" spans="1:22">
      <c r="A135" s="117" t="str">
        <f t="shared" si="26"/>
        <v>7511p</v>
      </c>
      <c r="B135" s="574" t="str">
        <f>+VLOOKUP(LEFT($A135,LEN(A135)-1)*1,Master!$D$30:$G$226,4,FALSE)</f>
        <v>Pozajmice i krediti od domaćih izvora</v>
      </c>
      <c r="C135" s="575"/>
      <c r="D135" s="575"/>
      <c r="E135" s="575"/>
      <c r="F135" s="575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1">
        <f t="shared" si="21"/>
        <v>0</v>
      </c>
    </row>
    <row r="136" spans="1:22">
      <c r="A136" s="117" t="str">
        <f t="shared" si="26"/>
        <v>7512p</v>
      </c>
      <c r="B136" s="576" t="str">
        <f>+VLOOKUP(LEFT($A136,LEN(A136)-1)*1,Master!$D$30:$G$226,4,FALSE)</f>
        <v>Pozajmice i krediti od inostranih izvora</v>
      </c>
      <c r="C136" s="577"/>
      <c r="D136" s="577"/>
      <c r="E136" s="577"/>
      <c r="F136" s="577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1">
        <f t="shared" si="21"/>
        <v>3.5586421084415303</v>
      </c>
    </row>
    <row r="137" spans="1:22">
      <c r="A137" s="117" t="str">
        <f t="shared" si="26"/>
        <v>72p</v>
      </c>
      <c r="B137" s="576" t="str">
        <f>+VLOOKUP(LEFT($A137,LEN(A137)-1)*1,Master!$D$30:$G$226,4,FALSE)</f>
        <v>Primici od prodaje imovine</v>
      </c>
      <c r="C137" s="577"/>
      <c r="D137" s="577"/>
      <c r="E137" s="577"/>
      <c r="F137" s="577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1">
        <f t="shared" si="21"/>
        <v>0.12940516757969203</v>
      </c>
    </row>
    <row r="138" spans="1:22" ht="13.5" thickBot="1">
      <c r="A138" s="117" t="str">
        <f t="shared" si="26"/>
        <v>1004p</v>
      </c>
      <c r="B138" s="98" t="str">
        <f>+VLOOKUP(LEFT($A138,LEN(A138)-1)*1,Master!$D$30:$G$226,4,FALSE)</f>
        <v>Povećanje / smanjenje depozita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5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4"/>
    </row>
    <row r="145" spans="19:19">
      <c r="S145" s="311"/>
    </row>
    <row r="146" spans="19:19">
      <c r="S146" s="311"/>
    </row>
  </sheetData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Y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1"/>
    </row>
    <row r="5" spans="1:20" s="1" customFormat="1" ht="26.25" customHeight="1">
      <c r="A5" s="231"/>
      <c r="B5" s="126"/>
      <c r="C5" s="126"/>
      <c r="D5" s="126"/>
      <c r="E5" s="497">
        <f>+SUM(G10:I10)</f>
        <v>375366881.69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776</v>
      </c>
      <c r="H6" s="234" t="s">
        <v>777</v>
      </c>
      <c r="I6" s="234" t="s">
        <v>778</v>
      </c>
      <c r="J6" s="234" t="s">
        <v>779</v>
      </c>
      <c r="K6" s="234" t="s">
        <v>780</v>
      </c>
      <c r="L6" s="234" t="s">
        <v>781</v>
      </c>
      <c r="M6" s="234" t="s">
        <v>782</v>
      </c>
      <c r="N6" s="234" t="s">
        <v>783</v>
      </c>
      <c r="O6" s="234" t="s">
        <v>784</v>
      </c>
      <c r="P6" s="234" t="s">
        <v>785</v>
      </c>
      <c r="Q6" s="234" t="s">
        <v>786</v>
      </c>
      <c r="R6" s="234" t="s">
        <v>787</v>
      </c>
      <c r="S6" s="233"/>
      <c r="T6" s="233"/>
    </row>
    <row r="7" spans="1:20" ht="15" customHeight="1" thickBot="1">
      <c r="A7" s="144"/>
      <c r="B7" s="619" t="str">
        <f>+Master!G252</f>
        <v>Ostvarenje budžeta</v>
      </c>
      <c r="C7" s="551"/>
      <c r="D7" s="551"/>
      <c r="E7" s="551"/>
      <c r="F7" s="551"/>
      <c r="G7" s="559">
        <v>2020</v>
      </c>
      <c r="H7" s="560"/>
      <c r="I7" s="560"/>
      <c r="J7" s="560"/>
      <c r="K7" s="560"/>
      <c r="L7" s="560"/>
      <c r="M7" s="560"/>
      <c r="N7" s="560"/>
      <c r="O7" s="560"/>
      <c r="P7" s="560"/>
      <c r="Q7" s="560"/>
      <c r="R7" s="563"/>
      <c r="S7" s="235" t="str">
        <f>+Master!G249</f>
        <v>BDP</v>
      </c>
      <c r="T7" s="236">
        <v>4185600000</v>
      </c>
    </row>
    <row r="8" spans="1:20" ht="16.5" customHeight="1">
      <c r="A8" s="144"/>
      <c r="B8" s="552"/>
      <c r="C8" s="553"/>
      <c r="D8" s="553"/>
      <c r="E8" s="553"/>
      <c r="F8" s="554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59" t="str">
        <f>+Master!G247</f>
        <v>Jan - Dec</v>
      </c>
      <c r="T8" s="563"/>
    </row>
    <row r="9" spans="1:20" ht="13.5" thickBot="1">
      <c r="A9" s="144"/>
      <c r="B9" s="555"/>
      <c r="C9" s="556"/>
      <c r="D9" s="556"/>
      <c r="E9" s="556"/>
      <c r="F9" s="557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0" ht="13.5" thickBot="1">
      <c r="A10" s="150">
        <v>7</v>
      </c>
      <c r="B10" s="518" t="str">
        <f>+VLOOKUP($A10,Master!$D$30:$G$226,4,FALSE)</f>
        <v>Prihodi budžeta</v>
      </c>
      <c r="C10" s="519"/>
      <c r="D10" s="519"/>
      <c r="E10" s="519"/>
      <c r="F10" s="519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3">
        <f>+S10/$T$7*100</f>
        <v>39.146813852016443</v>
      </c>
    </row>
    <row r="11" spans="1:20">
      <c r="A11" s="150">
        <v>711</v>
      </c>
      <c r="B11" s="520" t="str">
        <f>+VLOOKUP($A11,Master!$D$30:$G$226,4,FALSE)</f>
        <v>Porezi</v>
      </c>
      <c r="C11" s="521"/>
      <c r="D11" s="521"/>
      <c r="E11" s="521"/>
      <c r="F11" s="521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4">
        <f t="shared" ref="T11:T64" si="4">+S11/$T$7*100</f>
        <v>23.081609190558101</v>
      </c>
    </row>
    <row r="12" spans="1:20">
      <c r="A12" s="150">
        <v>7111</v>
      </c>
      <c r="B12" s="522" t="str">
        <f>+VLOOKUP($A12,Master!$D$30:$G$226,4,FALSE)</f>
        <v>Porez na dohodak fizičkih lica</v>
      </c>
      <c r="C12" s="523"/>
      <c r="D12" s="523"/>
      <c r="E12" s="523"/>
      <c r="F12" s="523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5">
        <f t="shared" si="4"/>
        <v>2.827361163990826</v>
      </c>
    </row>
    <row r="13" spans="1:20">
      <c r="A13" s="150">
        <v>7112</v>
      </c>
      <c r="B13" s="522" t="str">
        <f>+VLOOKUP($A13,Master!$D$30:$G$226,4,FALSE)</f>
        <v>Porez na dobit pravnih lica</v>
      </c>
      <c r="C13" s="523"/>
      <c r="D13" s="523"/>
      <c r="E13" s="523"/>
      <c r="F13" s="523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5">
        <f t="shared" si="4"/>
        <v>1.8736944908734712</v>
      </c>
    </row>
    <row r="14" spans="1:20">
      <c r="A14" s="150">
        <v>7113</v>
      </c>
      <c r="B14" s="522" t="str">
        <f>+VLOOKUP($A14,Master!$D$30:$G$226,4,FALSE)</f>
        <v>Porez na promet nepokretnosti</v>
      </c>
      <c r="C14" s="523"/>
      <c r="D14" s="523"/>
      <c r="E14" s="523"/>
      <c r="F14" s="523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5">
        <f t="shared" si="4"/>
        <v>3.6875256116207955E-2</v>
      </c>
    </row>
    <row r="15" spans="1:20">
      <c r="A15" s="150">
        <v>7114</v>
      </c>
      <c r="B15" s="522" t="str">
        <f>+VLOOKUP($A15,Master!$D$30:$G$226,4,FALSE)</f>
        <v>Porez na dodatu vrijednost</v>
      </c>
      <c r="C15" s="523"/>
      <c r="D15" s="523"/>
      <c r="E15" s="523"/>
      <c r="F15" s="523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5">
        <f t="shared" si="4"/>
        <v>12.657215500525613</v>
      </c>
    </row>
    <row r="16" spans="1:20">
      <c r="A16" s="150">
        <v>7115</v>
      </c>
      <c r="B16" s="522" t="str">
        <f>+VLOOKUP($A16,Master!$D$30:$G$226,4,FALSE)</f>
        <v>Akcize</v>
      </c>
      <c r="C16" s="523"/>
      <c r="D16" s="523"/>
      <c r="E16" s="523"/>
      <c r="F16" s="523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5">
        <f t="shared" si="4"/>
        <v>4.9071243733276004</v>
      </c>
    </row>
    <row r="17" spans="1:25">
      <c r="A17" s="150">
        <v>7116</v>
      </c>
      <c r="B17" s="522" t="str">
        <f>+VLOOKUP($A17,Master!$D$30:$G$226,4,FALSE)</f>
        <v>Porez na međunarodnu trgovinu i transakcije</v>
      </c>
      <c r="C17" s="523"/>
      <c r="D17" s="523"/>
      <c r="E17" s="523"/>
      <c r="F17" s="523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5">
        <f t="shared" si="4"/>
        <v>0.5408522474675076</v>
      </c>
    </row>
    <row r="18" spans="1:25">
      <c r="A18" s="150">
        <v>7118</v>
      </c>
      <c r="B18" s="522" t="str">
        <f>+VLOOKUP($A18,Master!$D$30:$G$226,4,FALSE)</f>
        <v>Ostali državni porezi</v>
      </c>
      <c r="C18" s="523"/>
      <c r="D18" s="523"/>
      <c r="E18" s="523"/>
      <c r="F18" s="523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5">
        <f t="shared" si="4"/>
        <v>0.23848615825688071</v>
      </c>
    </row>
    <row r="19" spans="1:25">
      <c r="A19" s="150">
        <v>712</v>
      </c>
      <c r="B19" s="526" t="str">
        <f>+VLOOKUP($A19,Master!$D$30:$G$226,4,FALSE)</f>
        <v>Doprinosi</v>
      </c>
      <c r="C19" s="527"/>
      <c r="D19" s="527"/>
      <c r="E19" s="527"/>
      <c r="F19" s="527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6">
        <f t="shared" si="4"/>
        <v>12.686844691083715</v>
      </c>
    </row>
    <row r="20" spans="1:25">
      <c r="A20" s="150">
        <v>7121</v>
      </c>
      <c r="B20" s="522" t="str">
        <f>+VLOOKUP($A20,Master!$D$30:$G$226,4,FALSE)</f>
        <v>Doprinosi za penzijsko i invalidsko osiguranje</v>
      </c>
      <c r="C20" s="523"/>
      <c r="D20" s="523"/>
      <c r="E20" s="523"/>
      <c r="F20" s="523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5">
        <f t="shared" si="4"/>
        <v>7.9034619619648323</v>
      </c>
    </row>
    <row r="21" spans="1:25">
      <c r="A21" s="150">
        <v>7122</v>
      </c>
      <c r="B21" s="522" t="str">
        <f>+VLOOKUP($A21,Master!$D$30:$G$226,4,FALSE)</f>
        <v>Doprinosi za zdravstveno osiguranje</v>
      </c>
      <c r="C21" s="523"/>
      <c r="D21" s="523"/>
      <c r="E21" s="523"/>
      <c r="F21" s="523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5">
        <f t="shared" si="4"/>
        <v>4.0988543831230881</v>
      </c>
    </row>
    <row r="22" spans="1:25">
      <c r="A22" s="150">
        <v>7123</v>
      </c>
      <c r="B22" s="522" t="str">
        <f>+VLOOKUP($A22,Master!$D$30:$G$226,4,FALSE)</f>
        <v>Doprinosi za osiguranje od nezaposlenosti</v>
      </c>
      <c r="C22" s="523"/>
      <c r="D22" s="523"/>
      <c r="E22" s="523"/>
      <c r="F22" s="523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5">
        <f t="shared" si="4"/>
        <v>0.3683970890672783</v>
      </c>
    </row>
    <row r="23" spans="1:25">
      <c r="A23" s="150">
        <v>7124</v>
      </c>
      <c r="B23" s="522" t="str">
        <f>+VLOOKUP($A23,Master!$D$30:$G$226,4,FALSE)</f>
        <v>Ostali doprinosi</v>
      </c>
      <c r="C23" s="523"/>
      <c r="D23" s="523"/>
      <c r="E23" s="523"/>
      <c r="F23" s="523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5">
        <f t="shared" si="4"/>
        <v>0.31613125692851679</v>
      </c>
      <c r="Y23" s="305"/>
    </row>
    <row r="24" spans="1:25">
      <c r="A24" s="150">
        <v>713</v>
      </c>
      <c r="B24" s="524" t="str">
        <f>+VLOOKUP($A24,Master!$D$30:$G$226,4,FALSE)</f>
        <v>Takse</v>
      </c>
      <c r="C24" s="525"/>
      <c r="D24" s="525"/>
      <c r="E24" s="525"/>
      <c r="F24" s="525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6">
        <f t="shared" si="4"/>
        <v>0.25411990754013764</v>
      </c>
      <c r="Y24" s="305"/>
    </row>
    <row r="25" spans="1:25">
      <c r="A25" s="150">
        <v>714</v>
      </c>
      <c r="B25" s="524" t="str">
        <f>+VLOOKUP($A25,Master!$D$30:$G$226,4,FALSE)</f>
        <v>Naknade</v>
      </c>
      <c r="C25" s="525"/>
      <c r="D25" s="525"/>
      <c r="E25" s="525"/>
      <c r="F25" s="525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6">
        <f t="shared" si="4"/>
        <v>0.66463075926987769</v>
      </c>
      <c r="W25" s="292"/>
    </row>
    <row r="26" spans="1:25">
      <c r="A26" s="150">
        <v>715</v>
      </c>
      <c r="B26" s="524" t="str">
        <f>+VLOOKUP($A26,Master!$D$30:$G$226,4,FALSE)</f>
        <v>Ostali prihodi</v>
      </c>
      <c r="C26" s="525"/>
      <c r="D26" s="525"/>
      <c r="E26" s="525"/>
      <c r="F26" s="525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6">
        <f t="shared" si="4"/>
        <v>0.89869098313264495</v>
      </c>
      <c r="W26" s="311"/>
    </row>
    <row r="27" spans="1:25">
      <c r="A27" s="150">
        <v>73</v>
      </c>
      <c r="B27" s="524" t="str">
        <f>+VLOOKUP($A27,Master!$D$30:$G$226,4,FALSE)</f>
        <v>Primici od otplate kredita i sredstva prenesena iz prethodne godine</v>
      </c>
      <c r="C27" s="525"/>
      <c r="D27" s="525"/>
      <c r="E27" s="525"/>
      <c r="F27" s="525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6">
        <f t="shared" si="4"/>
        <v>0.17715297090022936</v>
      </c>
    </row>
    <row r="28" spans="1:25" ht="13.5" thickBot="1">
      <c r="A28" s="150">
        <v>74</v>
      </c>
      <c r="B28" s="528" t="str">
        <f>+VLOOKUP($A28,Master!$D$30:$G$226,4,FALSE)</f>
        <v>Donacije i transferi</v>
      </c>
      <c r="C28" s="529"/>
      <c r="D28" s="529"/>
      <c r="E28" s="529"/>
      <c r="F28" s="529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7">
        <f t="shared" si="4"/>
        <v>1.3837653495317279</v>
      </c>
    </row>
    <row r="29" spans="1:25" ht="13.5" thickBot="1">
      <c r="A29" s="150">
        <v>4</v>
      </c>
      <c r="B29" s="530" t="str">
        <f>+VLOOKUP($A29,Master!$D$30:$G$226,4,FALSE)</f>
        <v>Izdaci budžeta</v>
      </c>
      <c r="C29" s="531"/>
      <c r="D29" s="531"/>
      <c r="E29" s="531"/>
      <c r="F29" s="531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38">
        <f t="shared" si="4"/>
        <v>49.328204113627663</v>
      </c>
    </row>
    <row r="30" spans="1:25">
      <c r="A30" s="150">
        <v>41</v>
      </c>
      <c r="B30" s="534" t="str">
        <f>+VLOOKUP($A30,Master!$D$30:$G$226,4,FALSE)</f>
        <v>Tekući izdaci</v>
      </c>
      <c r="C30" s="535"/>
      <c r="D30" s="535"/>
      <c r="E30" s="535"/>
      <c r="F30" s="535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3">
        <f t="shared" si="3"/>
        <v>858015865.80999994</v>
      </c>
      <c r="T30" s="434">
        <f t="shared" si="4"/>
        <v>20.499232268014143</v>
      </c>
    </row>
    <row r="31" spans="1:25">
      <c r="A31" s="150">
        <v>411</v>
      </c>
      <c r="B31" s="522" t="str">
        <f>+VLOOKUP($A31,Master!$D$30:$G$226,4,FALSE)</f>
        <v>Bruto zarade i doprinosi na teret poslodavca</v>
      </c>
      <c r="C31" s="523"/>
      <c r="D31" s="523"/>
      <c r="E31" s="523"/>
      <c r="F31" s="523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5">
        <f t="shared" si="4"/>
        <v>11.92533854405581</v>
      </c>
    </row>
    <row r="32" spans="1:25">
      <c r="A32" s="150">
        <v>412</v>
      </c>
      <c r="B32" s="522" t="str">
        <f>+VLOOKUP($A32,Master!$D$30:$G$226,4,FALSE)</f>
        <v>Ostala lična primanja</v>
      </c>
      <c r="C32" s="523"/>
      <c r="D32" s="523"/>
      <c r="E32" s="523"/>
      <c r="F32" s="523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5">
        <f t="shared" si="4"/>
        <v>0.30866892512423549</v>
      </c>
    </row>
    <row r="33" spans="1:23">
      <c r="A33" s="150">
        <v>413</v>
      </c>
      <c r="B33" s="522" t="str">
        <f>+VLOOKUP($A33,Master!$D$30:$G$226,4,FALSE)</f>
        <v>Rashodi za materijal</v>
      </c>
      <c r="C33" s="523"/>
      <c r="D33" s="523"/>
      <c r="E33" s="523"/>
      <c r="F33" s="523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5">
        <f t="shared" si="4"/>
        <v>0.95395377293577988</v>
      </c>
      <c r="V33" s="291"/>
    </row>
    <row r="34" spans="1:23" s="360" customFormat="1">
      <c r="A34" s="359">
        <v>414</v>
      </c>
      <c r="B34" s="617" t="str">
        <f>+VLOOKUP($A34,Master!$D$30:$G$226,4,FALSE)</f>
        <v>Rashodi za usluge</v>
      </c>
      <c r="C34" s="618"/>
      <c r="D34" s="618"/>
      <c r="E34" s="618"/>
      <c r="F34" s="618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5">
        <f t="shared" si="4"/>
        <v>1.7738425862480884</v>
      </c>
      <c r="U34" s="258"/>
    </row>
    <row r="35" spans="1:23">
      <c r="A35" s="150">
        <v>415</v>
      </c>
      <c r="B35" s="522" t="str">
        <f>+VLOOKUP($A35,Master!$D$30:$G$226,4,FALSE)</f>
        <v>Rashodi za tekuće održavanje</v>
      </c>
      <c r="C35" s="523"/>
      <c r="D35" s="523"/>
      <c r="E35" s="523"/>
      <c r="F35" s="523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5">
        <f t="shared" si="4"/>
        <v>0.58208342388188083</v>
      </c>
    </row>
    <row r="36" spans="1:23">
      <c r="A36" s="150">
        <v>416</v>
      </c>
      <c r="B36" s="522" t="str">
        <f>+VLOOKUP($A36,Master!$D$30:$G$226,4,FALSE)</f>
        <v>Kamate</v>
      </c>
      <c r="C36" s="523"/>
      <c r="D36" s="523"/>
      <c r="E36" s="523"/>
      <c r="F36" s="523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5">
        <f t="shared" si="4"/>
        <v>2.6545515183008415</v>
      </c>
    </row>
    <row r="37" spans="1:23">
      <c r="A37" s="150">
        <v>417</v>
      </c>
      <c r="B37" s="522" t="str">
        <f>+VLOOKUP($A37,Master!$D$30:$G$226,4,FALSE)</f>
        <v>Renta</v>
      </c>
      <c r="C37" s="523"/>
      <c r="D37" s="523"/>
      <c r="E37" s="523"/>
      <c r="F37" s="523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5">
        <f t="shared" si="4"/>
        <v>0.27163620030581043</v>
      </c>
    </row>
    <row r="38" spans="1:23">
      <c r="A38" s="150">
        <v>418</v>
      </c>
      <c r="B38" s="522" t="str">
        <f>+VLOOKUP($A38,Master!$D$30:$G$226,4,FALSE)</f>
        <v>Subvencije</v>
      </c>
      <c r="C38" s="523"/>
      <c r="D38" s="523"/>
      <c r="E38" s="523"/>
      <c r="F38" s="523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5">
        <f t="shared" si="4"/>
        <v>0.86783859709480116</v>
      </c>
    </row>
    <row r="39" spans="1:23" s="360" customFormat="1">
      <c r="A39" s="359">
        <v>419</v>
      </c>
      <c r="B39" s="617" t="str">
        <f>+VLOOKUP($A39,Master!$D$30:$G$226,4,FALSE)</f>
        <v>Ostali izdaci</v>
      </c>
      <c r="C39" s="618"/>
      <c r="D39" s="618"/>
      <c r="E39" s="618"/>
      <c r="F39" s="618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5">
        <f t="shared" si="4"/>
        <v>1.1613187000668961</v>
      </c>
      <c r="U39" s="258"/>
    </row>
    <row r="40" spans="1:23">
      <c r="A40" s="150">
        <v>42</v>
      </c>
      <c r="B40" s="538" t="str">
        <f>+VLOOKUP($A40,Master!$D$30:$G$226,4,FALSE)</f>
        <v>Transferi za socijalnu zaštitu</v>
      </c>
      <c r="C40" s="539"/>
      <c r="D40" s="539"/>
      <c r="E40" s="539"/>
      <c r="F40" s="539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6">
        <f t="shared" si="4"/>
        <v>13.347643551701072</v>
      </c>
      <c r="U40" s="242"/>
      <c r="W40" s="309"/>
    </row>
    <row r="41" spans="1:23">
      <c r="A41" s="150">
        <v>421</v>
      </c>
      <c r="B41" s="522" t="str">
        <f>+VLOOKUP($A41,Master!$D$30:$G$226,4,FALSE)</f>
        <v>Prava iz oblasti socijalne zaštite</v>
      </c>
      <c r="C41" s="523"/>
      <c r="D41" s="523"/>
      <c r="E41" s="523"/>
      <c r="F41" s="523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5">
        <f t="shared" si="4"/>
        <v>1.9227658534021408</v>
      </c>
      <c r="U41" s="242"/>
    </row>
    <row r="42" spans="1:23">
      <c r="A42" s="150">
        <v>422</v>
      </c>
      <c r="B42" s="522" t="str">
        <f>+VLOOKUP($A42,Master!$D$30:$G$226,4,FALSE)</f>
        <v>Sredstva za tehnološke viškove</v>
      </c>
      <c r="C42" s="523"/>
      <c r="D42" s="523"/>
      <c r="E42" s="523"/>
      <c r="F42" s="523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5">
        <f t="shared" si="4"/>
        <v>0.48018163704128441</v>
      </c>
      <c r="U42" s="242"/>
    </row>
    <row r="43" spans="1:23">
      <c r="A43" s="150">
        <v>423</v>
      </c>
      <c r="B43" s="522" t="str">
        <f>+VLOOKUP($A43,Master!$D$30:$G$226,4,FALSE)</f>
        <v>Prava iz oblasti penzijskog i invalidskog osiguranja</v>
      </c>
      <c r="C43" s="523"/>
      <c r="D43" s="523"/>
      <c r="E43" s="523"/>
      <c r="F43" s="523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5">
        <f t="shared" si="4"/>
        <v>10.22724545775994</v>
      </c>
      <c r="U43" s="242"/>
    </row>
    <row r="44" spans="1:23">
      <c r="A44" s="150">
        <v>424</v>
      </c>
      <c r="B44" s="522" t="str">
        <f>+VLOOKUP($A44,Master!$D$30:$G$226,4,FALSE)</f>
        <v>Ostala prava iz oblasti zdravstvene zaštite</v>
      </c>
      <c r="C44" s="523"/>
      <c r="D44" s="523"/>
      <c r="E44" s="523"/>
      <c r="F44" s="523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5">
        <f t="shared" si="4"/>
        <v>0.48311802370030571</v>
      </c>
      <c r="U44" s="242"/>
    </row>
    <row r="45" spans="1:23" s="360" customFormat="1">
      <c r="A45" s="359">
        <v>425</v>
      </c>
      <c r="B45" s="613" t="str">
        <f>+VLOOKUP($A45,Master!$D$30:$G$226,4,FALSE)</f>
        <v>Ostala prava iz zdravstvenog osiguranja</v>
      </c>
      <c r="C45" s="614"/>
      <c r="D45" s="614"/>
      <c r="E45" s="614"/>
      <c r="F45" s="614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5">
        <f t="shared" si="4"/>
        <v>0.23433257979740058</v>
      </c>
      <c r="U45" s="242"/>
    </row>
    <row r="46" spans="1:23">
      <c r="A46" s="150">
        <v>43</v>
      </c>
      <c r="B46" s="536" t="str">
        <f>+VLOOKUP($A46,Master!$D$30:$G$226,4,FALSE)</f>
        <v xml:space="preserve">Transferi institucijama, pojedincima, nevladinom i javnom sektoru </v>
      </c>
      <c r="C46" s="537"/>
      <c r="D46" s="537"/>
      <c r="E46" s="537"/>
      <c r="F46" s="537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6">
        <f t="shared" si="4"/>
        <v>6.7194405222668205</v>
      </c>
      <c r="U46" s="242"/>
    </row>
    <row r="47" spans="1:23">
      <c r="A47" s="150">
        <v>44</v>
      </c>
      <c r="B47" s="536" t="str">
        <f>+VLOOKUP($A47,Master!$D$30:$G$226,4,FALSE)</f>
        <v>Kapitalni izdaci</v>
      </c>
      <c r="C47" s="537"/>
      <c r="D47" s="537"/>
      <c r="E47" s="537"/>
      <c r="F47" s="537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6">
        <f t="shared" si="4"/>
        <v>5.4935233579415135</v>
      </c>
      <c r="U47" s="242"/>
    </row>
    <row r="48" spans="1:23">
      <c r="A48" s="150">
        <v>451</v>
      </c>
      <c r="B48" s="615" t="str">
        <f>+VLOOKUP($A48,Master!$D$30:$G$226,4,FALSE)</f>
        <v>Pozajmice i krediti</v>
      </c>
      <c r="C48" s="616"/>
      <c r="D48" s="616"/>
      <c r="E48" s="616"/>
      <c r="F48" s="616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5">
        <f t="shared" si="4"/>
        <v>3.8500262805810398E-2</v>
      </c>
      <c r="U48" s="242"/>
    </row>
    <row r="49" spans="1:22" s="360" customFormat="1">
      <c r="A49" s="359">
        <v>47</v>
      </c>
      <c r="B49" s="607" t="str">
        <f>+VLOOKUP($A49,Master!$D$30:$G$226,4,FALSE)</f>
        <v>Rezerve</v>
      </c>
      <c r="C49" s="608"/>
      <c r="D49" s="608"/>
      <c r="E49" s="608"/>
      <c r="F49" s="608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5">
        <f t="shared" si="4"/>
        <v>2.7812908352446479</v>
      </c>
      <c r="U49" s="242"/>
    </row>
    <row r="50" spans="1:22" ht="13.5" thickBot="1">
      <c r="A50" s="150">
        <v>462</v>
      </c>
      <c r="B50" s="542" t="str">
        <f>+VLOOKUP($A50,Master!$D$30:$G$226,4,FALSE)</f>
        <v>Otplata garancija</v>
      </c>
      <c r="C50" s="543"/>
      <c r="D50" s="543"/>
      <c r="E50" s="543"/>
      <c r="F50" s="543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5">
        <f t="shared" si="4"/>
        <v>0</v>
      </c>
      <c r="U50" s="242"/>
      <c r="V50" s="293"/>
    </row>
    <row r="51" spans="1:22" ht="13.5" thickBot="1">
      <c r="A51" s="144">
        <v>4630</v>
      </c>
      <c r="B51" s="609" t="str">
        <f>+VLOOKUP($A51,Master!$D$30:$G$226,4,TRUE)</f>
        <v>Otplata obaveza iz prethodnog perioda</v>
      </c>
      <c r="C51" s="610"/>
      <c r="D51" s="610"/>
      <c r="E51" s="610"/>
      <c r="F51" s="610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4">
        <f>+SUM(G51:R51)</f>
        <v>18775484.700000003</v>
      </c>
      <c r="T51" s="439">
        <f t="shared" si="4"/>
        <v>0.44857331565366981</v>
      </c>
      <c r="U51" s="242"/>
    </row>
    <row r="52" spans="1:22" ht="13.5" thickBot="1">
      <c r="A52" s="70">
        <v>1005</v>
      </c>
      <c r="B52" s="611" t="str">
        <f>+VLOOKUP($A52,Master!$D$30:$G$228,4,FALSE)</f>
        <v>Neto povećanje obaveza</v>
      </c>
      <c r="C52" s="612"/>
      <c r="D52" s="612"/>
      <c r="E52" s="612"/>
      <c r="F52" s="612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0">
        <f t="shared" si="4"/>
        <v>0</v>
      </c>
    </row>
    <row r="53" spans="1:22" ht="13.5" thickBot="1">
      <c r="A53" s="144">
        <v>1000</v>
      </c>
      <c r="B53" s="544" t="str">
        <f>+VLOOKUP($A53,Master!$D$30:$G$226,4,FALSE)</f>
        <v>Suficit / deficit</v>
      </c>
      <c r="C53" s="545"/>
      <c r="D53" s="545"/>
      <c r="E53" s="545"/>
      <c r="F53" s="545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1">
        <f t="shared" si="4"/>
        <v>-10.181390261611241</v>
      </c>
    </row>
    <row r="54" spans="1:22" ht="13.5" thickBot="1">
      <c r="A54" s="144">
        <v>1001</v>
      </c>
      <c r="B54" s="546" t="str">
        <f>+VLOOKUP($A54,Master!$D$30:$G$226,4,FALSE)</f>
        <v>Primarni suficit/deficit</v>
      </c>
      <c r="C54" s="547"/>
      <c r="D54" s="547"/>
      <c r="E54" s="547"/>
      <c r="F54" s="547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1">
        <f t="shared" si="4"/>
        <v>-7.5268387433103978</v>
      </c>
    </row>
    <row r="55" spans="1:22">
      <c r="A55" s="144">
        <v>46</v>
      </c>
      <c r="B55" s="568" t="str">
        <f>+VLOOKUP($A55,Master!$D$30:$G$226,4,FALSE)</f>
        <v>Otplata dugova</v>
      </c>
      <c r="C55" s="569"/>
      <c r="D55" s="569"/>
      <c r="E55" s="569"/>
      <c r="F55" s="569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2">
        <f t="shared" si="4"/>
        <v>15.90801867426414</v>
      </c>
      <c r="V55" s="309"/>
    </row>
    <row r="56" spans="1:22">
      <c r="A56" s="144">
        <v>4611</v>
      </c>
      <c r="B56" s="564" t="str">
        <f>+VLOOKUP($A56,Master!$D$30:$G$226,4,FALSE)</f>
        <v>Otplata hartija od vrijednosti i kredita rezidentima</v>
      </c>
      <c r="C56" s="565"/>
      <c r="D56" s="565"/>
      <c r="E56" s="565"/>
      <c r="F56" s="565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3">
        <f t="shared" si="4"/>
        <v>5.8341507953459475</v>
      </c>
      <c r="V56" s="352"/>
    </row>
    <row r="57" spans="1:22" ht="13.5" thickBot="1">
      <c r="A57" s="144">
        <v>4612</v>
      </c>
      <c r="B57" s="540" t="str">
        <f>+VLOOKUP($A57,Master!$D$30:$G$226,4,FALSE)</f>
        <v>Otplata hartija od vrijednosti i kredita nerezidentima</v>
      </c>
      <c r="C57" s="541"/>
      <c r="D57" s="541"/>
      <c r="E57" s="541"/>
      <c r="F57" s="541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3">
        <f t="shared" si="4"/>
        <v>10.073867878918195</v>
      </c>
      <c r="V57" s="318"/>
    </row>
    <row r="58" spans="1:22" ht="13.5" thickBot="1">
      <c r="A58" s="144">
        <v>4418</v>
      </c>
      <c r="B58" s="532" t="str">
        <f>+VLOOKUP($A58,Master!$D$30:$G$226,4,FALSE)</f>
        <v>Izdaci za kupovinu hartija od vrijednosti</v>
      </c>
      <c r="C58" s="533"/>
      <c r="D58" s="533"/>
      <c r="E58" s="533"/>
      <c r="F58" s="533"/>
      <c r="G58" s="459">
        <f>+INDEX(DataEx!$1:$1048576,MATCH('2020'!$A58,DataEx!$D:$D,0),MATCH('2020'!G$6,DataEx!$7:$7,0))</f>
        <v>0</v>
      </c>
      <c r="H58" s="459">
        <f>+INDEX(DataEx!$1:$1048576,MATCH('2020'!$A58,DataEx!$D:$D,0),MATCH('2020'!H$6,DataEx!$7:$7,0))</f>
        <v>0</v>
      </c>
      <c r="I58" s="459">
        <f>+INDEX(DataEx!$1:$1048576,MATCH('2020'!$A58,DataEx!$D:$D,0),MATCH('2020'!I$6,DataEx!$7:$7,0))</f>
        <v>0</v>
      </c>
      <c r="J58" s="459">
        <f>+INDEX(DataEx!$1:$1048576,MATCH('2020'!$A58,DataEx!$D:$D,0),MATCH('2020'!J$6,DataEx!$7:$7,0))</f>
        <v>0</v>
      </c>
      <c r="K58" s="459">
        <f>+INDEX(DataEx!$1:$1048576,MATCH('2020'!$A58,DataEx!$D:$D,0),MATCH('2020'!K$6,DataEx!$7:$7,0))</f>
        <v>0</v>
      </c>
      <c r="L58" s="459">
        <f>+INDEX(DataEx!$1:$1048576,MATCH('2020'!$A58,DataEx!$D:$D,0),MATCH('2020'!L$6,DataEx!$7:$7,0))</f>
        <v>0</v>
      </c>
      <c r="M58" s="459">
        <f>+INDEX(DataEx!$1:$1048576,MATCH('2020'!$A58,DataEx!$D:$D,0),MATCH('2020'!M$6,DataEx!$7:$7,0))</f>
        <v>0</v>
      </c>
      <c r="N58" s="459">
        <f>+INDEX(DataEx!$1:$1048576,MATCH('2020'!$A58,DataEx!$D:$D,0),MATCH('2020'!N$6,DataEx!$7:$7,0))</f>
        <v>0</v>
      </c>
      <c r="O58" s="459">
        <f>+INDEX(DataEx!$1:$1048576,MATCH('2020'!$A58,DataEx!$D:$D,0),MATCH('2020'!O$6,DataEx!$7:$7,0))</f>
        <v>940769.61</v>
      </c>
      <c r="P58" s="459">
        <f>+INDEX(DataEx!$1:$1048576,MATCH('2020'!$A58,DataEx!$D:$D,0),MATCH('2020'!P$6,DataEx!$7:$7,0))</f>
        <v>0</v>
      </c>
      <c r="Q58" s="459">
        <f>+INDEX(DataEx!$1:$1048576,MATCH('2020'!$A58,DataEx!$D:$D,0),MATCH('2020'!Q$6,DataEx!$7:$7,0))</f>
        <v>0</v>
      </c>
      <c r="R58" s="460">
        <f>+INDEX(DataEx!$1:$1048576,MATCH('2020'!$A58,DataEx!$D:$D,0),MATCH('2020'!R$6,DataEx!$7:$7,0))</f>
        <v>0</v>
      </c>
      <c r="S58" s="249">
        <f>SUM(G58:R58)</f>
        <v>940769.61</v>
      </c>
      <c r="T58" s="444">
        <f t="shared" si="4"/>
        <v>2.2476338159403669E-2</v>
      </c>
      <c r="V58" s="318"/>
    </row>
    <row r="59" spans="1:22" ht="13.5" thickBot="1">
      <c r="A59" s="144">
        <v>1002</v>
      </c>
      <c r="B59" s="566" t="str">
        <f>+VLOOKUP($A59,Master!$D$30:$G$226,4,FALSE)</f>
        <v>Nedostajuća sredstva</v>
      </c>
      <c r="C59" s="567"/>
      <c r="D59" s="567"/>
      <c r="E59" s="567"/>
      <c r="F59" s="567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5">
        <f t="shared" si="4"/>
        <v>-26.111885274034783</v>
      </c>
    </row>
    <row r="60" spans="1:22" ht="13.5" thickBot="1">
      <c r="A60" s="144">
        <v>1003</v>
      </c>
      <c r="B60" s="530" t="str">
        <f>+VLOOKUP($A60,Master!$D$30:$G$226,4,FALSE)</f>
        <v>Finansiranje</v>
      </c>
      <c r="C60" s="531"/>
      <c r="D60" s="531"/>
      <c r="E60" s="531"/>
      <c r="F60" s="531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6">
        <f t="shared" si="4"/>
        <v>26.111885274034783</v>
      </c>
    </row>
    <row r="61" spans="1:22">
      <c r="A61" s="144">
        <v>7511</v>
      </c>
      <c r="B61" s="564" t="str">
        <f>+VLOOKUP($A61,Master!$D$30:$G$226,4,FALSE)</f>
        <v>Pozajmice i krediti od domaćih izvora</v>
      </c>
      <c r="C61" s="565"/>
      <c r="D61" s="565"/>
      <c r="E61" s="565"/>
      <c r="F61" s="565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3">
        <f t="shared" si="4"/>
        <v>4.0025816879300455</v>
      </c>
    </row>
    <row r="62" spans="1:22">
      <c r="A62" s="144">
        <v>7512</v>
      </c>
      <c r="B62" s="540" t="str">
        <f>+VLOOKUP($A62,Master!$D$30:$G$226,4,FALSE)</f>
        <v>Pozajmice i krediti od inostranih izvora</v>
      </c>
      <c r="C62" s="541"/>
      <c r="D62" s="541"/>
      <c r="E62" s="541"/>
      <c r="F62" s="541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3">
        <f t="shared" si="4"/>
        <v>28.329148839353973</v>
      </c>
    </row>
    <row r="63" spans="1:22">
      <c r="A63" s="144">
        <v>72</v>
      </c>
      <c r="B63" s="540" t="str">
        <f>+VLOOKUP($A63,Master!$D$30:$G$226,4,FALSE)</f>
        <v>Primici od prodaje imovine</v>
      </c>
      <c r="C63" s="541"/>
      <c r="D63" s="541"/>
      <c r="E63" s="541"/>
      <c r="F63" s="541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3">
        <f t="shared" si="4"/>
        <v>0.20420611047400611</v>
      </c>
    </row>
    <row r="64" spans="1:22" ht="13.5" thickBot="1">
      <c r="A64" s="144">
        <v>1004</v>
      </c>
      <c r="B64" s="223" t="str">
        <f>+VLOOKUP($A64,Master!$D$30:$G$226,4,FALSE)</f>
        <v>Povećanje / smanjenje depozita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7">
        <f t="shared" si="4"/>
        <v>-6.4240513637232448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96" t="str">
        <f>+Master!G253</f>
        <v>Plan ostvarenja budžeta</v>
      </c>
      <c r="C100" s="597"/>
      <c r="D100" s="597"/>
      <c r="E100" s="597"/>
      <c r="F100" s="597"/>
      <c r="G100" s="604">
        <v>2020</v>
      </c>
      <c r="H100" s="605"/>
      <c r="I100" s="605"/>
      <c r="J100" s="605"/>
      <c r="K100" s="605"/>
      <c r="L100" s="605"/>
      <c r="M100" s="605"/>
      <c r="N100" s="605"/>
      <c r="O100" s="605"/>
      <c r="P100" s="605"/>
      <c r="Q100" s="605"/>
      <c r="R100" s="606"/>
      <c r="S100" s="107" t="str">
        <f>+S7</f>
        <v>BDP</v>
      </c>
      <c r="T100" s="108">
        <v>4607300000</v>
      </c>
    </row>
    <row r="101" spans="1:21" ht="15.75" customHeight="1">
      <c r="B101" s="598"/>
      <c r="C101" s="599"/>
      <c r="D101" s="599"/>
      <c r="E101" s="599"/>
      <c r="F101" s="600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604" t="str">
        <f>+Master!G247</f>
        <v>Jan - Dec</v>
      </c>
      <c r="T101" s="606">
        <f>+T8</f>
        <v>0</v>
      </c>
    </row>
    <row r="102" spans="1:21" ht="13.5" thickBot="1">
      <c r="B102" s="601"/>
      <c r="C102" s="602"/>
      <c r="D102" s="602"/>
      <c r="E102" s="602"/>
      <c r="F102" s="603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620" t="str">
        <f>+VLOOKUP(LEFT($A103,LEN(A103)-1)*1,Master!$D$30:$G$226,4,FALSE)</f>
        <v>Prihodi budžeta</v>
      </c>
      <c r="C103" s="621"/>
      <c r="D103" s="621"/>
      <c r="E103" s="621"/>
      <c r="F103" s="621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2">
        <f>+SUM(G103:R103)</f>
        <v>1704989389.157774</v>
      </c>
      <c r="T103" s="453">
        <f>+S103/$T$100*100</f>
        <v>37.006259396127319</v>
      </c>
    </row>
    <row r="104" spans="1:21">
      <c r="A104" s="116" t="str">
        <f t="shared" si="16"/>
        <v>711p</v>
      </c>
      <c r="B104" s="594" t="str">
        <f>+VLOOKUP(LEFT($A104,LEN(A104)-1)*1,Master!$D$30:$G$226,4,FALSE)</f>
        <v>Porezi</v>
      </c>
      <c r="C104" s="595"/>
      <c r="D104" s="595"/>
      <c r="E104" s="595"/>
      <c r="F104" s="595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4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86" t="str">
        <f>+VLOOKUP(LEFT($A105,LEN(A105)-1)*1,Master!$D$30:$G$229,4,FALSE)</f>
        <v>Porez na dohodak fizičkih lica</v>
      </c>
      <c r="C105" s="587"/>
      <c r="D105" s="587"/>
      <c r="E105" s="587"/>
      <c r="F105" s="587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5">
        <f t="shared" si="20"/>
        <v>2.4452362067202373</v>
      </c>
    </row>
    <row r="106" spans="1:21">
      <c r="A106" s="116" t="str">
        <f t="shared" si="16"/>
        <v>7112p</v>
      </c>
      <c r="B106" s="586" t="str">
        <f>+VLOOKUP(LEFT($A106,LEN(A106)-1)*1,Master!$D$30:$G$229,4,FALSE)</f>
        <v>Porez na dobit pravnih lica</v>
      </c>
      <c r="C106" s="587"/>
      <c r="D106" s="587"/>
      <c r="E106" s="587"/>
      <c r="F106" s="587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5">
        <f t="shared" si="20"/>
        <v>1.4671745812461314</v>
      </c>
    </row>
    <row r="107" spans="1:21">
      <c r="A107" s="116" t="str">
        <f t="shared" si="16"/>
        <v>7113p</v>
      </c>
      <c r="B107" s="586" t="str">
        <f>+VLOOKUP(LEFT($A107,LEN(A107)-1)*1,Master!$D$30:$G$229,4,FALSE)</f>
        <v>Porez na promet nepokretnosti</v>
      </c>
      <c r="C107" s="587"/>
      <c r="D107" s="587"/>
      <c r="E107" s="587"/>
      <c r="F107" s="587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5">
        <f t="shared" si="20"/>
        <v>4.1303611443361622E-2</v>
      </c>
    </row>
    <row r="108" spans="1:21">
      <c r="A108" s="116" t="str">
        <f t="shared" si="16"/>
        <v>7114p</v>
      </c>
      <c r="B108" s="586" t="str">
        <f>+VLOOKUP(LEFT($A108,LEN(A108)-1)*1,Master!$D$30:$G$229,4,FALSE)</f>
        <v>Porez na dodatu vrijednost</v>
      </c>
      <c r="C108" s="587"/>
      <c r="D108" s="587"/>
      <c r="E108" s="587"/>
      <c r="F108" s="587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5">
        <f t="shared" si="20"/>
        <v>13.365384391976216</v>
      </c>
    </row>
    <row r="109" spans="1:21">
      <c r="A109" s="116" t="str">
        <f t="shared" si="16"/>
        <v>7115p</v>
      </c>
      <c r="B109" s="586" t="str">
        <f>+VLOOKUP(LEFT($A109,LEN(A109)-1)*1,Master!$D$30:$G$229,4,FALSE)</f>
        <v>Akcize</v>
      </c>
      <c r="C109" s="587"/>
      <c r="D109" s="587"/>
      <c r="E109" s="587"/>
      <c r="F109" s="587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5">
        <f t="shared" si="20"/>
        <v>4.8051517235226715</v>
      </c>
    </row>
    <row r="110" spans="1:21">
      <c r="A110" s="116" t="str">
        <f t="shared" si="16"/>
        <v>7116p</v>
      </c>
      <c r="B110" s="586" t="str">
        <f>+VLOOKUP(LEFT($A110,LEN(A110)-1)*1,Master!$D$30:$G$229,4,FALSE)</f>
        <v>Porez na međunarodnu trgovinu i transakcije</v>
      </c>
      <c r="C110" s="587"/>
      <c r="D110" s="587"/>
      <c r="E110" s="587"/>
      <c r="F110" s="587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5">
        <f t="shared" si="20"/>
        <v>0.58139087437023862</v>
      </c>
    </row>
    <row r="111" spans="1:21">
      <c r="A111" s="116" t="str">
        <f t="shared" si="16"/>
        <v>7118p</v>
      </c>
      <c r="B111" s="586" t="str">
        <f>+VLOOKUP(LEFT($A111,LEN(A111)-1)*1,Master!$D$30:$G$229,4,FALSE)</f>
        <v>Ostali državni porezi</v>
      </c>
      <c r="C111" s="587"/>
      <c r="D111" s="587"/>
      <c r="E111" s="587"/>
      <c r="F111" s="587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5">
        <f t="shared" si="20"/>
        <v>0.20229513960237019</v>
      </c>
    </row>
    <row r="112" spans="1:21">
      <c r="A112" s="116" t="str">
        <f t="shared" si="16"/>
        <v>712p</v>
      </c>
      <c r="B112" s="622" t="str">
        <f>+VLOOKUP(LEFT($A112,LEN(A112)-1)*1,Master!$D$30:$G$229,4,FALSE)</f>
        <v>Doprinosi</v>
      </c>
      <c r="C112" s="623"/>
      <c r="D112" s="623"/>
      <c r="E112" s="623"/>
      <c r="F112" s="623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6">
        <f t="shared" si="20"/>
        <v>10.68956613019113</v>
      </c>
    </row>
    <row r="113" spans="1:20">
      <c r="A113" s="116" t="str">
        <f t="shared" si="16"/>
        <v>7121p</v>
      </c>
      <c r="B113" s="586" t="str">
        <f>+VLOOKUP(LEFT($A113,LEN(A113)-1)*1,Master!$D$30:$G$229,4,FALSE)</f>
        <v>Doprinosi za penzijsko i invalidsko osiguranje</v>
      </c>
      <c r="C113" s="587"/>
      <c r="D113" s="587"/>
      <c r="E113" s="587"/>
      <c r="F113" s="587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5">
        <f t="shared" si="20"/>
        <v>6.6171744431734636</v>
      </c>
    </row>
    <row r="114" spans="1:20">
      <c r="A114" s="116" t="str">
        <f t="shared" si="16"/>
        <v>7122p</v>
      </c>
      <c r="B114" s="586" t="str">
        <f>+VLOOKUP(LEFT($A114,LEN(A114)-1)*1,Master!$D$30:$G$229,4,FALSE)</f>
        <v>Doprinosi za zdravstveno osiguranje</v>
      </c>
      <c r="C114" s="587"/>
      <c r="D114" s="587"/>
      <c r="E114" s="587"/>
      <c r="F114" s="587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5">
        <f t="shared" si="20"/>
        <v>3.4819631387690197</v>
      </c>
    </row>
    <row r="115" spans="1:20">
      <c r="A115" s="116" t="str">
        <f t="shared" si="16"/>
        <v>7123p</v>
      </c>
      <c r="B115" s="586" t="str">
        <f>+VLOOKUP(LEFT($A115,LEN(A115)-1)*1,Master!$D$30:$G$229,4,FALSE)</f>
        <v>Doprinosi za osiguranje od nezaposlenosti</v>
      </c>
      <c r="C115" s="587"/>
      <c r="D115" s="587"/>
      <c r="E115" s="587"/>
      <c r="F115" s="587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5">
        <f t="shared" si="20"/>
        <v>0.31374529664462025</v>
      </c>
    </row>
    <row r="116" spans="1:20">
      <c r="A116" s="116" t="str">
        <f t="shared" si="16"/>
        <v>7124p</v>
      </c>
      <c r="B116" s="586" t="str">
        <f>+VLOOKUP(LEFT($A116,LEN(A116)-1)*1,Master!$D$30:$G$229,4,FALSE)</f>
        <v>Ostali doprinosi</v>
      </c>
      <c r="C116" s="587"/>
      <c r="D116" s="587"/>
      <c r="E116" s="587"/>
      <c r="F116" s="587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5">
        <f t="shared" si="20"/>
        <v>0.2766832516040264</v>
      </c>
    </row>
    <row r="117" spans="1:20">
      <c r="A117" s="116" t="str">
        <f t="shared" si="16"/>
        <v>713p</v>
      </c>
      <c r="B117" s="592" t="str">
        <f>+VLOOKUP(LEFT($A117,LEN(A117)-1)*1,Master!$D$30:$G$229,4,FALSE)</f>
        <v>Takse</v>
      </c>
      <c r="C117" s="593"/>
      <c r="D117" s="593"/>
      <c r="E117" s="593"/>
      <c r="F117" s="593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6">
        <f t="shared" si="20"/>
        <v>0.26451836008573354</v>
      </c>
    </row>
    <row r="118" spans="1:20">
      <c r="A118" s="116" t="str">
        <f t="shared" si="16"/>
        <v>714p</v>
      </c>
      <c r="B118" s="592" t="str">
        <f>+VLOOKUP(LEFT($A118,LEN(A118)-1)*1,Master!$D$30:$G$229,4,FALSE)</f>
        <v>Naknade</v>
      </c>
      <c r="C118" s="593"/>
      <c r="D118" s="593"/>
      <c r="E118" s="593"/>
      <c r="F118" s="593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6">
        <f t="shared" si="20"/>
        <v>0.53882429835369972</v>
      </c>
    </row>
    <row r="119" spans="1:20">
      <c r="A119" s="116" t="str">
        <f t="shared" si="16"/>
        <v>715p</v>
      </c>
      <c r="B119" s="592" t="str">
        <f>+VLOOKUP(LEFT($A119,LEN(A119)-1)*1,Master!$D$30:$G$229,4,FALSE)</f>
        <v>Ostali prihodi</v>
      </c>
      <c r="C119" s="593"/>
      <c r="D119" s="593"/>
      <c r="E119" s="593"/>
      <c r="F119" s="593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6">
        <f t="shared" si="20"/>
        <v>1.148755088100482</v>
      </c>
    </row>
    <row r="120" spans="1:20">
      <c r="A120" s="116" t="str">
        <f t="shared" si="16"/>
        <v>73p</v>
      </c>
      <c r="B120" s="592" t="str">
        <f>+VLOOKUP(LEFT($A120,LEN(A120)-1)*1,Master!$D$30:$G$229,4,FALSE)</f>
        <v>Primici od otplate kredita i sredstva prenesena iz prethodne godine</v>
      </c>
      <c r="C120" s="593"/>
      <c r="D120" s="593"/>
      <c r="E120" s="593"/>
      <c r="F120" s="593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6">
        <f t="shared" si="20"/>
        <v>0.37142952358214143</v>
      </c>
    </row>
    <row r="121" spans="1:20" ht="13.5" thickBot="1">
      <c r="A121" s="116" t="str">
        <f t="shared" si="16"/>
        <v>74p</v>
      </c>
      <c r="B121" s="588" t="str">
        <f>+VLOOKUP(LEFT($A121,LEN(A121)-1)*1,Master!$D$30:$G$229,4,FALSE)</f>
        <v>Donacije i transferi</v>
      </c>
      <c r="C121" s="589"/>
      <c r="D121" s="589"/>
      <c r="E121" s="589"/>
      <c r="F121" s="589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7">
        <f t="shared" si="20"/>
        <v>1.0852294669329108</v>
      </c>
    </row>
    <row r="122" spans="1:20" ht="13.5" thickBot="1">
      <c r="A122" s="116" t="str">
        <f t="shared" si="16"/>
        <v>4p</v>
      </c>
      <c r="B122" s="570" t="str">
        <f>+VLOOKUP(LEFT($A122,LEN(A122)-1)*1,Master!$D$30:$G$229,4,FALSE)</f>
        <v>Izdaci budžeta</v>
      </c>
      <c r="C122" s="571"/>
      <c r="D122" s="571"/>
      <c r="E122" s="571"/>
      <c r="F122" s="571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0">
        <f>+SUM(G122:R122)</f>
        <v>2040879206.795902</v>
      </c>
      <c r="T122" s="451">
        <f t="shared" si="20"/>
        <v>44.296642432572263</v>
      </c>
    </row>
    <row r="123" spans="1:20">
      <c r="A123" s="116" t="str">
        <f t="shared" si="16"/>
        <v>41p</v>
      </c>
      <c r="B123" s="590" t="str">
        <f>+VLOOKUP(LEFT($A123,LEN(A123)-1)*1,Master!$D$30:$G$229,4,FALSE)</f>
        <v>Tekući izdaci</v>
      </c>
      <c r="C123" s="591"/>
      <c r="D123" s="591"/>
      <c r="E123" s="591"/>
      <c r="F123" s="591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4">
        <f t="shared" si="20"/>
        <v>18.234006898745513</v>
      </c>
    </row>
    <row r="124" spans="1:20">
      <c r="A124" s="116" t="str">
        <f t="shared" si="16"/>
        <v>411p</v>
      </c>
      <c r="B124" s="586" t="str">
        <f>+VLOOKUP(LEFT($A124,LEN(A124)-1)*1,Master!$D$30:$G$229,4,FALSE)</f>
        <v>Bruto zarade i doprinosi na teret poslodavca</v>
      </c>
      <c r="C124" s="587"/>
      <c r="D124" s="587"/>
      <c r="E124" s="587"/>
      <c r="F124" s="587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5">
        <f t="shared" si="20"/>
        <v>10.81917370889675</v>
      </c>
    </row>
    <row r="125" spans="1:20">
      <c r="A125" s="116" t="str">
        <f t="shared" si="16"/>
        <v>412p</v>
      </c>
      <c r="B125" s="586" t="str">
        <f>+VLOOKUP(LEFT($A125,LEN(A125)-1)*1,Master!$D$30:$G$229,4,FALSE)</f>
        <v>Ostala lična primanja</v>
      </c>
      <c r="C125" s="587"/>
      <c r="D125" s="587"/>
      <c r="E125" s="587"/>
      <c r="F125" s="587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5">
        <f t="shared" si="20"/>
        <v>0.32417865148785635</v>
      </c>
    </row>
    <row r="126" spans="1:20">
      <c r="A126" s="116" t="str">
        <f t="shared" si="16"/>
        <v>413p</v>
      </c>
      <c r="B126" s="586" t="str">
        <f>+VLOOKUP(LEFT($A126,LEN(A126)-1)*1,Master!$D$30:$G$229,4,FALSE)</f>
        <v>Rashodi za materijal</v>
      </c>
      <c r="C126" s="587"/>
      <c r="D126" s="587"/>
      <c r="E126" s="587"/>
      <c r="F126" s="587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5">
        <f t="shared" si="20"/>
        <v>0.77555155266429454</v>
      </c>
    </row>
    <row r="127" spans="1:20">
      <c r="A127" s="116" t="str">
        <f t="shared" si="16"/>
        <v>414p</v>
      </c>
      <c r="B127" s="586" t="str">
        <f>+VLOOKUP(LEFT($A127,LEN(A127)-1)*1,Master!$D$30:$G$229,4,FALSE)</f>
        <v>Rashodi za usluge</v>
      </c>
      <c r="C127" s="587"/>
      <c r="D127" s="587"/>
      <c r="E127" s="587"/>
      <c r="F127" s="587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5">
        <f t="shared" si="20"/>
        <v>1.3413157254791312</v>
      </c>
    </row>
    <row r="128" spans="1:20">
      <c r="A128" s="116" t="str">
        <f t="shared" si="16"/>
        <v>415p</v>
      </c>
      <c r="B128" s="586" t="str">
        <f>+VLOOKUP(LEFT($A128,LEN(A128)-1)*1,Master!$D$30:$G$229,4,FALSE)</f>
        <v>Rashodi za tekuće održavanje</v>
      </c>
      <c r="C128" s="587"/>
      <c r="D128" s="587"/>
      <c r="E128" s="587"/>
      <c r="F128" s="587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5">
        <f t="shared" si="20"/>
        <v>0.56486301651726611</v>
      </c>
    </row>
    <row r="129" spans="1:20">
      <c r="A129" s="116" t="str">
        <f t="shared" si="16"/>
        <v>416p</v>
      </c>
      <c r="B129" s="586" t="str">
        <f>+VLOOKUP(LEFT($A129,LEN(A129)-1)*1,Master!$D$30:$G$229,4,FALSE)</f>
        <v>Kamate</v>
      </c>
      <c r="C129" s="587"/>
      <c r="D129" s="587"/>
      <c r="E129" s="587"/>
      <c r="F129" s="587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5">
        <f t="shared" si="20"/>
        <v>2.2430494311201787</v>
      </c>
    </row>
    <row r="130" spans="1:20">
      <c r="A130" s="116" t="str">
        <f t="shared" si="16"/>
        <v>417p</v>
      </c>
      <c r="B130" s="586" t="str">
        <f>+VLOOKUP(LEFT($A130,LEN(A130)-1)*1,Master!$D$30:$G$229,4,FALSE)</f>
        <v>Renta</v>
      </c>
      <c r="C130" s="587"/>
      <c r="D130" s="587"/>
      <c r="E130" s="587"/>
      <c r="F130" s="587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5">
        <f t="shared" si="20"/>
        <v>0.24149152996331913</v>
      </c>
    </row>
    <row r="131" spans="1:20">
      <c r="A131" s="116" t="str">
        <f t="shared" si="16"/>
        <v>418p</v>
      </c>
      <c r="B131" s="586" t="str">
        <f>+VLOOKUP(LEFT($A131,LEN(A131)-1)*1,Master!$D$30:$G$229,4,FALSE)</f>
        <v>Subvencije</v>
      </c>
      <c r="C131" s="587"/>
      <c r="D131" s="587"/>
      <c r="E131" s="587"/>
      <c r="F131" s="587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5">
        <f t="shared" si="20"/>
        <v>0.84831977448831197</v>
      </c>
    </row>
    <row r="132" spans="1:20">
      <c r="A132" s="116" t="str">
        <f t="shared" si="16"/>
        <v>419p</v>
      </c>
      <c r="B132" s="586" t="str">
        <f>+VLOOKUP(LEFT($A132,LEN(A132)-1)*1,Master!$D$30:$G$229,4,FALSE)</f>
        <v>Ostali izdaci</v>
      </c>
      <c r="C132" s="587"/>
      <c r="D132" s="587"/>
      <c r="E132" s="587"/>
      <c r="F132" s="587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5">
        <f t="shared" si="20"/>
        <v>1.0760635081284049</v>
      </c>
    </row>
    <row r="133" spans="1:20">
      <c r="A133" s="116" t="str">
        <f t="shared" si="16"/>
        <v>42p</v>
      </c>
      <c r="B133" s="582" t="str">
        <f>+VLOOKUP(LEFT($A133,LEN(A133)-1)*1,Master!$D$30:$G$229,4,FALSE)</f>
        <v>Transferi za socijalnu zaštitu</v>
      </c>
      <c r="C133" s="583"/>
      <c r="D133" s="583"/>
      <c r="E133" s="583"/>
      <c r="F133" s="583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6">
        <f t="shared" si="20"/>
        <v>12.538545292470646</v>
      </c>
    </row>
    <row r="134" spans="1:20">
      <c r="A134" s="116" t="str">
        <f t="shared" si="16"/>
        <v>421p</v>
      </c>
      <c r="B134" s="586" t="str">
        <f>+VLOOKUP(LEFT($A134,LEN(A134)-1)*1,Master!$D$30:$G$229,4,FALSE)</f>
        <v>Prava iz oblasti socijalne zaštite</v>
      </c>
      <c r="C134" s="587"/>
      <c r="D134" s="587"/>
      <c r="E134" s="587"/>
      <c r="F134" s="587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5">
        <f t="shared" si="20"/>
        <v>1.8346971111062882</v>
      </c>
    </row>
    <row r="135" spans="1:20">
      <c r="A135" s="116" t="str">
        <f t="shared" si="16"/>
        <v>422p</v>
      </c>
      <c r="B135" s="586" t="str">
        <f>+VLOOKUP(LEFT($A135,LEN(A135)-1)*1,Master!$D$30:$G$229,4,FALSE)</f>
        <v>Sredstva za tehnološke viškove</v>
      </c>
      <c r="C135" s="587"/>
      <c r="D135" s="587"/>
      <c r="E135" s="587"/>
      <c r="F135" s="587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5">
        <f t="shared" si="20"/>
        <v>0.44186401406463649</v>
      </c>
    </row>
    <row r="136" spans="1:20">
      <c r="A136" s="116" t="str">
        <f t="shared" si="16"/>
        <v>423p</v>
      </c>
      <c r="B136" s="586" t="str">
        <f>+VLOOKUP(LEFT($A136,LEN(A136)-1)*1,Master!$D$30:$G$229,4,FALSE)</f>
        <v>Prava iz oblasti penzijskog i invalidskog osiguranja</v>
      </c>
      <c r="C136" s="587"/>
      <c r="D136" s="587"/>
      <c r="E136" s="587"/>
      <c r="F136" s="587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5">
        <f t="shared" si="20"/>
        <v>9.5972781138627852</v>
      </c>
    </row>
    <row r="137" spans="1:20">
      <c r="A137" s="116" t="str">
        <f t="shared" si="16"/>
        <v>424p</v>
      </c>
      <c r="B137" s="586" t="str">
        <f>+VLOOKUP(LEFT($A137,LEN(A137)-1)*1,Master!$D$30:$G$229,4,FALSE)</f>
        <v>Ostala prava iz oblasti zdravstvene zaštite</v>
      </c>
      <c r="C137" s="587"/>
      <c r="D137" s="587"/>
      <c r="E137" s="587"/>
      <c r="F137" s="587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5">
        <f t="shared" si="20"/>
        <v>0.43409374253901412</v>
      </c>
    </row>
    <row r="138" spans="1:20">
      <c r="A138" s="116" t="str">
        <f t="shared" si="16"/>
        <v>425p</v>
      </c>
      <c r="B138" s="586" t="str">
        <f>+VLOOKUP(LEFT($A138,LEN(A138)-1)*1,Master!$D$30:$G$229,4,FALSE)</f>
        <v>Ostala prava iz zdravstvenog osiguranja</v>
      </c>
      <c r="C138" s="587"/>
      <c r="D138" s="587"/>
      <c r="E138" s="587"/>
      <c r="F138" s="587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5">
        <f t="shared" si="20"/>
        <v>0.23061231089792286</v>
      </c>
    </row>
    <row r="139" spans="1:20">
      <c r="A139" s="116" t="str">
        <f t="shared" si="16"/>
        <v>43p</v>
      </c>
      <c r="B139" s="584" t="str">
        <f>+VLOOKUP(LEFT($A139,LEN(A139)-1)*1,Master!$D$30:$G$229,4,FALSE)</f>
        <v xml:space="preserve">Transferi institucijama, pojedincima, nevladinom i javnom sektoru </v>
      </c>
      <c r="C139" s="585"/>
      <c r="D139" s="585"/>
      <c r="E139" s="585"/>
      <c r="F139" s="585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6">
        <f t="shared" si="20"/>
        <v>6.0063028847698297</v>
      </c>
    </row>
    <row r="140" spans="1:20">
      <c r="A140" s="116" t="str">
        <f t="shared" si="16"/>
        <v>44p</v>
      </c>
      <c r="B140" s="584" t="str">
        <f>+VLOOKUP(LEFT($A140,LEN(A140)-1)*1,Master!$D$30:$G$229,4,FALSE)</f>
        <v>Kapitalni izdaci</v>
      </c>
      <c r="C140" s="585"/>
      <c r="D140" s="585"/>
      <c r="E140" s="585"/>
      <c r="F140" s="585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6">
        <f t="shared" si="20"/>
        <v>4.229181139713063</v>
      </c>
    </row>
    <row r="141" spans="1:20">
      <c r="A141" s="116" t="str">
        <f t="shared" si="16"/>
        <v>451p</v>
      </c>
      <c r="B141" s="576" t="str">
        <f>+VLOOKUP(LEFT($A141,LEN(A141)-1)*1,Master!$D$30:$G$229,4,FALSE)</f>
        <v>Pozajmice i krediti</v>
      </c>
      <c r="C141" s="577"/>
      <c r="D141" s="577"/>
      <c r="E141" s="577"/>
      <c r="F141" s="577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5">
        <f t="shared" si="20"/>
        <v>3.4293447355283994E-2</v>
      </c>
    </row>
    <row r="142" spans="1:20">
      <c r="A142" s="116" t="str">
        <f t="shared" si="16"/>
        <v>47p</v>
      </c>
      <c r="B142" s="576" t="str">
        <f>+VLOOKUP(LEFT($A142,LEN(A142)-1)*1,Master!$D$30:$G$229,4,FALSE)</f>
        <v>Rezerve</v>
      </c>
      <c r="C142" s="577"/>
      <c r="D142" s="577"/>
      <c r="E142" s="577"/>
      <c r="F142" s="577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5">
        <f t="shared" si="20"/>
        <v>2.9004080480975842</v>
      </c>
    </row>
    <row r="143" spans="1:20">
      <c r="A143" s="116" t="str">
        <f t="shared" si="16"/>
        <v>462p</v>
      </c>
      <c r="B143" s="576" t="str">
        <f>+VLOOKUP(LEFT($A143,LEN(A143)-1)*1,Master!$D$30:$G$229,4,FALSE)</f>
        <v>Otplata garancija</v>
      </c>
      <c r="C143" s="577"/>
      <c r="D143" s="577"/>
      <c r="E143" s="577"/>
      <c r="F143" s="577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5">
        <f t="shared" si="20"/>
        <v>0</v>
      </c>
    </row>
    <row r="144" spans="1:20">
      <c r="A144" s="117" t="str">
        <f t="shared" si="16"/>
        <v>4630p</v>
      </c>
      <c r="B144" s="576" t="str">
        <f>+VLOOKUP(LEFT($A144,LEN(A144)-1)*1,Master!$D$30:$G$229,4,FALSE)</f>
        <v>Otplata obaveza iz prethodnog perioda</v>
      </c>
      <c r="C144" s="577"/>
      <c r="D144" s="577"/>
      <c r="E144" s="577"/>
      <c r="F144" s="577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3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76" t="str">
        <f>+VLOOKUP(LEFT($A145,LEN(A145)-1)*1,Master!$D$30:$G$229,4,FALSE)</f>
        <v>Neto povećanje obaveza</v>
      </c>
      <c r="C145" s="577"/>
      <c r="D145" s="577"/>
      <c r="E145" s="577"/>
      <c r="F145" s="577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0">
        <f t="shared" si="20"/>
        <v>0</v>
      </c>
    </row>
    <row r="146" spans="1:23" ht="13.5" thickBot="1">
      <c r="A146" s="117" t="str">
        <f t="shared" si="25"/>
        <v>1000p</v>
      </c>
      <c r="B146" s="578" t="str">
        <f>+VLOOKUP(LEFT($A146,LEN(A146)-1)*1,Master!$D$30:$G$226,4,FALSE)</f>
        <v>Suficit / deficit</v>
      </c>
      <c r="C146" s="579"/>
      <c r="D146" s="579"/>
      <c r="E146" s="579"/>
      <c r="F146" s="579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1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580" t="str">
        <f>+VLOOKUP(LEFT($A147,LEN(A147)-1)*1,Master!$D$30:$G$226,4,FALSE)</f>
        <v>Primarni suficit/deficit</v>
      </c>
      <c r="C147" s="581"/>
      <c r="D147" s="581"/>
      <c r="E147" s="581"/>
      <c r="F147" s="581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1">
        <f t="shared" si="20"/>
        <v>-5.0473336053247726</v>
      </c>
    </row>
    <row r="148" spans="1:23">
      <c r="A148" s="117" t="str">
        <f t="shared" si="25"/>
        <v>46p</v>
      </c>
      <c r="B148" s="582" t="str">
        <f>+VLOOKUP(LEFT($A148,LEN(A148)-1)*1,Master!$D$30:$G$226,4,FALSE)</f>
        <v>Otplata dugova</v>
      </c>
      <c r="C148" s="583"/>
      <c r="D148" s="583"/>
      <c r="E148" s="583"/>
      <c r="F148" s="583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2">
        <f t="shared" si="20"/>
        <v>11.711631541249758</v>
      </c>
    </row>
    <row r="149" spans="1:23">
      <c r="A149" s="117" t="str">
        <f t="shared" si="25"/>
        <v>4611p</v>
      </c>
      <c r="B149" s="574" t="str">
        <f>+VLOOKUP(LEFT($A149,LEN(A149)-1)*1,Master!$D$30:$G$226,4,FALSE)</f>
        <v>Otplata hartija od vrijednosti i kredita rezidentima</v>
      </c>
      <c r="C149" s="575"/>
      <c r="D149" s="575"/>
      <c r="E149" s="575"/>
      <c r="F149" s="575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3">
        <f t="shared" si="20"/>
        <v>2.598267966053871</v>
      </c>
    </row>
    <row r="150" spans="1:23" ht="13.5" thickBot="1">
      <c r="A150" s="117" t="str">
        <f t="shared" si="25"/>
        <v>4612p</v>
      </c>
      <c r="B150" s="576" t="str">
        <f>+VLOOKUP(LEFT($A150,LEN(A150)-1)*1,Master!$D$30:$G$226,4,FALSE)</f>
        <v>Otplata hartija od vrijednosti i kredita nerezidentima</v>
      </c>
      <c r="C150" s="577"/>
      <c r="D150" s="577"/>
      <c r="E150" s="577"/>
      <c r="F150" s="577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3">
        <f t="shared" si="20"/>
        <v>9.1133635751958835</v>
      </c>
    </row>
    <row r="151" spans="1:23" ht="13.5" thickBot="1">
      <c r="A151" s="117" t="str">
        <f t="shared" si="25"/>
        <v>4418p</v>
      </c>
      <c r="B151" s="570" t="str">
        <f>+VLOOKUP(LEFT($A151,LEN(A151)-1)*1,Master!$D$30:$G$226,4,FALSE)</f>
        <v>Izdaci za kupovinu hartija od vrijednosti</v>
      </c>
      <c r="C151" s="571"/>
      <c r="D151" s="571"/>
      <c r="E151" s="571"/>
      <c r="F151" s="571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48">
        <f t="shared" si="19"/>
        <v>2010000</v>
      </c>
      <c r="T151" s="449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572" t="str">
        <f>+VLOOKUP(LEFT($A152,LEN(A152)-1)*1,Master!$D$30:$G$226,4,FALSE)</f>
        <v>Nedostajuća sredstva</v>
      </c>
      <c r="C152" s="573"/>
      <c r="D152" s="573"/>
      <c r="E152" s="573"/>
      <c r="F152" s="573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5">
        <f t="shared" si="20"/>
        <v>-19.045640996638557</v>
      </c>
    </row>
    <row r="153" spans="1:23" ht="13.5" thickBot="1">
      <c r="A153" s="117" t="str">
        <f t="shared" si="29"/>
        <v>1003p</v>
      </c>
      <c r="B153" s="570" t="str">
        <f>+VLOOKUP(LEFT($A153,LEN(A153)-1)*1,Master!$D$30:$G$226,4,FALSE)</f>
        <v>Finansiranje</v>
      </c>
      <c r="C153" s="571"/>
      <c r="D153" s="571"/>
      <c r="E153" s="571"/>
      <c r="F153" s="571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6">
        <f t="shared" si="20"/>
        <v>19.045640996638557</v>
      </c>
    </row>
    <row r="154" spans="1:23">
      <c r="A154" s="117" t="str">
        <f t="shared" si="29"/>
        <v>7511p</v>
      </c>
      <c r="B154" s="574" t="str">
        <f>+VLOOKUP(LEFT($A154,LEN(A154)-1)*1,Master!$D$30:$G$226,4,FALSE)</f>
        <v>Pozajmice i krediti od domaćih izvora</v>
      </c>
      <c r="C154" s="575"/>
      <c r="D154" s="575"/>
      <c r="E154" s="575"/>
      <c r="F154" s="575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3">
        <f t="shared" si="20"/>
        <v>0</v>
      </c>
    </row>
    <row r="155" spans="1:23">
      <c r="A155" s="117" t="str">
        <f t="shared" si="29"/>
        <v>7512p</v>
      </c>
      <c r="B155" s="576" t="str">
        <f>+VLOOKUP(LEFT($A155,LEN(A155)-1)*1,Master!$D$30:$G$226,4,FALSE)</f>
        <v>Pozajmice i krediti od inostranih izvora</v>
      </c>
      <c r="C155" s="577"/>
      <c r="D155" s="577"/>
      <c r="E155" s="577"/>
      <c r="F155" s="577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3">
        <f t="shared" si="20"/>
        <v>7.1948775823150264</v>
      </c>
    </row>
    <row r="156" spans="1:23">
      <c r="A156" s="117" t="str">
        <f t="shared" si="29"/>
        <v>72p</v>
      </c>
      <c r="B156" s="576" t="str">
        <f>+VLOOKUP(LEFT($A156,LEN(A156)-1)*1,Master!$D$30:$G$226,4,FALSE)</f>
        <v>Primici od prodaje imovine</v>
      </c>
      <c r="C156" s="577"/>
      <c r="D156" s="577"/>
      <c r="E156" s="577"/>
      <c r="F156" s="577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3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+VLOOKUP(LEFT($A157,LEN(A157)-1)*1,Master!$D$30:$G$226,4,FALSE)</f>
        <v>Povećanje / smanjenje depozita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7">
        <f t="shared" si="20"/>
        <v>11.720535298073237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Y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805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1"/>
    </row>
    <row r="5" spans="1:20" s="1" customFormat="1" ht="26.25" customHeight="1">
      <c r="A5" s="231"/>
      <c r="B5" s="126"/>
      <c r="C5" s="126"/>
      <c r="D5" s="126"/>
      <c r="E5" s="497">
        <f>+SUM(G10:N10)</f>
        <v>1172192949.71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757</v>
      </c>
      <c r="H6" s="234" t="s">
        <v>758</v>
      </c>
      <c r="I6" s="234" t="s">
        <v>759</v>
      </c>
      <c r="J6" s="234" t="s">
        <v>760</v>
      </c>
      <c r="K6" s="234" t="s">
        <v>761</v>
      </c>
      <c r="L6" s="234" t="s">
        <v>762</v>
      </c>
      <c r="M6" s="234" t="s">
        <v>763</v>
      </c>
      <c r="N6" s="234" t="s">
        <v>764</v>
      </c>
      <c r="O6" s="234" t="s">
        <v>765</v>
      </c>
      <c r="P6" s="234" t="s">
        <v>766</v>
      </c>
      <c r="Q6" s="234" t="s">
        <v>767</v>
      </c>
      <c r="R6" s="234" t="s">
        <v>768</v>
      </c>
      <c r="S6" s="233"/>
      <c r="T6" s="233"/>
    </row>
    <row r="7" spans="1:20" ht="15" customHeight="1" thickBot="1">
      <c r="A7" s="144"/>
      <c r="B7" s="619" t="s">
        <v>553</v>
      </c>
      <c r="C7" s="551"/>
      <c r="D7" s="551"/>
      <c r="E7" s="551"/>
      <c r="F7" s="551"/>
      <c r="G7" s="559">
        <v>2019</v>
      </c>
      <c r="H7" s="560"/>
      <c r="I7" s="560"/>
      <c r="J7" s="560"/>
      <c r="K7" s="560"/>
      <c r="L7" s="560"/>
      <c r="M7" s="560"/>
      <c r="N7" s="560"/>
      <c r="O7" s="560"/>
      <c r="P7" s="560"/>
      <c r="Q7" s="560"/>
      <c r="R7" s="563"/>
      <c r="S7" s="235" t="s">
        <v>419</v>
      </c>
      <c r="T7" s="236">
        <v>4951000000</v>
      </c>
    </row>
    <row r="8" spans="1:20" ht="16.5" customHeight="1">
      <c r="A8" s="144"/>
      <c r="B8" s="552"/>
      <c r="C8" s="553"/>
      <c r="D8" s="553"/>
      <c r="E8" s="553"/>
      <c r="F8" s="554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59" t="s">
        <v>806</v>
      </c>
      <c r="T8" s="563"/>
    </row>
    <row r="9" spans="1:20" ht="13.5" thickBot="1">
      <c r="A9" s="144"/>
      <c r="B9" s="555"/>
      <c r="C9" s="556"/>
      <c r="D9" s="556"/>
      <c r="E9" s="556"/>
      <c r="F9" s="557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807</v>
      </c>
    </row>
    <row r="10" spans="1:20" ht="13.5" thickBot="1">
      <c r="A10" s="150">
        <v>7</v>
      </c>
      <c r="B10" s="530" t="s">
        <v>680</v>
      </c>
      <c r="C10" s="531"/>
      <c r="D10" s="531"/>
      <c r="E10" s="531"/>
      <c r="F10" s="531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2">
        <f>+SUM(G10:O10)</f>
        <v>1338151716.3200002</v>
      </c>
      <c r="T10" s="367">
        <f>+S10/$T$7</f>
        <v>0.2702790782306605</v>
      </c>
    </row>
    <row r="11" spans="1:20" ht="13.5" thickBot="1">
      <c r="A11" s="150">
        <v>711</v>
      </c>
      <c r="B11" s="520" t="s">
        <v>21</v>
      </c>
      <c r="C11" s="521"/>
      <c r="D11" s="521"/>
      <c r="E11" s="521"/>
      <c r="F11" s="521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2">
        <f t="shared" ref="S11:S28" si="3">+SUM(G11:O11)</f>
        <v>878844461.47000003</v>
      </c>
      <c r="T11" s="368">
        <f t="shared" ref="T11:T64" si="4">+S11/$T$7</f>
        <v>0.17750847535245406</v>
      </c>
    </row>
    <row r="12" spans="1:20" ht="13.5" thickBot="1">
      <c r="A12" s="150">
        <v>7111</v>
      </c>
      <c r="B12" s="522" t="s">
        <v>23</v>
      </c>
      <c r="C12" s="523"/>
      <c r="D12" s="523"/>
      <c r="E12" s="523"/>
      <c r="F12" s="523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2">
        <f t="shared" si="3"/>
        <v>85547113.409999996</v>
      </c>
      <c r="T12" s="369">
        <f t="shared" si="4"/>
        <v>1.727875447586346E-2</v>
      </c>
    </row>
    <row r="13" spans="1:20" ht="13.5" thickBot="1">
      <c r="A13" s="150">
        <v>7112</v>
      </c>
      <c r="B13" s="522" t="s">
        <v>25</v>
      </c>
      <c r="C13" s="523"/>
      <c r="D13" s="523"/>
      <c r="E13" s="523"/>
      <c r="F13" s="523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2">
        <f t="shared" si="3"/>
        <v>63460533.5</v>
      </c>
      <c r="T13" s="369">
        <f t="shared" si="4"/>
        <v>1.2817720359523329E-2</v>
      </c>
    </row>
    <row r="14" spans="1:20" ht="13.5" thickBot="1">
      <c r="A14" s="150">
        <v>7113</v>
      </c>
      <c r="B14" s="522" t="s">
        <v>27</v>
      </c>
      <c r="C14" s="523"/>
      <c r="D14" s="523"/>
      <c r="E14" s="523"/>
      <c r="F14" s="523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2">
        <f t="shared" si="3"/>
        <v>1401042.18</v>
      </c>
      <c r="T14" s="369">
        <f t="shared" si="4"/>
        <v>2.8298165623106441E-4</v>
      </c>
    </row>
    <row r="15" spans="1:20" ht="13.5" thickBot="1">
      <c r="A15" s="150">
        <v>7114</v>
      </c>
      <c r="B15" s="522" t="s">
        <v>29</v>
      </c>
      <c r="C15" s="523"/>
      <c r="D15" s="523"/>
      <c r="E15" s="523"/>
      <c r="F15" s="523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2">
        <f t="shared" si="3"/>
        <v>517818183.34000003</v>
      </c>
      <c r="T15" s="369">
        <f t="shared" si="4"/>
        <v>0.10458860499697031</v>
      </c>
    </row>
    <row r="16" spans="1:20" ht="13.5" thickBot="1">
      <c r="A16" s="150">
        <v>7115</v>
      </c>
      <c r="B16" s="522" t="s">
        <v>31</v>
      </c>
      <c r="C16" s="523"/>
      <c r="D16" s="523"/>
      <c r="E16" s="523"/>
      <c r="F16" s="523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2">
        <f t="shared" si="3"/>
        <v>178709360.70000002</v>
      </c>
      <c r="T16" s="369">
        <f t="shared" si="4"/>
        <v>3.6095609109270857E-2</v>
      </c>
    </row>
    <row r="17" spans="1:25" ht="13.5" thickBot="1">
      <c r="A17" s="150">
        <v>7116</v>
      </c>
      <c r="B17" s="522" t="s">
        <v>33</v>
      </c>
      <c r="C17" s="523"/>
      <c r="D17" s="523"/>
      <c r="E17" s="523"/>
      <c r="F17" s="523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2">
        <f t="shared" si="3"/>
        <v>21570886.120000001</v>
      </c>
      <c r="T17" s="369">
        <f t="shared" si="4"/>
        <v>4.3568745950313074E-3</v>
      </c>
    </row>
    <row r="18" spans="1:25" ht="13.5" thickBot="1">
      <c r="A18" s="150">
        <v>7118</v>
      </c>
      <c r="B18" s="522" t="s">
        <v>721</v>
      </c>
      <c r="C18" s="523"/>
      <c r="D18" s="523"/>
      <c r="E18" s="523"/>
      <c r="F18" s="523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2">
        <f t="shared" si="3"/>
        <v>10337342.220000001</v>
      </c>
      <c r="T18" s="369">
        <f t="shared" si="4"/>
        <v>2.0879301595637246E-3</v>
      </c>
    </row>
    <row r="19" spans="1:25" ht="13.5" thickBot="1">
      <c r="A19" s="150">
        <v>712</v>
      </c>
      <c r="B19" s="526" t="s">
        <v>37</v>
      </c>
      <c r="C19" s="527"/>
      <c r="D19" s="527"/>
      <c r="E19" s="527"/>
      <c r="F19" s="527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2">
        <f t="shared" si="3"/>
        <v>370571042.34999996</v>
      </c>
      <c r="T19" s="370">
        <f t="shared" si="4"/>
        <v>7.4847716087659055E-2</v>
      </c>
    </row>
    <row r="20" spans="1:25" ht="13.5" thickBot="1">
      <c r="A20" s="150">
        <v>7121</v>
      </c>
      <c r="B20" s="522" t="s">
        <v>39</v>
      </c>
      <c r="C20" s="523"/>
      <c r="D20" s="523"/>
      <c r="E20" s="523"/>
      <c r="F20" s="523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2">
        <f t="shared" si="3"/>
        <v>220192746.31</v>
      </c>
      <c r="T20" s="369">
        <f t="shared" si="4"/>
        <v>4.447439836598667E-2</v>
      </c>
    </row>
    <row r="21" spans="1:25" ht="13.5" thickBot="1">
      <c r="A21" s="150">
        <v>7122</v>
      </c>
      <c r="B21" s="522" t="s">
        <v>41</v>
      </c>
      <c r="C21" s="523"/>
      <c r="D21" s="523"/>
      <c r="E21" s="523"/>
      <c r="F21" s="523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2">
        <f t="shared" si="3"/>
        <v>130738336.89</v>
      </c>
      <c r="T21" s="369">
        <f t="shared" si="4"/>
        <v>2.6406450593819429E-2</v>
      </c>
    </row>
    <row r="22" spans="1:25" ht="13.5" thickBot="1">
      <c r="A22" s="150">
        <v>7123</v>
      </c>
      <c r="B22" s="522" t="s">
        <v>43</v>
      </c>
      <c r="C22" s="523"/>
      <c r="D22" s="523"/>
      <c r="E22" s="523"/>
      <c r="F22" s="523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2">
        <f t="shared" si="3"/>
        <v>10196734.950000001</v>
      </c>
      <c r="T22" s="369">
        <f t="shared" si="4"/>
        <v>2.0595303878004445E-3</v>
      </c>
    </row>
    <row r="23" spans="1:25" ht="13.5" thickBot="1">
      <c r="A23" s="150">
        <v>7124</v>
      </c>
      <c r="B23" s="522" t="s">
        <v>45</v>
      </c>
      <c r="C23" s="523"/>
      <c r="D23" s="523"/>
      <c r="E23" s="523"/>
      <c r="F23" s="523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2">
        <f t="shared" si="3"/>
        <v>9443224.1999999993</v>
      </c>
      <c r="T23" s="369">
        <f t="shared" si="4"/>
        <v>1.9073367400525144E-3</v>
      </c>
      <c r="Y23" s="305"/>
    </row>
    <row r="24" spans="1:25" ht="13.5" thickBot="1">
      <c r="A24" s="150">
        <v>713</v>
      </c>
      <c r="B24" s="524" t="s">
        <v>47</v>
      </c>
      <c r="C24" s="525"/>
      <c r="D24" s="525"/>
      <c r="E24" s="525"/>
      <c r="F24" s="525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2">
        <f t="shared" si="3"/>
        <v>11793221.899999999</v>
      </c>
      <c r="T24" s="370">
        <f t="shared" si="4"/>
        <v>2.3819878610381738E-3</v>
      </c>
      <c r="Y24" s="305"/>
    </row>
    <row r="25" spans="1:25" ht="13.5" thickBot="1">
      <c r="A25" s="150">
        <v>714</v>
      </c>
      <c r="B25" s="524" t="s">
        <v>61</v>
      </c>
      <c r="C25" s="525"/>
      <c r="D25" s="525"/>
      <c r="E25" s="525"/>
      <c r="F25" s="525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2">
        <f t="shared" si="3"/>
        <v>20484439.07</v>
      </c>
      <c r="T25" s="370">
        <f t="shared" si="4"/>
        <v>4.1374346738032725E-3</v>
      </c>
      <c r="W25" s="292"/>
    </row>
    <row r="26" spans="1:25" ht="13.5" thickBot="1">
      <c r="A26" s="150">
        <v>715</v>
      </c>
      <c r="B26" s="524" t="s">
        <v>81</v>
      </c>
      <c r="C26" s="525"/>
      <c r="D26" s="525"/>
      <c r="E26" s="525"/>
      <c r="F26" s="525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2">
        <f t="shared" si="3"/>
        <v>28696128.32</v>
      </c>
      <c r="T26" s="370">
        <f t="shared" si="4"/>
        <v>5.7960267259139567E-3</v>
      </c>
      <c r="W26" s="311"/>
    </row>
    <row r="27" spans="1:25" ht="13.5" thickBot="1">
      <c r="A27" s="150">
        <v>73</v>
      </c>
      <c r="B27" s="524" t="s">
        <v>99</v>
      </c>
      <c r="C27" s="525"/>
      <c r="D27" s="525"/>
      <c r="E27" s="525"/>
      <c r="F27" s="525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2">
        <f t="shared" si="3"/>
        <v>4775383.3</v>
      </c>
      <c r="T27" s="370">
        <f t="shared" si="4"/>
        <v>9.6452904463744694E-4</v>
      </c>
    </row>
    <row r="28" spans="1:25" ht="13.5" thickBot="1">
      <c r="A28" s="150">
        <v>74</v>
      </c>
      <c r="B28" s="528" t="s">
        <v>105</v>
      </c>
      <c r="C28" s="529"/>
      <c r="D28" s="529"/>
      <c r="E28" s="529"/>
      <c r="F28" s="529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2">
        <f t="shared" si="3"/>
        <v>22987039.909999996</v>
      </c>
      <c r="T28" s="371">
        <f t="shared" si="4"/>
        <v>4.6429084851545132E-3</v>
      </c>
    </row>
    <row r="29" spans="1:25" ht="13.5" thickBot="1">
      <c r="A29" s="150">
        <v>4</v>
      </c>
      <c r="B29" s="530" t="s">
        <v>801</v>
      </c>
      <c r="C29" s="531"/>
      <c r="D29" s="531"/>
      <c r="E29" s="531"/>
      <c r="F29" s="531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6">
        <f t="shared" ref="S29:S63" si="6">+SUM(G29:R29)</f>
        <v>2028496341.4899998</v>
      </c>
      <c r="T29" s="372">
        <f t="shared" si="4"/>
        <v>0.40971447010502926</v>
      </c>
    </row>
    <row r="30" spans="1:25" ht="13.5" thickBot="1">
      <c r="A30" s="150">
        <v>40</v>
      </c>
      <c r="B30" s="532" t="s">
        <v>120</v>
      </c>
      <c r="C30" s="533"/>
      <c r="D30" s="533"/>
      <c r="E30" s="533"/>
      <c r="F30" s="533"/>
      <c r="G30" s="181">
        <f>SUM(G31:G39)</f>
        <v>50239320.530000001</v>
      </c>
      <c r="H30" s="181">
        <f t="shared" ref="H30:R30" si="7">SUM(H31:H39)</f>
        <v>54920566.579999998</v>
      </c>
      <c r="I30" s="181">
        <f t="shared" si="7"/>
        <v>84090251.579999998</v>
      </c>
      <c r="J30" s="181">
        <f t="shared" si="7"/>
        <v>75185736.689999983</v>
      </c>
      <c r="K30" s="181">
        <f t="shared" si="7"/>
        <v>67102865.320000008</v>
      </c>
      <c r="L30" s="181">
        <f t="shared" si="7"/>
        <v>65490081.909999996</v>
      </c>
      <c r="M30" s="181">
        <f t="shared" si="7"/>
        <v>70554460.75</v>
      </c>
      <c r="N30" s="181">
        <f t="shared" si="7"/>
        <v>51929647.079999998</v>
      </c>
      <c r="O30" s="181">
        <f t="shared" si="7"/>
        <v>61431440.43999999</v>
      </c>
      <c r="P30" s="181">
        <f t="shared" si="7"/>
        <v>75122823.509999976</v>
      </c>
      <c r="Q30" s="181">
        <f t="shared" si="7"/>
        <v>64847443.090000004</v>
      </c>
      <c r="R30" s="181">
        <f t="shared" si="7"/>
        <v>101858132.54000002</v>
      </c>
      <c r="S30" s="387">
        <f t="shared" si="6"/>
        <v>822772770.01999998</v>
      </c>
      <c r="T30" s="373">
        <f t="shared" si="4"/>
        <v>0.16618314886285598</v>
      </c>
      <c r="U30" s="242"/>
    </row>
    <row r="31" spans="1:25">
      <c r="A31" s="150">
        <v>411</v>
      </c>
      <c r="B31" s="522" t="s">
        <v>122</v>
      </c>
      <c r="C31" s="523"/>
      <c r="D31" s="523"/>
      <c r="E31" s="523"/>
      <c r="F31" s="523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4">
        <f>+SUM(G31:R31)</f>
        <v>472853876.71000004</v>
      </c>
      <c r="T31" s="369">
        <f t="shared" si="4"/>
        <v>9.5506741407796414E-2</v>
      </c>
      <c r="U31" s="456"/>
      <c r="W31" s="257"/>
    </row>
    <row r="32" spans="1:25">
      <c r="A32" s="150">
        <v>412</v>
      </c>
      <c r="B32" s="522" t="s">
        <v>133</v>
      </c>
      <c r="C32" s="523"/>
      <c r="D32" s="523"/>
      <c r="E32" s="523"/>
      <c r="F32" s="523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4">
        <f t="shared" si="6"/>
        <v>15228326.93</v>
      </c>
      <c r="T32" s="369">
        <f t="shared" si="4"/>
        <v>3.0758083074126437E-3</v>
      </c>
    </row>
    <row r="33" spans="1:23">
      <c r="A33" s="150">
        <v>413</v>
      </c>
      <c r="B33" s="522" t="s">
        <v>148</v>
      </c>
      <c r="C33" s="523"/>
      <c r="D33" s="523"/>
      <c r="E33" s="523"/>
      <c r="F33" s="523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4">
        <f t="shared" si="6"/>
        <v>33231725.990000002</v>
      </c>
      <c r="T33" s="369">
        <f t="shared" si="4"/>
        <v>6.7121240133306403E-3</v>
      </c>
      <c r="U33" s="293"/>
    </row>
    <row r="34" spans="1:23">
      <c r="A34" s="359">
        <v>414</v>
      </c>
      <c r="B34" s="522" t="s">
        <v>162</v>
      </c>
      <c r="C34" s="523"/>
      <c r="D34" s="523"/>
      <c r="E34" s="523"/>
      <c r="F34" s="523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4">
        <f t="shared" si="6"/>
        <v>77664645.890000001</v>
      </c>
      <c r="T34" s="369">
        <f t="shared" si="4"/>
        <v>1.5686658430620077E-2</v>
      </c>
      <c r="U34" s="311"/>
      <c r="V34" s="291"/>
    </row>
    <row r="35" spans="1:23" s="360" customFormat="1">
      <c r="A35" s="150">
        <v>415</v>
      </c>
      <c r="B35" s="617" t="s">
        <v>182</v>
      </c>
      <c r="C35" s="618"/>
      <c r="D35" s="618"/>
      <c r="E35" s="618"/>
      <c r="F35" s="618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4">
        <f t="shared" si="6"/>
        <v>22511706.030000001</v>
      </c>
      <c r="T35" s="369">
        <f t="shared" si="4"/>
        <v>4.5469008341749145E-3</v>
      </c>
      <c r="U35" s="311"/>
    </row>
    <row r="36" spans="1:23">
      <c r="A36" s="150">
        <v>416</v>
      </c>
      <c r="B36" s="522" t="s">
        <v>190</v>
      </c>
      <c r="C36" s="523"/>
      <c r="D36" s="523"/>
      <c r="E36" s="523"/>
      <c r="F36" s="523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4">
        <f t="shared" si="6"/>
        <v>105803340.84999999</v>
      </c>
      <c r="T36" s="369">
        <f t="shared" si="4"/>
        <v>2.1370095101999595E-2</v>
      </c>
      <c r="U36" s="311"/>
    </row>
    <row r="37" spans="1:23">
      <c r="A37" s="150">
        <v>417</v>
      </c>
      <c r="B37" s="522" t="s">
        <v>196</v>
      </c>
      <c r="C37" s="523"/>
      <c r="D37" s="523"/>
      <c r="E37" s="523"/>
      <c r="F37" s="523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4">
        <f>+SUM(G37:R37)</f>
        <v>10953661.65</v>
      </c>
      <c r="T37" s="369">
        <f t="shared" si="4"/>
        <v>2.2124139870733188E-3</v>
      </c>
      <c r="U37" s="311"/>
    </row>
    <row r="38" spans="1:23">
      <c r="A38" s="150">
        <v>418</v>
      </c>
      <c r="B38" s="522" t="s">
        <v>204</v>
      </c>
      <c r="C38" s="523"/>
      <c r="D38" s="523"/>
      <c r="E38" s="523"/>
      <c r="F38" s="523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4">
        <f t="shared" si="6"/>
        <v>34566147.960000001</v>
      </c>
      <c r="T38" s="369">
        <f t="shared" si="4"/>
        <v>6.9816497596445161E-3</v>
      </c>
      <c r="U38" s="311"/>
    </row>
    <row r="39" spans="1:23">
      <c r="A39" s="359">
        <v>419</v>
      </c>
      <c r="B39" s="522" t="s">
        <v>212</v>
      </c>
      <c r="C39" s="523"/>
      <c r="D39" s="523"/>
      <c r="E39" s="523"/>
      <c r="F39" s="523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4">
        <f t="shared" si="6"/>
        <v>49959338.009999998</v>
      </c>
      <c r="T39" s="369">
        <f t="shared" si="4"/>
        <v>1.0090757020803878E-2</v>
      </c>
      <c r="U39" s="311"/>
    </row>
    <row r="40" spans="1:23" s="360" customFormat="1">
      <c r="A40" s="150">
        <v>42</v>
      </c>
      <c r="B40" s="538" t="s">
        <v>230</v>
      </c>
      <c r="C40" s="539"/>
      <c r="D40" s="539"/>
      <c r="E40" s="539"/>
      <c r="F40" s="539"/>
      <c r="G40" s="193">
        <f>SUM(G41:G45)</f>
        <v>42563180.95000001</v>
      </c>
      <c r="H40" s="193">
        <f t="shared" ref="H40:R40" si="8">SUM(H41:H45)</f>
        <v>46593450.350000001</v>
      </c>
      <c r="I40" s="193">
        <f t="shared" si="8"/>
        <v>45430932.770000003</v>
      </c>
      <c r="J40" s="193">
        <f t="shared" si="8"/>
        <v>45452256.159999996</v>
      </c>
      <c r="K40" s="193">
        <f t="shared" si="8"/>
        <v>45374524.750000007</v>
      </c>
      <c r="L40" s="193">
        <f t="shared" si="8"/>
        <v>45747596.940000005</v>
      </c>
      <c r="M40" s="193">
        <f t="shared" si="8"/>
        <v>46131052.630000003</v>
      </c>
      <c r="N40" s="193">
        <f t="shared" si="8"/>
        <v>45700495.499999993</v>
      </c>
      <c r="O40" s="193">
        <f t="shared" si="8"/>
        <v>45932966.689999998</v>
      </c>
      <c r="P40" s="193">
        <f t="shared" si="8"/>
        <v>46756374.820000008</v>
      </c>
      <c r="Q40" s="193">
        <f t="shared" si="8"/>
        <v>45188893.659999996</v>
      </c>
      <c r="R40" s="193">
        <f t="shared" si="8"/>
        <v>53477174.68</v>
      </c>
      <c r="S40" s="385">
        <f t="shared" si="6"/>
        <v>554348899.89999998</v>
      </c>
      <c r="T40" s="370">
        <f t="shared" si="4"/>
        <v>0.11196705713997172</v>
      </c>
      <c r="U40" s="311"/>
    </row>
    <row r="41" spans="1:23">
      <c r="A41" s="150">
        <v>421</v>
      </c>
      <c r="B41" s="522" t="s">
        <v>232</v>
      </c>
      <c r="C41" s="523"/>
      <c r="D41" s="523"/>
      <c r="E41" s="523"/>
      <c r="F41" s="523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4">
        <f t="shared" si="6"/>
        <v>79857118.899999991</v>
      </c>
      <c r="T41" s="369">
        <f t="shared" si="4"/>
        <v>1.6129492809533425E-2</v>
      </c>
      <c r="W41" s="309"/>
    </row>
    <row r="42" spans="1:23">
      <c r="A42" s="150">
        <v>422</v>
      </c>
      <c r="B42" s="522" t="s">
        <v>248</v>
      </c>
      <c r="C42" s="523"/>
      <c r="D42" s="523"/>
      <c r="E42" s="523"/>
      <c r="F42" s="523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4">
        <f t="shared" si="6"/>
        <v>20398152.109999999</v>
      </c>
      <c r="T42" s="369">
        <f t="shared" si="4"/>
        <v>4.1200064855584726E-3</v>
      </c>
    </row>
    <row r="43" spans="1:23">
      <c r="A43" s="150">
        <v>423</v>
      </c>
      <c r="B43" s="522" t="s">
        <v>259</v>
      </c>
      <c r="C43" s="523"/>
      <c r="D43" s="523"/>
      <c r="E43" s="523"/>
      <c r="F43" s="523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4">
        <f t="shared" si="6"/>
        <v>420870901.67999995</v>
      </c>
      <c r="T43" s="369">
        <f t="shared" si="4"/>
        <v>8.5007251399717224E-2</v>
      </c>
      <c r="V43" s="291"/>
    </row>
    <row r="44" spans="1:23">
      <c r="A44" s="150">
        <v>424</v>
      </c>
      <c r="B44" s="522" t="s">
        <v>274</v>
      </c>
      <c r="C44" s="523"/>
      <c r="D44" s="523"/>
      <c r="E44" s="523"/>
      <c r="F44" s="523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4">
        <f t="shared" si="6"/>
        <v>21699290.620000005</v>
      </c>
      <c r="T44" s="369">
        <f t="shared" si="4"/>
        <v>4.3828096586548178E-3</v>
      </c>
    </row>
    <row r="45" spans="1:23">
      <c r="A45" s="359">
        <v>425</v>
      </c>
      <c r="B45" s="522" t="s">
        <v>278</v>
      </c>
      <c r="C45" s="523"/>
      <c r="D45" s="523"/>
      <c r="E45" s="523"/>
      <c r="F45" s="523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4">
        <f t="shared" si="6"/>
        <v>11523436.590000002</v>
      </c>
      <c r="T45" s="369">
        <f t="shared" si="4"/>
        <v>2.3274967865077765E-3</v>
      </c>
      <c r="U45" s="352"/>
    </row>
    <row r="46" spans="1:23" s="360" customFormat="1">
      <c r="A46" s="150">
        <v>43</v>
      </c>
      <c r="B46" s="536" t="s">
        <v>286</v>
      </c>
      <c r="C46" s="537"/>
      <c r="D46" s="537"/>
      <c r="E46" s="537"/>
      <c r="F46" s="537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5">
        <f t="shared" si="6"/>
        <v>219689949.60999998</v>
      </c>
      <c r="T46" s="370">
        <f t="shared" si="4"/>
        <v>4.4372843791153298E-2</v>
      </c>
    </row>
    <row r="47" spans="1:23">
      <c r="A47" s="150">
        <v>44</v>
      </c>
      <c r="B47" s="536" t="s">
        <v>320</v>
      </c>
      <c r="C47" s="537"/>
      <c r="D47" s="537"/>
      <c r="E47" s="537"/>
      <c r="F47" s="537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5">
        <f t="shared" si="6"/>
        <v>344885621.69999993</v>
      </c>
      <c r="T47" s="370">
        <f t="shared" si="4"/>
        <v>6.965979028479094E-2</v>
      </c>
      <c r="U47" s="291"/>
    </row>
    <row r="48" spans="1:23">
      <c r="A48" s="150">
        <v>451</v>
      </c>
      <c r="B48" s="615" t="s">
        <v>113</v>
      </c>
      <c r="C48" s="616"/>
      <c r="D48" s="616"/>
      <c r="E48" s="616"/>
      <c r="F48" s="616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4">
        <f t="shared" si="6"/>
        <v>3176935.98</v>
      </c>
      <c r="T48" s="369">
        <f t="shared" si="4"/>
        <v>6.416756170470612E-4</v>
      </c>
    </row>
    <row r="49" spans="1:22" s="360" customFormat="1">
      <c r="A49" s="359">
        <v>47</v>
      </c>
      <c r="B49" s="607" t="s">
        <v>366</v>
      </c>
      <c r="C49" s="608"/>
      <c r="D49" s="608"/>
      <c r="E49" s="608"/>
      <c r="F49" s="608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4">
        <f t="shared" si="6"/>
        <v>24296455.589999996</v>
      </c>
      <c r="T49" s="369">
        <f t="shared" si="4"/>
        <v>4.9073834760654409E-3</v>
      </c>
    </row>
    <row r="50" spans="1:22" ht="13.5" thickBot="1">
      <c r="A50" s="150">
        <v>462</v>
      </c>
      <c r="B50" s="542" t="s">
        <v>359</v>
      </c>
      <c r="C50" s="543"/>
      <c r="D50" s="543"/>
      <c r="E50" s="543"/>
      <c r="F50" s="543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4">
        <f t="shared" si="6"/>
        <v>38684699.409999996</v>
      </c>
      <c r="T50" s="374">
        <f t="shared" si="4"/>
        <v>7.8135123025651378E-3</v>
      </c>
      <c r="U50" s="292"/>
      <c r="V50" s="293"/>
    </row>
    <row r="51" spans="1:22" ht="13.5" thickBot="1">
      <c r="A51" s="144">
        <v>4630</v>
      </c>
      <c r="B51" s="609" t="s">
        <v>794</v>
      </c>
      <c r="C51" s="610"/>
      <c r="D51" s="610"/>
      <c r="E51" s="610"/>
      <c r="F51" s="610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89">
        <f>+SUM(G51:R51)</f>
        <v>20641009.280000001</v>
      </c>
      <c r="T51" s="374">
        <f>+S51/$T$7</f>
        <v>4.1690586305796811E-3</v>
      </c>
    </row>
    <row r="52" spans="1:22" ht="13.5" thickBot="1">
      <c r="A52" s="70">
        <v>1005</v>
      </c>
      <c r="B52" s="611" t="s">
        <v>684</v>
      </c>
      <c r="C52" s="612"/>
      <c r="D52" s="612"/>
      <c r="E52" s="612"/>
      <c r="F52" s="612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0">
        <f>+SUM(G52:R52)</f>
        <v>0</v>
      </c>
      <c r="T52" s="375">
        <f>+S52/$T$7</f>
        <v>0</v>
      </c>
    </row>
    <row r="53" spans="1:22" ht="13.5" thickBot="1">
      <c r="A53" s="144">
        <v>1000</v>
      </c>
      <c r="B53" s="544" t="s">
        <v>545</v>
      </c>
      <c r="C53" s="545"/>
      <c r="D53" s="545"/>
      <c r="E53" s="545"/>
      <c r="F53" s="545"/>
      <c r="G53" s="151">
        <f t="shared" ref="G53:R53" si="9">+G10-G29</f>
        <v>-32293894.080000013</v>
      </c>
      <c r="H53" s="151">
        <f t="shared" si="9"/>
        <v>-14400637.450000003</v>
      </c>
      <c r="I53" s="151">
        <f t="shared" si="9"/>
        <v>-24605259.449999988</v>
      </c>
      <c r="J53" s="151">
        <f t="shared" si="9"/>
        <v>10157505.210000008</v>
      </c>
      <c r="K53" s="151">
        <f t="shared" si="9"/>
        <v>-1970111.180000037</v>
      </c>
      <c r="L53" s="151">
        <f t="shared" si="9"/>
        <v>-836313.71000000834</v>
      </c>
      <c r="M53" s="151">
        <f t="shared" si="9"/>
        <v>-5254154.0799999833</v>
      </c>
      <c r="N53" s="151">
        <f t="shared" si="9"/>
        <v>14448916.120000005</v>
      </c>
      <c r="O53" s="151">
        <f t="shared" si="9"/>
        <v>16560443.75000003</v>
      </c>
      <c r="P53" s="151">
        <f t="shared" si="9"/>
        <v>-22562595.639999956</v>
      </c>
      <c r="Q53" s="151">
        <f t="shared" si="9"/>
        <v>-49894863.75</v>
      </c>
      <c r="R53" s="151">
        <f t="shared" si="9"/>
        <v>-32632759.069999993</v>
      </c>
      <c r="S53" s="391">
        <f t="shared" si="6"/>
        <v>-143283723.32999992</v>
      </c>
      <c r="T53" s="376">
        <f t="shared" si="4"/>
        <v>-2.8940360195920001E-2</v>
      </c>
    </row>
    <row r="54" spans="1:22" ht="13.5" thickBot="1">
      <c r="A54" s="144">
        <v>1001</v>
      </c>
      <c r="B54" s="546" t="s">
        <v>792</v>
      </c>
      <c r="C54" s="547"/>
      <c r="D54" s="547"/>
      <c r="E54" s="547"/>
      <c r="F54" s="547"/>
      <c r="G54" s="205">
        <f>+G53+G36</f>
        <v>-26139041.180000015</v>
      </c>
      <c r="H54" s="205">
        <f t="shared" ref="H54:R54" si="10">+H53+H36</f>
        <v>-13401295.910000004</v>
      </c>
      <c r="I54" s="205">
        <f t="shared" si="10"/>
        <v>4090254.2000000104</v>
      </c>
      <c r="J54" s="205">
        <f t="shared" si="10"/>
        <v>28592777.000000007</v>
      </c>
      <c r="K54" s="205">
        <f t="shared" si="10"/>
        <v>8288732.8899999633</v>
      </c>
      <c r="L54" s="205">
        <f t="shared" si="10"/>
        <v>4575453.2299999921</v>
      </c>
      <c r="M54" s="205">
        <f t="shared" si="10"/>
        <v>3793179.1200000159</v>
      </c>
      <c r="N54" s="205">
        <f t="shared" si="10"/>
        <v>15500183.450000005</v>
      </c>
      <c r="O54" s="205">
        <f t="shared" si="10"/>
        <v>19559829.68000003</v>
      </c>
      <c r="P54" s="205">
        <f t="shared" si="10"/>
        <v>-10033402.149999956</v>
      </c>
      <c r="Q54" s="205">
        <f t="shared" si="10"/>
        <v>-45439053.560000002</v>
      </c>
      <c r="R54" s="205">
        <f t="shared" si="10"/>
        <v>-26867999.249999993</v>
      </c>
      <c r="S54" s="391">
        <f t="shared" si="6"/>
        <v>-37480382.479999945</v>
      </c>
      <c r="T54" s="376">
        <f t="shared" si="4"/>
        <v>-7.5702650939204093E-3</v>
      </c>
    </row>
    <row r="55" spans="1:22">
      <c r="A55" s="144">
        <v>46</v>
      </c>
      <c r="B55" s="568" t="s">
        <v>352</v>
      </c>
      <c r="C55" s="569"/>
      <c r="D55" s="569"/>
      <c r="E55" s="569"/>
      <c r="F55" s="569"/>
      <c r="G55" s="193">
        <f t="shared" ref="G55:R55" si="11">+SUM(G56:G57)</f>
        <v>19518367.399999999</v>
      </c>
      <c r="H55" s="193">
        <f t="shared" si="11"/>
        <v>67365423.120000005</v>
      </c>
      <c r="I55" s="193">
        <f t="shared" si="11"/>
        <v>17786584.469999999</v>
      </c>
      <c r="J55" s="193">
        <f t="shared" si="11"/>
        <v>18302050.879999999</v>
      </c>
      <c r="K55" s="193">
        <f t="shared" si="11"/>
        <v>183682731.81999999</v>
      </c>
      <c r="L55" s="193">
        <f t="shared" si="11"/>
        <v>11094774.199999999</v>
      </c>
      <c r="M55" s="193">
        <f t="shared" si="11"/>
        <v>80471032.019999996</v>
      </c>
      <c r="N55" s="193">
        <f t="shared" si="11"/>
        <v>57755617.170000002</v>
      </c>
      <c r="O55" s="193">
        <f t="shared" si="11"/>
        <v>17889318.350000001</v>
      </c>
      <c r="P55" s="193">
        <f t="shared" si="11"/>
        <v>11092379.140000001</v>
      </c>
      <c r="Q55" s="193">
        <f t="shared" si="11"/>
        <v>10162494.119999999</v>
      </c>
      <c r="R55" s="193">
        <f t="shared" si="11"/>
        <v>12220480.4</v>
      </c>
      <c r="S55" s="392">
        <f t="shared" si="6"/>
        <v>507341253.08999997</v>
      </c>
      <c r="T55" s="377">
        <f t="shared" si="4"/>
        <v>0.10247248093112502</v>
      </c>
      <c r="V55" s="309"/>
    </row>
    <row r="56" spans="1:22">
      <c r="A56" s="144">
        <v>4611</v>
      </c>
      <c r="B56" s="564" t="s">
        <v>355</v>
      </c>
      <c r="C56" s="565"/>
      <c r="D56" s="565"/>
      <c r="E56" s="565"/>
      <c r="F56" s="565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3">
        <f t="shared" si="6"/>
        <v>178415558.27999997</v>
      </c>
      <c r="T56" s="378">
        <f t="shared" si="4"/>
        <v>3.6036267073318515E-2</v>
      </c>
      <c r="V56" s="352"/>
    </row>
    <row r="57" spans="1:22">
      <c r="A57" s="144">
        <v>4612</v>
      </c>
      <c r="B57" s="540" t="s">
        <v>357</v>
      </c>
      <c r="C57" s="541"/>
      <c r="D57" s="541"/>
      <c r="E57" s="541"/>
      <c r="F57" s="541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3">
        <f t="shared" si="6"/>
        <v>328925694.81</v>
      </c>
      <c r="T57" s="378">
        <f t="shared" si="4"/>
        <v>6.64362138578065E-2</v>
      </c>
      <c r="V57" s="318"/>
    </row>
    <row r="58" spans="1:22" ht="13.5" thickBot="1">
      <c r="A58" s="144">
        <v>4418</v>
      </c>
      <c r="B58" s="624" t="s">
        <v>336</v>
      </c>
      <c r="C58" s="625"/>
      <c r="D58" s="625"/>
      <c r="E58" s="625"/>
      <c r="F58" s="625"/>
      <c r="G58" s="494">
        <f>DataEx!FF167</f>
        <v>0</v>
      </c>
      <c r="H58" s="494">
        <f>DataEx!FG167</f>
        <v>35272.089999999997</v>
      </c>
      <c r="I58" s="494">
        <f>DataEx!FH167</f>
        <v>0</v>
      </c>
      <c r="J58" s="494">
        <f>DataEx!FI167</f>
        <v>39948396.369999997</v>
      </c>
      <c r="K58" s="494">
        <f>DataEx!FJ167</f>
        <v>0</v>
      </c>
      <c r="L58" s="494">
        <f>DataEx!FK167</f>
        <v>0</v>
      </c>
      <c r="M58" s="494">
        <f>DataEx!FL167</f>
        <v>0</v>
      </c>
      <c r="N58" s="494">
        <f>DataEx!FM167</f>
        <v>0</v>
      </c>
      <c r="O58" s="494">
        <f>DataEx!FN167</f>
        <v>0</v>
      </c>
      <c r="P58" s="494">
        <f>DataEx!FO167</f>
        <v>0</v>
      </c>
      <c r="Q58" s="494">
        <f>DataEx!FP167</f>
        <v>14495201.140000001</v>
      </c>
      <c r="R58" s="494">
        <f>DataEx!FQ167</f>
        <v>2849828.78</v>
      </c>
      <c r="S58" s="495">
        <f>SUM(G58:R58)</f>
        <v>57328698.380000003</v>
      </c>
      <c r="T58" s="496">
        <f>+S58/$T$7</f>
        <v>1.1579215992728742E-2</v>
      </c>
      <c r="V58" s="318"/>
    </row>
    <row r="59" spans="1:22" ht="13.5" thickBot="1">
      <c r="A59" s="144">
        <v>1002</v>
      </c>
      <c r="B59" s="566" t="s">
        <v>543</v>
      </c>
      <c r="C59" s="567"/>
      <c r="D59" s="567"/>
      <c r="E59" s="567"/>
      <c r="F59" s="567"/>
      <c r="G59" s="217">
        <f>+G53-G55-G58</f>
        <v>-51812261.480000012</v>
      </c>
      <c r="H59" s="217">
        <f t="shared" ref="H59:R59" si="12">+H53-H55-H58</f>
        <v>-81801332.660000011</v>
      </c>
      <c r="I59" s="217">
        <f t="shared" si="12"/>
        <v>-42391843.919999987</v>
      </c>
      <c r="J59" s="217">
        <f t="shared" si="12"/>
        <v>-48092942.039999992</v>
      </c>
      <c r="K59" s="217">
        <f t="shared" si="12"/>
        <v>-185652843.00000003</v>
      </c>
      <c r="L59" s="217">
        <f t="shared" si="12"/>
        <v>-11931087.910000008</v>
      </c>
      <c r="M59" s="217">
        <f t="shared" si="12"/>
        <v>-85725186.099999979</v>
      </c>
      <c r="N59" s="217">
        <f t="shared" si="12"/>
        <v>-43306701.049999997</v>
      </c>
      <c r="O59" s="217">
        <f t="shared" si="12"/>
        <v>-1328874.5999999717</v>
      </c>
      <c r="P59" s="217">
        <f t="shared" si="12"/>
        <v>-33654974.779999956</v>
      </c>
      <c r="Q59" s="217">
        <f t="shared" si="12"/>
        <v>-74552559.00999999</v>
      </c>
      <c r="R59" s="217">
        <f t="shared" si="12"/>
        <v>-47703068.249999993</v>
      </c>
      <c r="S59" s="394">
        <f t="shared" si="6"/>
        <v>-707953674.79999995</v>
      </c>
      <c r="T59" s="379">
        <f t="shared" si="4"/>
        <v>-0.14299205711977378</v>
      </c>
    </row>
    <row r="60" spans="1:22" ht="13.5" thickBot="1">
      <c r="A60" s="144">
        <v>1003</v>
      </c>
      <c r="B60" s="530" t="s">
        <v>544</v>
      </c>
      <c r="C60" s="531"/>
      <c r="D60" s="531"/>
      <c r="E60" s="531"/>
      <c r="F60" s="531"/>
      <c r="G60" s="151">
        <f>+SUM(G61:G64)</f>
        <v>51812261.480000012</v>
      </c>
      <c r="H60" s="151">
        <f t="shared" ref="H60:R60" si="13">+SUM(H61:H64)</f>
        <v>81801332.660000011</v>
      </c>
      <c r="I60" s="151">
        <f t="shared" si="13"/>
        <v>42391843.919999987</v>
      </c>
      <c r="J60" s="151">
        <f t="shared" si="13"/>
        <v>48092942.039999992</v>
      </c>
      <c r="K60" s="151">
        <f t="shared" si="13"/>
        <v>185652843.00000003</v>
      </c>
      <c r="L60" s="151">
        <f t="shared" si="13"/>
        <v>11931087.910000008</v>
      </c>
      <c r="M60" s="151">
        <f t="shared" si="13"/>
        <v>85725186.099999979</v>
      </c>
      <c r="N60" s="151">
        <f t="shared" si="13"/>
        <v>43306701.049999997</v>
      </c>
      <c r="O60" s="151">
        <f t="shared" si="13"/>
        <v>1328874.5999999717</v>
      </c>
      <c r="P60" s="151">
        <f t="shared" si="13"/>
        <v>33654974.779999971</v>
      </c>
      <c r="Q60" s="151">
        <f t="shared" si="13"/>
        <v>74552559.00999999</v>
      </c>
      <c r="R60" s="151">
        <f t="shared" si="13"/>
        <v>47703068.249999993</v>
      </c>
      <c r="S60" s="395">
        <f t="shared" si="6"/>
        <v>707953674.79999995</v>
      </c>
      <c r="T60" s="380">
        <f t="shared" si="4"/>
        <v>0.14299205711977378</v>
      </c>
    </row>
    <row r="61" spans="1:22">
      <c r="A61" s="144">
        <v>7511</v>
      </c>
      <c r="B61" s="564" t="s">
        <v>114</v>
      </c>
      <c r="C61" s="565"/>
      <c r="D61" s="565"/>
      <c r="E61" s="565"/>
      <c r="F61" s="565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3">
        <f t="shared" si="6"/>
        <v>363438000</v>
      </c>
      <c r="T61" s="378">
        <f t="shared" si="4"/>
        <v>7.3406988487174307E-2</v>
      </c>
    </row>
    <row r="62" spans="1:22">
      <c r="A62" s="144">
        <v>7512</v>
      </c>
      <c r="B62" s="540" t="s">
        <v>116</v>
      </c>
      <c r="C62" s="541"/>
      <c r="D62" s="541"/>
      <c r="E62" s="541"/>
      <c r="F62" s="541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3">
        <f t="shared" si="6"/>
        <v>651580293.42999995</v>
      </c>
      <c r="T62" s="378">
        <f t="shared" si="4"/>
        <v>0.13160579548172086</v>
      </c>
    </row>
    <row r="63" spans="1:22">
      <c r="A63" s="144">
        <v>72</v>
      </c>
      <c r="B63" s="540" t="s">
        <v>93</v>
      </c>
      <c r="C63" s="541"/>
      <c r="D63" s="541"/>
      <c r="E63" s="541"/>
      <c r="F63" s="541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3">
        <f t="shared" si="6"/>
        <v>4278082.92</v>
      </c>
      <c r="T63" s="378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4">-H59-SUM(H61:H63)</f>
        <v>23804487.060000017</v>
      </c>
      <c r="I64" s="225">
        <f t="shared" si="14"/>
        <v>28151297.249999985</v>
      </c>
      <c r="J64" s="225">
        <f t="shared" si="14"/>
        <v>-33195979.890000001</v>
      </c>
      <c r="K64" s="225">
        <f t="shared" si="14"/>
        <v>109757718.66000003</v>
      </c>
      <c r="L64" s="225">
        <f t="shared" si="14"/>
        <v>2424075.2900000084</v>
      </c>
      <c r="M64" s="225">
        <f t="shared" si="14"/>
        <v>64666609.949999981</v>
      </c>
      <c r="N64" s="225">
        <f t="shared" si="14"/>
        <v>-43258650.699999988</v>
      </c>
      <c r="O64" s="225">
        <f t="shared" si="14"/>
        <v>-7917512.7800000291</v>
      </c>
      <c r="P64" s="225">
        <f t="shared" si="14"/>
        <v>-479707297.42000002</v>
      </c>
      <c r="Q64" s="225">
        <f t="shared" si="14"/>
        <v>17128605.839999996</v>
      </c>
      <c r="R64" s="225">
        <f t="shared" si="14"/>
        <v>-1232792.0200000033</v>
      </c>
      <c r="S64" s="396">
        <f>+SUM(G64:R64)</f>
        <v>-311342701.55000001</v>
      </c>
      <c r="T64" s="381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5">+CONCATENATE(G6,"p")</f>
        <v>2019-01p</v>
      </c>
      <c r="H99" s="68" t="str">
        <f t="shared" si="15"/>
        <v>2019-02p</v>
      </c>
      <c r="I99" s="68" t="str">
        <f t="shared" si="15"/>
        <v>2019-03p</v>
      </c>
      <c r="J99" s="68" t="str">
        <f t="shared" si="15"/>
        <v>2019-04p</v>
      </c>
      <c r="K99" s="68" t="str">
        <f t="shared" si="15"/>
        <v>2019-05p</v>
      </c>
      <c r="L99" s="68" t="str">
        <f t="shared" si="15"/>
        <v>2019-06p</v>
      </c>
      <c r="M99" s="68" t="str">
        <f t="shared" si="15"/>
        <v>2019-07p</v>
      </c>
      <c r="N99" s="68" t="str">
        <f t="shared" si="15"/>
        <v>2019-08p</v>
      </c>
      <c r="O99" s="68" t="str">
        <f t="shared" si="15"/>
        <v>2019-09p</v>
      </c>
      <c r="P99" s="68" t="str">
        <f t="shared" si="15"/>
        <v>2019-10p</v>
      </c>
      <c r="Q99" s="68" t="str">
        <f t="shared" si="15"/>
        <v>2019-11p</v>
      </c>
      <c r="R99" s="68" t="str">
        <f t="shared" si="15"/>
        <v>2019-12p</v>
      </c>
    </row>
    <row r="100" spans="1:21" ht="15.75" customHeight="1" thickBot="1">
      <c r="B100" s="596" t="s">
        <v>551</v>
      </c>
      <c r="C100" s="597"/>
      <c r="D100" s="597"/>
      <c r="E100" s="597"/>
      <c r="F100" s="597"/>
      <c r="G100" s="604">
        <v>2019</v>
      </c>
      <c r="H100" s="605"/>
      <c r="I100" s="605"/>
      <c r="J100" s="605"/>
      <c r="K100" s="605"/>
      <c r="L100" s="605"/>
      <c r="M100" s="605"/>
      <c r="N100" s="605"/>
      <c r="O100" s="605"/>
      <c r="P100" s="605"/>
      <c r="Q100" s="605"/>
      <c r="R100" s="606"/>
      <c r="S100" s="107" t="str">
        <f>+S7</f>
        <v>BDP</v>
      </c>
      <c r="T100" s="108">
        <f>+T7</f>
        <v>4951000000</v>
      </c>
    </row>
    <row r="101" spans="1:21" ht="15.75" customHeight="1">
      <c r="B101" s="598"/>
      <c r="C101" s="599"/>
      <c r="D101" s="599"/>
      <c r="E101" s="599"/>
      <c r="F101" s="600"/>
      <c r="G101" s="71" t="str">
        <f t="shared" ref="G101:R101" si="16">+G8</f>
        <v>Januar</v>
      </c>
      <c r="H101" s="71" t="str">
        <f t="shared" si="16"/>
        <v>Februar</v>
      </c>
      <c r="I101" s="71" t="str">
        <f t="shared" si="16"/>
        <v>Mart</v>
      </c>
      <c r="J101" s="71" t="str">
        <f t="shared" si="16"/>
        <v>April</v>
      </c>
      <c r="K101" s="71" t="str">
        <f t="shared" si="16"/>
        <v>Maj</v>
      </c>
      <c r="L101" s="71" t="str">
        <f t="shared" si="16"/>
        <v>Jun</v>
      </c>
      <c r="M101" s="71" t="str">
        <f t="shared" si="16"/>
        <v>Jul</v>
      </c>
      <c r="N101" s="71" t="str">
        <f t="shared" si="16"/>
        <v>Avgust</v>
      </c>
      <c r="O101" s="71" t="str">
        <f t="shared" si="16"/>
        <v>Septembar</v>
      </c>
      <c r="P101" s="71" t="str">
        <f t="shared" si="16"/>
        <v>Oktobar</v>
      </c>
      <c r="Q101" s="71" t="str">
        <f t="shared" si="16"/>
        <v>Novembar</v>
      </c>
      <c r="R101" s="71" t="str">
        <f t="shared" si="16"/>
        <v>Decembar</v>
      </c>
      <c r="S101" s="604" t="s">
        <v>806</v>
      </c>
      <c r="T101" s="606">
        <f>+T8</f>
        <v>0</v>
      </c>
    </row>
    <row r="102" spans="1:21" ht="13.5" thickBot="1">
      <c r="B102" s="601"/>
      <c r="C102" s="602"/>
      <c r="D102" s="602"/>
      <c r="E102" s="602"/>
      <c r="F102" s="603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7">+CONCATENATE(A10,"p")</f>
        <v>7p</v>
      </c>
      <c r="B103" s="620" t="s">
        <v>680</v>
      </c>
      <c r="C103" s="621"/>
      <c r="D103" s="621"/>
      <c r="E103" s="621"/>
      <c r="F103" s="621"/>
      <c r="G103" s="93">
        <f t="shared" ref="G103:R103" si="18">+G104+G112+SUM(G117:G121)</f>
        <v>107257935.59</v>
      </c>
      <c r="H103" s="93">
        <f t="shared" si="18"/>
        <v>116544625.95</v>
      </c>
      <c r="I103" s="93">
        <f t="shared" si="18"/>
        <v>147544680.63</v>
      </c>
      <c r="J103" s="93">
        <f t="shared" si="18"/>
        <v>165045416.33000001</v>
      </c>
      <c r="K103" s="93">
        <f t="shared" si="18"/>
        <v>144226839.65000001</v>
      </c>
      <c r="L103" s="93">
        <f t="shared" si="18"/>
        <v>143393601.47999999</v>
      </c>
      <c r="M103" s="93">
        <f t="shared" si="18"/>
        <v>163636678.97122747</v>
      </c>
      <c r="N103" s="93">
        <f t="shared" si="18"/>
        <v>164502209.05473346</v>
      </c>
      <c r="O103" s="93">
        <f t="shared" si="18"/>
        <v>151400956.73161691</v>
      </c>
      <c r="P103" s="93">
        <f t="shared" si="18"/>
        <v>188402533.23753721</v>
      </c>
      <c r="Q103" s="93">
        <f t="shared" si="18"/>
        <v>148714658.46197224</v>
      </c>
      <c r="R103" s="93">
        <f t="shared" si="18"/>
        <v>193362777.67647338</v>
      </c>
      <c r="S103" s="397">
        <f>+SUM(G103:R103)</f>
        <v>1834032913.7635608</v>
      </c>
      <c r="T103" s="410">
        <f>+S103/$T$7</f>
        <v>0.37043686402010922</v>
      </c>
    </row>
    <row r="104" spans="1:21">
      <c r="A104" s="116" t="str">
        <f t="shared" si="17"/>
        <v>711p</v>
      </c>
      <c r="B104" s="594" t="s">
        <v>21</v>
      </c>
      <c r="C104" s="595"/>
      <c r="D104" s="595"/>
      <c r="E104" s="595"/>
      <c r="F104" s="595"/>
      <c r="G104" s="79">
        <f t="shared" ref="G104:R104" si="19">+SUM(G105:G111)</f>
        <v>72429730.420000002</v>
      </c>
      <c r="H104" s="79">
        <f t="shared" si="19"/>
        <v>68470908.439999998</v>
      </c>
      <c r="I104" s="79">
        <f t="shared" si="19"/>
        <v>98709545.510000005</v>
      </c>
      <c r="J104" s="79">
        <f t="shared" si="19"/>
        <v>106791818.52</v>
      </c>
      <c r="K104" s="79">
        <f t="shared" si="19"/>
        <v>94372185.030000001</v>
      </c>
      <c r="L104" s="79">
        <f t="shared" si="19"/>
        <v>89389439.689999998</v>
      </c>
      <c r="M104" s="79">
        <f t="shared" si="19"/>
        <v>106366803.00672032</v>
      </c>
      <c r="N104" s="79">
        <f t="shared" si="19"/>
        <v>110847613.63774106</v>
      </c>
      <c r="O104" s="79">
        <f t="shared" si="19"/>
        <v>101712748.66474015</v>
      </c>
      <c r="P104" s="79">
        <f t="shared" si="19"/>
        <v>96295636.228585869</v>
      </c>
      <c r="Q104" s="79">
        <f t="shared" si="19"/>
        <v>84393107.743797168</v>
      </c>
      <c r="R104" s="80">
        <f t="shared" si="19"/>
        <v>92890414.095145509</v>
      </c>
      <c r="S104" s="398">
        <f t="shared" ref="S104:S159" si="20">+SUM(G104:R104)</f>
        <v>1122669950.9867301</v>
      </c>
      <c r="T104" s="411">
        <f t="shared" ref="T104:T159" si="21">+S104/$T$7</f>
        <v>0.22675620096682086</v>
      </c>
      <c r="U104" s="257"/>
    </row>
    <row r="105" spans="1:21">
      <c r="A105" s="116" t="str">
        <f t="shared" si="17"/>
        <v>7111p</v>
      </c>
      <c r="B105" s="586" t="s">
        <v>23</v>
      </c>
      <c r="C105" s="587"/>
      <c r="D105" s="587"/>
      <c r="E105" s="587"/>
      <c r="F105" s="587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399">
        <f t="shared" si="20"/>
        <v>120237518.04497004</v>
      </c>
      <c r="T105" s="412">
        <f t="shared" si="21"/>
        <v>2.4285501523928506E-2</v>
      </c>
    </row>
    <row r="106" spans="1:21">
      <c r="A106" s="116" t="str">
        <f t="shared" si="17"/>
        <v>7112p</v>
      </c>
      <c r="B106" s="586" t="s">
        <v>25</v>
      </c>
      <c r="C106" s="587"/>
      <c r="D106" s="587"/>
      <c r="E106" s="587"/>
      <c r="F106" s="587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399">
        <f t="shared" si="20"/>
        <v>71194860.131909981</v>
      </c>
      <c r="T106" s="412">
        <f t="shared" si="21"/>
        <v>1.4379894997356086E-2</v>
      </c>
    </row>
    <row r="107" spans="1:21">
      <c r="A107" s="116" t="str">
        <f t="shared" si="17"/>
        <v>7113p</v>
      </c>
      <c r="B107" s="586" t="s">
        <v>27</v>
      </c>
      <c r="C107" s="587"/>
      <c r="D107" s="587"/>
      <c r="E107" s="587"/>
      <c r="F107" s="587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399">
        <f t="shared" si="20"/>
        <v>1862816.4104000002</v>
      </c>
      <c r="T107" s="412">
        <f t="shared" si="21"/>
        <v>3.7625053734599074E-4</v>
      </c>
    </row>
    <row r="108" spans="1:21">
      <c r="A108" s="116" t="str">
        <f t="shared" si="17"/>
        <v>7114p</v>
      </c>
      <c r="B108" s="586" t="s">
        <v>29</v>
      </c>
      <c r="C108" s="587"/>
      <c r="D108" s="587"/>
      <c r="E108" s="587"/>
      <c r="F108" s="587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399">
        <f t="shared" si="20"/>
        <v>657905657.67184997</v>
      </c>
      <c r="T108" s="412">
        <f t="shared" si="21"/>
        <v>0.1328833887440618</v>
      </c>
    </row>
    <row r="109" spans="1:21">
      <c r="A109" s="116" t="str">
        <f t="shared" si="17"/>
        <v>7115p</v>
      </c>
      <c r="B109" s="586" t="s">
        <v>31</v>
      </c>
      <c r="C109" s="587"/>
      <c r="D109" s="587"/>
      <c r="E109" s="587"/>
      <c r="F109" s="587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399">
        <f t="shared" si="20"/>
        <v>234801605.29820004</v>
      </c>
      <c r="T109" s="412">
        <f t="shared" si="21"/>
        <v>4.7425086911371449E-2</v>
      </c>
    </row>
    <row r="110" spans="1:21">
      <c r="A110" s="116" t="str">
        <f t="shared" si="17"/>
        <v>7116p</v>
      </c>
      <c r="B110" s="586" t="s">
        <v>33</v>
      </c>
      <c r="C110" s="587"/>
      <c r="D110" s="587"/>
      <c r="E110" s="587"/>
      <c r="F110" s="587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399">
        <f t="shared" si="20"/>
        <v>27167589.829800002</v>
      </c>
      <c r="T110" s="412">
        <f t="shared" si="21"/>
        <v>5.4872934416885484E-3</v>
      </c>
    </row>
    <row r="111" spans="1:21">
      <c r="A111" s="116" t="str">
        <f t="shared" si="17"/>
        <v>7118p</v>
      </c>
      <c r="B111" s="586" t="s">
        <v>721</v>
      </c>
      <c r="C111" s="587"/>
      <c r="D111" s="587"/>
      <c r="E111" s="587"/>
      <c r="F111" s="587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399">
        <f t="shared" si="20"/>
        <v>9499903.5996000003</v>
      </c>
      <c r="T111" s="412">
        <f t="shared" si="21"/>
        <v>1.918784811068471E-3</v>
      </c>
    </row>
    <row r="112" spans="1:21">
      <c r="A112" s="116" t="str">
        <f t="shared" si="17"/>
        <v>712p</v>
      </c>
      <c r="B112" s="622" t="s">
        <v>37</v>
      </c>
      <c r="C112" s="623"/>
      <c r="D112" s="623"/>
      <c r="E112" s="623"/>
      <c r="F112" s="623"/>
      <c r="G112" s="81">
        <f>+SUM(G113:G116)</f>
        <v>16498881.48</v>
      </c>
      <c r="H112" s="81">
        <f t="shared" ref="H112:R112" si="22">+SUM(H113:H116)</f>
        <v>41912269.38000001</v>
      </c>
      <c r="I112" s="81">
        <f t="shared" si="22"/>
        <v>41047599.18</v>
      </c>
      <c r="J112" s="81">
        <f t="shared" si="22"/>
        <v>50290988.940000005</v>
      </c>
      <c r="K112" s="81">
        <f t="shared" si="22"/>
        <v>37496285.130000003</v>
      </c>
      <c r="L112" s="81">
        <f t="shared" si="22"/>
        <v>45280786.510000005</v>
      </c>
      <c r="M112" s="81">
        <f t="shared" si="22"/>
        <v>46250891.035691187</v>
      </c>
      <c r="N112" s="81">
        <f t="shared" si="22"/>
        <v>44632014.674295112</v>
      </c>
      <c r="O112" s="81">
        <f t="shared" si="22"/>
        <v>41120271.333377153</v>
      </c>
      <c r="P112" s="81">
        <f t="shared" si="22"/>
        <v>46928850.635902815</v>
      </c>
      <c r="Q112" s="81">
        <f t="shared" si="22"/>
        <v>44128259.697538294</v>
      </c>
      <c r="R112" s="82">
        <f t="shared" si="22"/>
        <v>78626416.07852602</v>
      </c>
      <c r="S112" s="400">
        <f t="shared" si="20"/>
        <v>534213514.07533062</v>
      </c>
      <c r="T112" s="413">
        <f t="shared" si="21"/>
        <v>0.10790012403056566</v>
      </c>
    </row>
    <row r="113" spans="1:20">
      <c r="A113" s="116" t="str">
        <f t="shared" si="17"/>
        <v>7121p</v>
      </c>
      <c r="B113" s="586" t="s">
        <v>39</v>
      </c>
      <c r="C113" s="587"/>
      <c r="D113" s="587"/>
      <c r="E113" s="587"/>
      <c r="F113" s="587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399">
        <f t="shared" si="20"/>
        <v>327876749.17454183</v>
      </c>
      <c r="T113" s="412">
        <f t="shared" si="21"/>
        <v>6.6224348449715573E-2</v>
      </c>
    </row>
    <row r="114" spans="1:20">
      <c r="A114" s="116" t="str">
        <f t="shared" si="17"/>
        <v>7122p</v>
      </c>
      <c r="B114" s="586" t="s">
        <v>41</v>
      </c>
      <c r="C114" s="587"/>
      <c r="D114" s="587"/>
      <c r="E114" s="587"/>
      <c r="F114" s="587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399">
        <f t="shared" si="20"/>
        <v>178851341.72447601</v>
      </c>
      <c r="T114" s="412">
        <f t="shared" si="21"/>
        <v>3.6124286351136341E-2</v>
      </c>
    </row>
    <row r="115" spans="1:20">
      <c r="A115" s="116" t="str">
        <f t="shared" si="17"/>
        <v>7123p</v>
      </c>
      <c r="B115" s="586" t="s">
        <v>43</v>
      </c>
      <c r="C115" s="587"/>
      <c r="D115" s="587"/>
      <c r="E115" s="587"/>
      <c r="F115" s="587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399">
        <f t="shared" si="20"/>
        <v>14950709.439620741</v>
      </c>
      <c r="T115" s="412">
        <f t="shared" si="21"/>
        <v>3.0197352938034216E-3</v>
      </c>
    </row>
    <row r="116" spans="1:20">
      <c r="A116" s="116" t="str">
        <f t="shared" si="17"/>
        <v>7124p</v>
      </c>
      <c r="B116" s="586" t="s">
        <v>45</v>
      </c>
      <c r="C116" s="587"/>
      <c r="D116" s="587"/>
      <c r="E116" s="587"/>
      <c r="F116" s="587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399">
        <f t="shared" si="20"/>
        <v>12534713.736692008</v>
      </c>
      <c r="T116" s="412">
        <f t="shared" si="21"/>
        <v>2.5317539359103226E-3</v>
      </c>
    </row>
    <row r="117" spans="1:20">
      <c r="A117" s="116" t="str">
        <f t="shared" si="17"/>
        <v>713p</v>
      </c>
      <c r="B117" s="592" t="s">
        <v>47</v>
      </c>
      <c r="C117" s="593"/>
      <c r="D117" s="593"/>
      <c r="E117" s="593"/>
      <c r="F117" s="593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0">
        <f t="shared" si="20"/>
        <v>15318488.925500004</v>
      </c>
      <c r="T117" s="413">
        <f t="shared" si="21"/>
        <v>3.0940191729953554E-3</v>
      </c>
    </row>
    <row r="118" spans="1:20">
      <c r="A118" s="116" t="str">
        <f t="shared" si="17"/>
        <v>714p</v>
      </c>
      <c r="B118" s="592" t="s">
        <v>61</v>
      </c>
      <c r="C118" s="593"/>
      <c r="D118" s="593"/>
      <c r="E118" s="593"/>
      <c r="F118" s="593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0">
        <f t="shared" si="20"/>
        <v>31390844.861600004</v>
      </c>
      <c r="T118" s="413">
        <f t="shared" si="21"/>
        <v>6.3403039510401948E-3</v>
      </c>
    </row>
    <row r="119" spans="1:20">
      <c r="A119" s="116" t="str">
        <f t="shared" si="17"/>
        <v>715p</v>
      </c>
      <c r="B119" s="592" t="s">
        <v>81</v>
      </c>
      <c r="C119" s="593"/>
      <c r="D119" s="593"/>
      <c r="E119" s="593"/>
      <c r="F119" s="593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0">
        <f t="shared" si="20"/>
        <v>77448450.912399963</v>
      </c>
      <c r="T119" s="413">
        <f t="shared" si="21"/>
        <v>1.5642991499171876E-2</v>
      </c>
    </row>
    <row r="120" spans="1:20">
      <c r="A120" s="116" t="str">
        <f t="shared" si="17"/>
        <v>73p</v>
      </c>
      <c r="B120" s="592" t="s">
        <v>99</v>
      </c>
      <c r="C120" s="593"/>
      <c r="D120" s="593"/>
      <c r="E120" s="593"/>
      <c r="F120" s="593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0">
        <f t="shared" si="20"/>
        <v>8511664.0019999985</v>
      </c>
      <c r="T120" s="413">
        <f t="shared" si="21"/>
        <v>1.7191807719652591E-3</v>
      </c>
    </row>
    <row r="121" spans="1:20" ht="13.5" thickBot="1">
      <c r="A121" s="116" t="str">
        <f t="shared" si="17"/>
        <v>74p</v>
      </c>
      <c r="B121" s="588" t="s">
        <v>105</v>
      </c>
      <c r="C121" s="589"/>
      <c r="D121" s="589"/>
      <c r="E121" s="589"/>
      <c r="F121" s="589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1">
        <f t="shared" si="20"/>
        <v>44480000</v>
      </c>
      <c r="T121" s="414">
        <f t="shared" si="21"/>
        <v>8.98404362754999E-3</v>
      </c>
    </row>
    <row r="122" spans="1:20" ht="13.5" thickBot="1">
      <c r="A122" s="116" t="str">
        <f t="shared" si="17"/>
        <v>4p</v>
      </c>
      <c r="B122" s="570" t="s">
        <v>808</v>
      </c>
      <c r="C122" s="571"/>
      <c r="D122" s="571"/>
      <c r="E122" s="571"/>
      <c r="F122" s="571"/>
      <c r="G122" s="93">
        <f>+G124+G135+G141+SUM(G142:G146)</f>
        <v>169675887.19749999</v>
      </c>
      <c r="H122" s="93">
        <f t="shared" ref="H122:R122" si="23">+H124+H135+H141+SUM(H142:H146)</f>
        <v>163118817.50749999</v>
      </c>
      <c r="I122" s="93">
        <f t="shared" si="23"/>
        <v>195750967.64750001</v>
      </c>
      <c r="J122" s="93">
        <f t="shared" si="23"/>
        <v>172597951.91749999</v>
      </c>
      <c r="K122" s="93">
        <f t="shared" si="23"/>
        <v>167763443.14750004</v>
      </c>
      <c r="L122" s="93">
        <f t="shared" si="23"/>
        <v>158638536.14750001</v>
      </c>
      <c r="M122" s="93">
        <f t="shared" si="23"/>
        <v>173593221.77416667</v>
      </c>
      <c r="N122" s="93">
        <f t="shared" si="23"/>
        <v>157395422.72416666</v>
      </c>
      <c r="O122" s="93">
        <f t="shared" si="23"/>
        <v>161208966.37416667</v>
      </c>
      <c r="P122" s="93">
        <f t="shared" si="23"/>
        <v>158508019.66083336</v>
      </c>
      <c r="Q122" s="93">
        <f t="shared" si="23"/>
        <v>152277719.94083336</v>
      </c>
      <c r="R122" s="93">
        <f t="shared" si="23"/>
        <v>146102024.36083338</v>
      </c>
      <c r="S122" s="402">
        <f>+SUM(G122:R122)</f>
        <v>1976630978.4000001</v>
      </c>
      <c r="T122" s="415">
        <f t="shared" si="21"/>
        <v>0.39923873528580089</v>
      </c>
    </row>
    <row r="123" spans="1:20" ht="13.5" thickBot="1">
      <c r="A123" s="116" t="str">
        <f t="shared" si="17"/>
        <v>40p</v>
      </c>
      <c r="B123" s="626" t="s">
        <v>773</v>
      </c>
      <c r="C123" s="627"/>
      <c r="D123" s="627"/>
      <c r="E123" s="627"/>
      <c r="F123" s="627"/>
      <c r="G123" s="78">
        <f t="shared" ref="G123:R123" si="24">+G122-G142</f>
        <v>142932137.20749998</v>
      </c>
      <c r="H123" s="78">
        <f t="shared" si="24"/>
        <v>136375067.51749998</v>
      </c>
      <c r="I123" s="78">
        <f t="shared" si="24"/>
        <v>169007217.65750003</v>
      </c>
      <c r="J123" s="78">
        <f t="shared" si="24"/>
        <v>145854201.92750001</v>
      </c>
      <c r="K123" s="78">
        <f t="shared" si="24"/>
        <v>141019693.15750003</v>
      </c>
      <c r="L123" s="78">
        <f t="shared" si="24"/>
        <v>131894786.15750001</v>
      </c>
      <c r="M123" s="78">
        <f t="shared" si="24"/>
        <v>146849471.78416669</v>
      </c>
      <c r="N123" s="78">
        <f t="shared" si="24"/>
        <v>130651672.73416667</v>
      </c>
      <c r="O123" s="78">
        <f t="shared" si="24"/>
        <v>134465216.38416666</v>
      </c>
      <c r="P123" s="78">
        <f t="shared" si="24"/>
        <v>131764269.67083336</v>
      </c>
      <c r="Q123" s="78">
        <f t="shared" si="24"/>
        <v>138033969.95083335</v>
      </c>
      <c r="R123" s="78">
        <f t="shared" si="24"/>
        <v>131858274.25083338</v>
      </c>
      <c r="S123" s="403">
        <f t="shared" si="20"/>
        <v>1680705978.4000001</v>
      </c>
      <c r="T123" s="416">
        <f t="shared" si="21"/>
        <v>0.33946798190264593</v>
      </c>
    </row>
    <row r="124" spans="1:20">
      <c r="A124" s="116" t="e">
        <f>+CONCATENATE(#REF!,"p")</f>
        <v>#REF!</v>
      </c>
      <c r="B124" s="590" t="e">
        <v>#REF!</v>
      </c>
      <c r="C124" s="591"/>
      <c r="D124" s="591"/>
      <c r="E124" s="591"/>
      <c r="F124" s="591"/>
      <c r="G124" s="85">
        <f t="shared" ref="G124:R124" si="25">+SUM(G125:G134)</f>
        <v>71012418.442500025</v>
      </c>
      <c r="H124" s="85">
        <f t="shared" si="25"/>
        <v>64850080.682500012</v>
      </c>
      <c r="I124" s="85">
        <f t="shared" si="25"/>
        <v>94352135.732500002</v>
      </c>
      <c r="J124" s="85">
        <f t="shared" si="25"/>
        <v>80290960.742500007</v>
      </c>
      <c r="K124" s="85">
        <f t="shared" si="25"/>
        <v>75302081.212500021</v>
      </c>
      <c r="L124" s="85">
        <f t="shared" si="25"/>
        <v>66157575.742500022</v>
      </c>
      <c r="M124" s="85">
        <f t="shared" si="25"/>
        <v>71113855.702500001</v>
      </c>
      <c r="N124" s="85">
        <f t="shared" si="25"/>
        <v>62800153.3125</v>
      </c>
      <c r="O124" s="85">
        <f t="shared" si="25"/>
        <v>66815564.902500011</v>
      </c>
      <c r="P124" s="85">
        <f t="shared" si="25"/>
        <v>62629581.782500006</v>
      </c>
      <c r="Q124" s="85">
        <f t="shared" si="25"/>
        <v>68882826.062500015</v>
      </c>
      <c r="R124" s="86">
        <f t="shared" si="25"/>
        <v>62463700.292500041</v>
      </c>
      <c r="S124" s="398">
        <f t="shared" si="20"/>
        <v>846670934.61000013</v>
      </c>
      <c r="T124" s="411">
        <f t="shared" si="21"/>
        <v>0.17101008576247226</v>
      </c>
    </row>
    <row r="125" spans="1:20">
      <c r="A125" s="116" t="str">
        <f t="shared" ref="A125:A133" si="26">+CONCATENATE(A31,"p")</f>
        <v>411p</v>
      </c>
      <c r="B125" s="586" t="s">
        <v>122</v>
      </c>
      <c r="C125" s="587"/>
      <c r="D125" s="587"/>
      <c r="E125" s="587"/>
      <c r="F125" s="587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399">
        <f t="shared" si="20"/>
        <v>472054247.1500001</v>
      </c>
      <c r="T125" s="412">
        <f t="shared" si="21"/>
        <v>9.5345232710563541E-2</v>
      </c>
    </row>
    <row r="126" spans="1:20">
      <c r="A126" s="116" t="str">
        <f t="shared" si="26"/>
        <v>412p</v>
      </c>
      <c r="B126" s="586" t="s">
        <v>133</v>
      </c>
      <c r="C126" s="587"/>
      <c r="D126" s="587"/>
      <c r="E126" s="587"/>
      <c r="F126" s="587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399">
        <f t="shared" si="20"/>
        <v>15077125.449999996</v>
      </c>
      <c r="T126" s="412">
        <f t="shared" si="21"/>
        <v>3.0452687234902029E-3</v>
      </c>
    </row>
    <row r="127" spans="1:20">
      <c r="A127" s="116" t="str">
        <f t="shared" si="26"/>
        <v>413p</v>
      </c>
      <c r="B127" s="586" t="s">
        <v>148</v>
      </c>
      <c r="C127" s="587"/>
      <c r="D127" s="587"/>
      <c r="E127" s="587"/>
      <c r="F127" s="587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399">
        <f t="shared" si="20"/>
        <v>36652827.660000004</v>
      </c>
      <c r="T127" s="412">
        <f t="shared" si="21"/>
        <v>7.4031160694809136E-3</v>
      </c>
    </row>
    <row r="128" spans="1:20">
      <c r="A128" s="116" t="str">
        <f t="shared" si="26"/>
        <v>414p</v>
      </c>
      <c r="B128" s="586" t="s">
        <v>162</v>
      </c>
      <c r="C128" s="587"/>
      <c r="D128" s="587"/>
      <c r="E128" s="587"/>
      <c r="F128" s="587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399">
        <f t="shared" si="20"/>
        <v>63127045.969999991</v>
      </c>
      <c r="T128" s="412">
        <f t="shared" si="21"/>
        <v>1.2750362748939606E-2</v>
      </c>
    </row>
    <row r="129" spans="1:20">
      <c r="A129" s="116" t="str">
        <f t="shared" si="26"/>
        <v>415p</v>
      </c>
      <c r="B129" s="586" t="s">
        <v>182</v>
      </c>
      <c r="C129" s="587"/>
      <c r="D129" s="587"/>
      <c r="E129" s="587"/>
      <c r="F129" s="587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399">
        <f t="shared" si="20"/>
        <v>23117903.600000001</v>
      </c>
      <c r="T129" s="412">
        <f t="shared" si="21"/>
        <v>4.6693402544940423E-3</v>
      </c>
    </row>
    <row r="130" spans="1:20">
      <c r="A130" s="116" t="str">
        <f t="shared" si="26"/>
        <v>416p</v>
      </c>
      <c r="B130" s="586" t="s">
        <v>190</v>
      </c>
      <c r="C130" s="587"/>
      <c r="D130" s="587"/>
      <c r="E130" s="587"/>
      <c r="F130" s="587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399">
        <f t="shared" si="20"/>
        <v>95752699.999999985</v>
      </c>
      <c r="T130" s="412">
        <f t="shared" si="21"/>
        <v>1.9340072712583315E-2</v>
      </c>
    </row>
    <row r="131" spans="1:20">
      <c r="A131" s="116" t="str">
        <f t="shared" si="26"/>
        <v>417p</v>
      </c>
      <c r="B131" s="586" t="s">
        <v>196</v>
      </c>
      <c r="C131" s="587"/>
      <c r="D131" s="587"/>
      <c r="E131" s="587"/>
      <c r="F131" s="587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399">
        <f t="shared" si="20"/>
        <v>9821101.7599999998</v>
      </c>
      <c r="T131" s="412">
        <f t="shared" si="21"/>
        <v>1.9836602221773377E-3</v>
      </c>
    </row>
    <row r="132" spans="1:20">
      <c r="A132" s="116" t="str">
        <f t="shared" si="26"/>
        <v>418p</v>
      </c>
      <c r="B132" s="586" t="s">
        <v>204</v>
      </c>
      <c r="C132" s="587"/>
      <c r="D132" s="587"/>
      <c r="E132" s="587"/>
      <c r="F132" s="587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399">
        <f t="shared" si="20"/>
        <v>30814599.999999993</v>
      </c>
      <c r="T132" s="412">
        <f t="shared" si="21"/>
        <v>6.2239143607352035E-3</v>
      </c>
    </row>
    <row r="133" spans="1:20">
      <c r="A133" s="116" t="str">
        <f t="shared" si="26"/>
        <v>419p</v>
      </c>
      <c r="B133" s="586" t="s">
        <v>212</v>
      </c>
      <c r="C133" s="587"/>
      <c r="D133" s="587"/>
      <c r="E133" s="587"/>
      <c r="F133" s="587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399">
        <f t="shared" si="20"/>
        <v>41196323.400000006</v>
      </c>
      <c r="T133" s="412">
        <f t="shared" si="21"/>
        <v>8.3208086043223602E-3</v>
      </c>
    </row>
    <row r="134" spans="1:20">
      <c r="A134" s="116" t="e">
        <f>+CONCATENATE(#REF!,"p")</f>
        <v>#REF!</v>
      </c>
      <c r="B134" s="586" t="e">
        <v>#REF!</v>
      </c>
      <c r="C134" s="587"/>
      <c r="D134" s="587"/>
      <c r="E134" s="587"/>
      <c r="F134" s="587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399">
        <f t="shared" si="20"/>
        <v>59057059.620000012</v>
      </c>
      <c r="T134" s="412">
        <f t="shared" si="21"/>
        <v>1.1928309355685722E-2</v>
      </c>
    </row>
    <row r="135" spans="1:20">
      <c r="A135" s="116" t="str">
        <f t="shared" ref="A135:A142" si="27">+CONCATENATE(A40,"p")</f>
        <v>42p</v>
      </c>
      <c r="B135" s="582" t="s">
        <v>230</v>
      </c>
      <c r="C135" s="583"/>
      <c r="D135" s="583"/>
      <c r="E135" s="583"/>
      <c r="F135" s="583"/>
      <c r="G135" s="84">
        <f t="shared" ref="G135:R135" si="28">+SUM(G136:G140)</f>
        <v>46204849.909999982</v>
      </c>
      <c r="H135" s="84">
        <f t="shared" si="28"/>
        <v>46206149.810000002</v>
      </c>
      <c r="I135" s="84">
        <f t="shared" si="28"/>
        <v>46206149.810000002</v>
      </c>
      <c r="J135" s="84">
        <f t="shared" si="28"/>
        <v>46206149.810000002</v>
      </c>
      <c r="K135" s="84">
        <f t="shared" si="28"/>
        <v>46206149.810000002</v>
      </c>
      <c r="L135" s="84">
        <f t="shared" si="28"/>
        <v>46206149.810000002</v>
      </c>
      <c r="M135" s="84">
        <f t="shared" si="28"/>
        <v>46206149.810000002</v>
      </c>
      <c r="N135" s="84">
        <f t="shared" si="28"/>
        <v>46206149.810000002</v>
      </c>
      <c r="O135" s="84">
        <f t="shared" si="28"/>
        <v>46206149.810000002</v>
      </c>
      <c r="P135" s="84">
        <f t="shared" si="28"/>
        <v>47329512.010000005</v>
      </c>
      <c r="Q135" s="84">
        <f t="shared" si="28"/>
        <v>47329512.010000005</v>
      </c>
      <c r="R135" s="84">
        <f t="shared" si="28"/>
        <v>47329512.010000005</v>
      </c>
      <c r="S135" s="400">
        <f t="shared" si="20"/>
        <v>557842584.41999996</v>
      </c>
      <c r="T135" s="413">
        <f t="shared" si="21"/>
        <v>0.11267270943647748</v>
      </c>
    </row>
    <row r="136" spans="1:20">
      <c r="A136" s="116" t="str">
        <f t="shared" si="27"/>
        <v>421p</v>
      </c>
      <c r="B136" s="586" t="s">
        <v>232</v>
      </c>
      <c r="C136" s="587"/>
      <c r="D136" s="587"/>
      <c r="E136" s="587"/>
      <c r="F136" s="587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399">
        <f t="shared" si="20"/>
        <v>80990000.000000015</v>
      </c>
      <c r="T136" s="412">
        <f t="shared" si="21"/>
        <v>1.6358311452231874E-2</v>
      </c>
    </row>
    <row r="137" spans="1:20">
      <c r="A137" s="116" t="str">
        <f t="shared" si="27"/>
        <v>422p</v>
      </c>
      <c r="B137" s="586" t="s">
        <v>248</v>
      </c>
      <c r="C137" s="587"/>
      <c r="D137" s="587"/>
      <c r="E137" s="587"/>
      <c r="F137" s="587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399">
        <f t="shared" si="20"/>
        <v>18202468.969999999</v>
      </c>
      <c r="T137" s="412">
        <f t="shared" si="21"/>
        <v>3.6765237265198947E-3</v>
      </c>
    </row>
    <row r="138" spans="1:20">
      <c r="A138" s="116" t="str">
        <f t="shared" si="27"/>
        <v>423p</v>
      </c>
      <c r="B138" s="586" t="s">
        <v>259</v>
      </c>
      <c r="C138" s="587"/>
      <c r="D138" s="587"/>
      <c r="E138" s="587"/>
      <c r="F138" s="587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399">
        <f t="shared" si="20"/>
        <v>429025014.44999993</v>
      </c>
      <c r="T138" s="412">
        <f t="shared" si="21"/>
        <v>8.6654214189052697E-2</v>
      </c>
    </row>
    <row r="139" spans="1:20">
      <c r="A139" s="116" t="str">
        <f t="shared" si="27"/>
        <v>424p</v>
      </c>
      <c r="B139" s="586" t="s">
        <v>274</v>
      </c>
      <c r="C139" s="587"/>
      <c r="D139" s="587"/>
      <c r="E139" s="587"/>
      <c r="F139" s="587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399">
        <f t="shared" si="20"/>
        <v>19000100</v>
      </c>
      <c r="T139" s="412">
        <f t="shared" si="21"/>
        <v>3.8376287618662897E-3</v>
      </c>
    </row>
    <row r="140" spans="1:20">
      <c r="A140" s="116" t="str">
        <f t="shared" si="27"/>
        <v>425p</v>
      </c>
      <c r="B140" s="586" t="s">
        <v>278</v>
      </c>
      <c r="C140" s="587"/>
      <c r="D140" s="587"/>
      <c r="E140" s="587"/>
      <c r="F140" s="587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399">
        <f t="shared" si="20"/>
        <v>10625001</v>
      </c>
      <c r="T140" s="412">
        <f t="shared" si="21"/>
        <v>2.1460313068067055E-3</v>
      </c>
    </row>
    <row r="141" spans="1:20">
      <c r="A141" s="116" t="str">
        <f t="shared" si="27"/>
        <v>43p</v>
      </c>
      <c r="B141" s="584" t="s">
        <v>286</v>
      </c>
      <c r="C141" s="585"/>
      <c r="D141" s="585"/>
      <c r="E141" s="585"/>
      <c r="F141" s="585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0">
        <f>+SUM(G141:R141)</f>
        <v>220947786.96000001</v>
      </c>
      <c r="T141" s="413">
        <f t="shared" si="21"/>
        <v>4.4626901022015754E-2</v>
      </c>
    </row>
    <row r="142" spans="1:20">
      <c r="A142" s="116" t="str">
        <f t="shared" si="27"/>
        <v>44p</v>
      </c>
      <c r="B142" s="584" t="s">
        <v>809</v>
      </c>
      <c r="C142" s="585"/>
      <c r="D142" s="585"/>
      <c r="E142" s="585"/>
      <c r="F142" s="585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0">
        <f t="shared" si="20"/>
        <v>295925000</v>
      </c>
      <c r="T142" s="413">
        <f t="shared" si="21"/>
        <v>5.977075338315492E-2</v>
      </c>
    </row>
    <row r="143" spans="1:20">
      <c r="A143" s="116" t="str">
        <f t="shared" ref="A143:A145" si="29">+CONCATENATE(A48,"p")</f>
        <v>451p</v>
      </c>
      <c r="B143" s="576" t="s">
        <v>113</v>
      </c>
      <c r="C143" s="577"/>
      <c r="D143" s="577"/>
      <c r="E143" s="577"/>
      <c r="F143" s="577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399">
        <f t="shared" si="20"/>
        <v>2280000.9999999995</v>
      </c>
      <c r="T143" s="412">
        <f t="shared" si="21"/>
        <v>4.6051322965057553E-4</v>
      </c>
    </row>
    <row r="144" spans="1:20">
      <c r="A144" s="116" t="str">
        <f t="shared" si="29"/>
        <v>47p</v>
      </c>
      <c r="B144" s="576" t="s">
        <v>366</v>
      </c>
      <c r="C144" s="577"/>
      <c r="D144" s="577"/>
      <c r="E144" s="577"/>
      <c r="F144" s="577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399">
        <f t="shared" si="20"/>
        <v>24999999.999999996</v>
      </c>
      <c r="T144" s="412">
        <f t="shared" si="21"/>
        <v>5.0494849525348409E-3</v>
      </c>
    </row>
    <row r="145" spans="1:20">
      <c r="A145" s="116" t="str">
        <f t="shared" si="29"/>
        <v>462p</v>
      </c>
      <c r="B145" s="576" t="s">
        <v>359</v>
      </c>
      <c r="C145" s="577"/>
      <c r="D145" s="577"/>
      <c r="E145" s="577"/>
      <c r="F145" s="577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399">
        <f t="shared" si="20"/>
        <v>9434672.4100000001</v>
      </c>
      <c r="T145" s="412">
        <f t="shared" si="21"/>
        <v>1.9056094546556252E-3</v>
      </c>
    </row>
    <row r="146" spans="1:20">
      <c r="A146" s="117" t="str">
        <f>+CONCATENATE(A51,"p")</f>
        <v>4630p</v>
      </c>
      <c r="B146" s="576" t="s">
        <v>365</v>
      </c>
      <c r="C146" s="577"/>
      <c r="D146" s="577"/>
      <c r="E146" s="577"/>
      <c r="F146" s="577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4">
        <f>+SUM(G146:R146)</f>
        <v>18529999</v>
      </c>
      <c r="T146" s="417">
        <f>+S146/$T$7</f>
        <v>3.7426780448394266E-3</v>
      </c>
    </row>
    <row r="147" spans="1:20" ht="13.5" thickBot="1">
      <c r="A147" s="116"/>
      <c r="B147" s="628" t="s">
        <v>685</v>
      </c>
      <c r="C147" s="629"/>
      <c r="D147" s="629"/>
      <c r="E147" s="629"/>
      <c r="F147" s="629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0">
        <f>SUM(G147:R147)</f>
        <v>0</v>
      </c>
      <c r="T147" s="375">
        <f t="shared" si="21"/>
        <v>0</v>
      </c>
    </row>
    <row r="148" spans="1:20" ht="13.5" thickBot="1">
      <c r="A148" s="117" t="str">
        <f>+CONCATENATE(A53,"p")</f>
        <v>1000p</v>
      </c>
      <c r="B148" s="578" t="s">
        <v>545</v>
      </c>
      <c r="C148" s="579"/>
      <c r="D148" s="579"/>
      <c r="E148" s="579"/>
      <c r="F148" s="579"/>
      <c r="G148" s="93">
        <f t="shared" ref="G148:R148" si="30">+G103-G122</f>
        <v>-62417951.607499987</v>
      </c>
      <c r="H148" s="93">
        <f t="shared" si="30"/>
        <v>-46574191.55749999</v>
      </c>
      <c r="I148" s="93">
        <f t="shared" si="30"/>
        <v>-48206287.017500013</v>
      </c>
      <c r="J148" s="93">
        <f t="shared" si="30"/>
        <v>-7552535.5874999762</v>
      </c>
      <c r="K148" s="93">
        <f t="shared" si="30"/>
        <v>-23536603.497500032</v>
      </c>
      <c r="L148" s="93">
        <f t="shared" si="30"/>
        <v>-15244934.667500019</v>
      </c>
      <c r="M148" s="93">
        <f t="shared" si="30"/>
        <v>-9956542.8029392064</v>
      </c>
      <c r="N148" s="93">
        <f t="shared" si="30"/>
        <v>7106786.3305667937</v>
      </c>
      <c r="O148" s="93">
        <f t="shared" si="30"/>
        <v>-9808009.6425497532</v>
      </c>
      <c r="P148" s="93">
        <f t="shared" si="30"/>
        <v>29894513.576703846</v>
      </c>
      <c r="Q148" s="93">
        <f t="shared" si="30"/>
        <v>-3563061.4788611233</v>
      </c>
      <c r="R148" s="93">
        <f t="shared" si="30"/>
        <v>47260753.315640002</v>
      </c>
      <c r="S148" s="405">
        <f t="shared" si="20"/>
        <v>-142598064.63643947</v>
      </c>
      <c r="T148" s="418">
        <f t="shared" si="21"/>
        <v>-2.8801871265691673E-2</v>
      </c>
    </row>
    <row r="149" spans="1:20" ht="13.5" thickBot="1">
      <c r="A149" s="117" t="str">
        <f>+CONCATENATE(A54,"p")</f>
        <v>1001p</v>
      </c>
      <c r="B149" s="580" t="s">
        <v>810</v>
      </c>
      <c r="C149" s="581"/>
      <c r="D149" s="581"/>
      <c r="E149" s="581"/>
      <c r="F149" s="581"/>
      <c r="G149" s="94">
        <f t="shared" ref="G149:R149" si="31">+G148+G130</f>
        <v>-54437226.607499987</v>
      </c>
      <c r="H149" s="94">
        <f t="shared" si="31"/>
        <v>-45587471.597499989</v>
      </c>
      <c r="I149" s="94">
        <f t="shared" si="31"/>
        <v>-20104787.917500012</v>
      </c>
      <c r="J149" s="94">
        <f t="shared" si="31"/>
        <v>10947196.512500025</v>
      </c>
      <c r="K149" s="94">
        <f t="shared" si="31"/>
        <v>-9490767.2275000308</v>
      </c>
      <c r="L149" s="94">
        <f t="shared" si="31"/>
        <v>-13271132.007500019</v>
      </c>
      <c r="M149" s="94">
        <f t="shared" si="31"/>
        <v>-1192067.0129392073</v>
      </c>
      <c r="N149" s="94">
        <f t="shared" si="31"/>
        <v>8403992.4705667943</v>
      </c>
      <c r="O149" s="94">
        <f t="shared" si="31"/>
        <v>-6667683.8425497524</v>
      </c>
      <c r="P149" s="94">
        <f t="shared" si="31"/>
        <v>31215805.656703848</v>
      </c>
      <c r="Q149" s="94">
        <f t="shared" si="31"/>
        <v>4240675.8511388777</v>
      </c>
      <c r="R149" s="94">
        <f t="shared" si="31"/>
        <v>49098101.085640006</v>
      </c>
      <c r="S149" s="405">
        <f t="shared" si="20"/>
        <v>-46845364.63643948</v>
      </c>
      <c r="T149" s="418">
        <f t="shared" si="21"/>
        <v>-9.4617985531083582E-3</v>
      </c>
    </row>
    <row r="150" spans="1:20">
      <c r="A150" s="117" t="str">
        <f>+CONCATENATE(A55,"p")</f>
        <v>46p</v>
      </c>
      <c r="B150" s="582" t="s">
        <v>352</v>
      </c>
      <c r="C150" s="583"/>
      <c r="D150" s="583"/>
      <c r="E150" s="583"/>
      <c r="F150" s="583"/>
      <c r="G150" s="84">
        <f t="shared" ref="G150:R150" si="32">+SUM(G151:G152)</f>
        <v>1718363.6600000001</v>
      </c>
      <c r="H150" s="84">
        <f t="shared" si="32"/>
        <v>3362692.9499999997</v>
      </c>
      <c r="I150" s="84">
        <f t="shared" si="32"/>
        <v>17620925.690000001</v>
      </c>
      <c r="J150" s="84">
        <f t="shared" si="32"/>
        <v>21217195.289999999</v>
      </c>
      <c r="K150" s="84">
        <f t="shared" si="32"/>
        <v>181489557.88</v>
      </c>
      <c r="L150" s="84">
        <f t="shared" si="32"/>
        <v>16844785.800000001</v>
      </c>
      <c r="M150" s="84">
        <f t="shared" si="32"/>
        <v>61721044.270000003</v>
      </c>
      <c r="N150" s="84">
        <f t="shared" si="32"/>
        <v>13754741.09</v>
      </c>
      <c r="O150" s="84">
        <f t="shared" si="32"/>
        <v>17831317.309999999</v>
      </c>
      <c r="P150" s="84">
        <f t="shared" si="32"/>
        <v>6151156.2299999995</v>
      </c>
      <c r="Q150" s="84">
        <f t="shared" si="32"/>
        <v>10176505.869999999</v>
      </c>
      <c r="R150" s="84">
        <f t="shared" si="32"/>
        <v>21711713.960000001</v>
      </c>
      <c r="S150" s="406">
        <f t="shared" si="20"/>
        <v>373600000</v>
      </c>
      <c r="T150" s="419">
        <f t="shared" si="21"/>
        <v>7.5459503130680672E-2</v>
      </c>
    </row>
    <row r="151" spans="1:20">
      <c r="A151" s="117" t="str">
        <f>+CONCATENATE(A56,"p")</f>
        <v>4611p</v>
      </c>
      <c r="B151" s="574" t="s">
        <v>355</v>
      </c>
      <c r="C151" s="575"/>
      <c r="D151" s="575"/>
      <c r="E151" s="575"/>
      <c r="F151" s="575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4">
        <f t="shared" si="20"/>
        <v>44100000.039999999</v>
      </c>
      <c r="T151" s="417">
        <f t="shared" si="21"/>
        <v>8.9072914643506355E-3</v>
      </c>
    </row>
    <row r="152" spans="1:20">
      <c r="A152" s="117" t="str">
        <f>+CONCATENATE(A57,"p")</f>
        <v>4612p</v>
      </c>
      <c r="B152" s="576" t="s">
        <v>357</v>
      </c>
      <c r="C152" s="577"/>
      <c r="D152" s="577"/>
      <c r="E152" s="577"/>
      <c r="F152" s="577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4">
        <f t="shared" si="20"/>
        <v>329499999.95999998</v>
      </c>
      <c r="T152" s="417">
        <f t="shared" si="21"/>
        <v>6.6552211666330033E-2</v>
      </c>
    </row>
    <row r="153" spans="1:20" ht="13.5" thickBot="1">
      <c r="A153" s="117"/>
      <c r="B153" s="624" t="s">
        <v>336</v>
      </c>
      <c r="C153" s="625"/>
      <c r="D153" s="625"/>
      <c r="E153" s="625"/>
      <c r="F153" s="625"/>
      <c r="G153" s="491">
        <v>26666.67</v>
      </c>
      <c r="H153" s="491">
        <v>26666.67</v>
      </c>
      <c r="I153" s="491">
        <v>26666.67</v>
      </c>
      <c r="J153" s="491">
        <v>39926666.670000002</v>
      </c>
      <c r="K153" s="491">
        <v>26666.67</v>
      </c>
      <c r="L153" s="491">
        <v>26666.67</v>
      </c>
      <c r="M153" s="491">
        <v>26666.67</v>
      </c>
      <c r="N153" s="491">
        <v>26666.67</v>
      </c>
      <c r="O153" s="491">
        <v>26666.67</v>
      </c>
      <c r="P153" s="491">
        <v>26666.67</v>
      </c>
      <c r="Q153" s="491">
        <v>26666.67</v>
      </c>
      <c r="R153" s="491">
        <v>26666.63</v>
      </c>
      <c r="S153" s="492">
        <f t="shared" si="20"/>
        <v>40220000.000000015</v>
      </c>
      <c r="T153" s="493">
        <f t="shared" si="21"/>
        <v>8.1236113916380564E-3</v>
      </c>
    </row>
    <row r="154" spans="1:20" ht="13.5" thickBot="1">
      <c r="A154" s="117" t="str">
        <f t="shared" ref="A154:A159" si="33">+CONCATENATE(A59,"p")</f>
        <v>1002p</v>
      </c>
      <c r="B154" s="572" t="s">
        <v>543</v>
      </c>
      <c r="C154" s="573"/>
      <c r="D154" s="573"/>
      <c r="E154" s="573"/>
      <c r="F154" s="573"/>
      <c r="G154" s="77">
        <f t="shared" ref="G154:R154" si="34">+G148-G150-G153</f>
        <v>-64162981.937499985</v>
      </c>
      <c r="H154" s="77">
        <f t="shared" si="34"/>
        <v>-49963551.177499995</v>
      </c>
      <c r="I154" s="77">
        <f t="shared" si="34"/>
        <v>-65853879.377500013</v>
      </c>
      <c r="J154" s="77">
        <f t="shared" si="34"/>
        <v>-68696397.547499985</v>
      </c>
      <c r="K154" s="77">
        <f t="shared" si="34"/>
        <v>-205052828.04750001</v>
      </c>
      <c r="L154" s="77">
        <f t="shared" si="34"/>
        <v>-32116387.137500022</v>
      </c>
      <c r="M154" s="77">
        <f t="shared" si="34"/>
        <v>-71704253.742939219</v>
      </c>
      <c r="N154" s="77">
        <f t="shared" si="34"/>
        <v>-6674621.4294332061</v>
      </c>
      <c r="O154" s="77">
        <f t="shared" si="34"/>
        <v>-27665993.622549754</v>
      </c>
      <c r="P154" s="77">
        <f t="shared" si="34"/>
        <v>23716690.676703844</v>
      </c>
      <c r="Q154" s="77">
        <f t="shared" si="34"/>
        <v>-13766234.018861122</v>
      </c>
      <c r="R154" s="77">
        <f t="shared" si="34"/>
        <v>25522372.725640003</v>
      </c>
      <c r="S154" s="407">
        <f t="shared" si="20"/>
        <v>-556418064.63643956</v>
      </c>
      <c r="T154" s="420">
        <f t="shared" si="21"/>
        <v>-0.11238498578801041</v>
      </c>
    </row>
    <row r="155" spans="1:20" ht="13.5" thickBot="1">
      <c r="A155" s="117" t="str">
        <f t="shared" si="33"/>
        <v>1003p</v>
      </c>
      <c r="B155" s="570" t="s">
        <v>544</v>
      </c>
      <c r="C155" s="571"/>
      <c r="D155" s="571"/>
      <c r="E155" s="571"/>
      <c r="F155" s="571"/>
      <c r="G155" s="93">
        <f t="shared" ref="G155:R155" si="35">+SUM(G156:G159)</f>
        <v>64162981.937499985</v>
      </c>
      <c r="H155" s="93">
        <f t="shared" si="35"/>
        <v>49963551.177499995</v>
      </c>
      <c r="I155" s="93">
        <f t="shared" si="35"/>
        <v>65853879.377500013</v>
      </c>
      <c r="J155" s="93">
        <f t="shared" si="35"/>
        <v>68696397.547499985</v>
      </c>
      <c r="K155" s="93">
        <f t="shared" si="35"/>
        <v>205052828.04750001</v>
      </c>
      <c r="L155" s="93">
        <f t="shared" si="35"/>
        <v>32116387.137500022</v>
      </c>
      <c r="M155" s="93">
        <f t="shared" si="35"/>
        <v>71704253.742939219</v>
      </c>
      <c r="N155" s="93">
        <f t="shared" si="35"/>
        <v>6674621.4294332061</v>
      </c>
      <c r="O155" s="93">
        <f t="shared" si="35"/>
        <v>27665993.622549754</v>
      </c>
      <c r="P155" s="93">
        <f t="shared" si="35"/>
        <v>-23716690.67670384</v>
      </c>
      <c r="Q155" s="93">
        <f t="shared" si="35"/>
        <v>13766234.018861122</v>
      </c>
      <c r="R155" s="93">
        <f t="shared" si="35"/>
        <v>-25522372.725640006</v>
      </c>
      <c r="S155" s="408">
        <f t="shared" si="20"/>
        <v>556418064.63643956</v>
      </c>
      <c r="T155" s="421">
        <f t="shared" si="21"/>
        <v>0.11238498578801041</v>
      </c>
    </row>
    <row r="156" spans="1:20">
      <c r="A156" s="117" t="str">
        <f t="shared" si="33"/>
        <v>7511p</v>
      </c>
      <c r="B156" s="574" t="s">
        <v>114</v>
      </c>
      <c r="C156" s="575"/>
      <c r="D156" s="575"/>
      <c r="E156" s="575"/>
      <c r="F156" s="575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4">
        <f t="shared" si="20"/>
        <v>190000000</v>
      </c>
      <c r="T156" s="417">
        <f t="shared" si="21"/>
        <v>3.8376085639264798E-2</v>
      </c>
    </row>
    <row r="157" spans="1:20">
      <c r="A157" s="117" t="str">
        <f t="shared" si="33"/>
        <v>7512p</v>
      </c>
      <c r="B157" s="576" t="s">
        <v>116</v>
      </c>
      <c r="C157" s="577"/>
      <c r="D157" s="577"/>
      <c r="E157" s="577"/>
      <c r="F157" s="577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4">
        <f t="shared" si="20"/>
        <v>180405268.74155378</v>
      </c>
      <c r="T157" s="417">
        <f t="shared" si="21"/>
        <v>3.6438147594739199E-2</v>
      </c>
    </row>
    <row r="158" spans="1:20">
      <c r="A158" s="117" t="str">
        <f t="shared" si="33"/>
        <v>72p</v>
      </c>
      <c r="B158" s="576" t="s">
        <v>93</v>
      </c>
      <c r="C158" s="577"/>
      <c r="D158" s="577"/>
      <c r="E158" s="577"/>
      <c r="F158" s="577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4">
        <f t="shared" si="20"/>
        <v>6000000</v>
      </c>
      <c r="T158" s="417">
        <f t="shared" si="21"/>
        <v>1.211876388608362E-3</v>
      </c>
    </row>
    <row r="159" spans="1:20" ht="13.5" thickBot="1">
      <c r="A159" s="117" t="str">
        <f t="shared" si="33"/>
        <v>1004p</v>
      </c>
      <c r="B159" s="98" t="s">
        <v>549</v>
      </c>
      <c r="C159" s="99"/>
      <c r="D159" s="99"/>
      <c r="E159" s="99"/>
      <c r="F159" s="99"/>
      <c r="G159" s="97">
        <f t="shared" ref="G159:R159" si="36">-G154-SUM(G156:G158)</f>
        <v>39640138.087499984</v>
      </c>
      <c r="H159" s="97">
        <f t="shared" si="36"/>
        <v>49463551.177499995</v>
      </c>
      <c r="I159" s="97">
        <f t="shared" si="36"/>
        <v>-42045458.012499988</v>
      </c>
      <c r="J159" s="97">
        <f t="shared" si="36"/>
        <v>53196397.547499985</v>
      </c>
      <c r="K159" s="97">
        <f t="shared" si="36"/>
        <v>92552828.047500014</v>
      </c>
      <c r="L159" s="97">
        <f t="shared" si="36"/>
        <v>14616387.137500022</v>
      </c>
      <c r="M159" s="97">
        <f t="shared" si="36"/>
        <v>54204253.742939219</v>
      </c>
      <c r="N159" s="97">
        <f t="shared" si="36"/>
        <v>-8825378.5705667939</v>
      </c>
      <c r="O159" s="97">
        <f t="shared" si="36"/>
        <v>10165993.622549754</v>
      </c>
      <c r="P159" s="97">
        <f t="shared" si="36"/>
        <v>-41216690.67670384</v>
      </c>
      <c r="Q159" s="97">
        <f t="shared" si="36"/>
        <v>-1733765.9811388776</v>
      </c>
      <c r="R159" s="97">
        <f t="shared" si="36"/>
        <v>-40005460.227193788</v>
      </c>
      <c r="S159" s="409">
        <f t="shared" si="20"/>
        <v>180012795.89488566</v>
      </c>
      <c r="T159" s="422">
        <f t="shared" si="21"/>
        <v>3.6358876165398034E-2</v>
      </c>
    </row>
  </sheetData>
  <mergeCells count="116"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Y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805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741</v>
      </c>
      <c r="H6" s="234" t="s">
        <v>742</v>
      </c>
      <c r="I6" s="234" t="s">
        <v>743</v>
      </c>
      <c r="J6" s="234" t="s">
        <v>744</v>
      </c>
      <c r="K6" s="234" t="s">
        <v>745</v>
      </c>
      <c r="L6" s="234" t="s">
        <v>746</v>
      </c>
      <c r="M6" s="234" t="s">
        <v>747</v>
      </c>
      <c r="N6" s="234" t="s">
        <v>748</v>
      </c>
      <c r="O6" s="234" t="s">
        <v>749</v>
      </c>
      <c r="P6" s="234" t="s">
        <v>750</v>
      </c>
      <c r="Q6" s="234" t="s">
        <v>751</v>
      </c>
      <c r="R6" s="234" t="s">
        <v>752</v>
      </c>
      <c r="S6" s="233"/>
      <c r="T6" s="233"/>
    </row>
    <row r="7" spans="1:20" ht="15" customHeight="1" thickBot="1">
      <c r="A7" s="144"/>
      <c r="B7" s="619" t="s">
        <v>553</v>
      </c>
      <c r="C7" s="551"/>
      <c r="D7" s="551"/>
      <c r="E7" s="551"/>
      <c r="F7" s="551"/>
      <c r="G7" s="559">
        <v>2018</v>
      </c>
      <c r="H7" s="560"/>
      <c r="I7" s="560"/>
      <c r="J7" s="560"/>
      <c r="K7" s="560"/>
      <c r="L7" s="560"/>
      <c r="M7" s="560"/>
      <c r="N7" s="560"/>
      <c r="O7" s="560"/>
      <c r="P7" s="560"/>
      <c r="Q7" s="560"/>
      <c r="R7" s="563"/>
      <c r="S7" s="235" t="s">
        <v>419</v>
      </c>
      <c r="T7" s="236">
        <v>4663130000</v>
      </c>
    </row>
    <row r="8" spans="1:20" ht="16.5" customHeight="1">
      <c r="A8" s="144"/>
      <c r="B8" s="552"/>
      <c r="C8" s="553"/>
      <c r="D8" s="553"/>
      <c r="E8" s="553"/>
      <c r="F8" s="554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59" t="s">
        <v>806</v>
      </c>
      <c r="T8" s="563"/>
    </row>
    <row r="9" spans="1:20" ht="13.5" thickBot="1">
      <c r="A9" s="144"/>
      <c r="B9" s="555"/>
      <c r="C9" s="556"/>
      <c r="D9" s="556"/>
      <c r="E9" s="556"/>
      <c r="F9" s="557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807</v>
      </c>
    </row>
    <row r="10" spans="1:20" ht="13.5" thickBot="1">
      <c r="A10" s="150">
        <v>7</v>
      </c>
      <c r="B10" s="518" t="s">
        <v>680</v>
      </c>
      <c r="C10" s="519"/>
      <c r="D10" s="519"/>
      <c r="E10" s="519"/>
      <c r="F10" s="519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2">
        <f>+SUM(G10:R10)</f>
        <v>1746018287.1400003</v>
      </c>
      <c r="T10" s="367">
        <f>+S10/$T$7</f>
        <v>0.3744305406754691</v>
      </c>
    </row>
    <row r="11" spans="1:20">
      <c r="A11" s="150">
        <v>711</v>
      </c>
      <c r="B11" s="520" t="s">
        <v>21</v>
      </c>
      <c r="C11" s="521"/>
      <c r="D11" s="521"/>
      <c r="E11" s="521"/>
      <c r="F11" s="521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3">
        <f t="shared" ref="S11:S66" si="3">+SUM(G11:R11)</f>
        <v>1068947201.3</v>
      </c>
      <c r="T11" s="368">
        <f t="shared" ref="T11:T67" si="4">+S11/$T$7</f>
        <v>0.22923384106812375</v>
      </c>
    </row>
    <row r="12" spans="1:20">
      <c r="A12" s="150">
        <v>7111</v>
      </c>
      <c r="B12" s="522" t="s">
        <v>23</v>
      </c>
      <c r="C12" s="523"/>
      <c r="D12" s="523"/>
      <c r="E12" s="523"/>
      <c r="F12" s="523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4">
        <f t="shared" si="3"/>
        <v>124898382.06000002</v>
      </c>
      <c r="T12" s="369">
        <f t="shared" si="4"/>
        <v>2.6784237638667593E-2</v>
      </c>
    </row>
    <row r="13" spans="1:20">
      <c r="A13" s="150">
        <v>7112</v>
      </c>
      <c r="B13" s="522" t="s">
        <v>25</v>
      </c>
      <c r="C13" s="523"/>
      <c r="D13" s="523"/>
      <c r="E13" s="523"/>
      <c r="F13" s="523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4">
        <f t="shared" si="3"/>
        <v>68172478.429999992</v>
      </c>
      <c r="T13" s="369">
        <f t="shared" si="4"/>
        <v>1.4619467703023505E-2</v>
      </c>
    </row>
    <row r="14" spans="1:20">
      <c r="A14" s="150">
        <v>7113</v>
      </c>
      <c r="B14" s="522" t="s">
        <v>27</v>
      </c>
      <c r="C14" s="523"/>
      <c r="D14" s="523"/>
      <c r="E14" s="523"/>
      <c r="F14" s="523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4">
        <f t="shared" si="3"/>
        <v>1836094.52</v>
      </c>
      <c r="T14" s="369">
        <f t="shared" si="4"/>
        <v>3.9374722986491905E-4</v>
      </c>
    </row>
    <row r="15" spans="1:20">
      <c r="A15" s="150">
        <v>7114</v>
      </c>
      <c r="B15" s="522" t="s">
        <v>29</v>
      </c>
      <c r="C15" s="523"/>
      <c r="D15" s="523"/>
      <c r="E15" s="523"/>
      <c r="F15" s="523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4">
        <f t="shared" si="3"/>
        <v>616913678.91000009</v>
      </c>
      <c r="T15" s="369">
        <f t="shared" si="4"/>
        <v>0.13229604984420337</v>
      </c>
    </row>
    <row r="16" spans="1:20">
      <c r="A16" s="150">
        <v>7115</v>
      </c>
      <c r="B16" s="522" t="s">
        <v>31</v>
      </c>
      <c r="C16" s="523"/>
      <c r="D16" s="523"/>
      <c r="E16" s="523"/>
      <c r="F16" s="523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4">
        <f t="shared" si="3"/>
        <v>221178044.41</v>
      </c>
      <c r="T16" s="369">
        <f t="shared" si="4"/>
        <v>4.7431241335755166E-2</v>
      </c>
    </row>
    <row r="17" spans="1:25">
      <c r="A17" s="150">
        <v>7116</v>
      </c>
      <c r="B17" s="522" t="s">
        <v>33</v>
      </c>
      <c r="C17" s="523"/>
      <c r="D17" s="523"/>
      <c r="E17" s="523"/>
      <c r="F17" s="523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4">
        <f t="shared" si="3"/>
        <v>26634891.989999998</v>
      </c>
      <c r="T17" s="369">
        <f t="shared" si="4"/>
        <v>5.7118055876632214E-3</v>
      </c>
    </row>
    <row r="18" spans="1:25">
      <c r="A18" s="150">
        <v>7118</v>
      </c>
      <c r="B18" s="522" t="s">
        <v>721</v>
      </c>
      <c r="C18" s="523"/>
      <c r="D18" s="523"/>
      <c r="E18" s="523"/>
      <c r="F18" s="523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4">
        <f t="shared" si="3"/>
        <v>9313630.9799999986</v>
      </c>
      <c r="T18" s="369">
        <f t="shared" si="4"/>
        <v>1.9972917289460082E-3</v>
      </c>
    </row>
    <row r="19" spans="1:25">
      <c r="A19" s="150">
        <v>712</v>
      </c>
      <c r="B19" s="526" t="s">
        <v>37</v>
      </c>
      <c r="C19" s="527"/>
      <c r="D19" s="527"/>
      <c r="E19" s="527"/>
      <c r="F19" s="527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5">
        <f t="shared" si="3"/>
        <v>524440114.39999998</v>
      </c>
      <c r="T19" s="370">
        <f t="shared" si="4"/>
        <v>0.11246525711271184</v>
      </c>
    </row>
    <row r="20" spans="1:25">
      <c r="A20" s="150">
        <v>7121</v>
      </c>
      <c r="B20" s="522" t="s">
        <v>39</v>
      </c>
      <c r="C20" s="523"/>
      <c r="D20" s="523"/>
      <c r="E20" s="523"/>
      <c r="F20" s="523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4">
        <f t="shared" si="3"/>
        <v>316982958.28000003</v>
      </c>
      <c r="T20" s="369">
        <f t="shared" si="4"/>
        <v>6.7976436059041898E-2</v>
      </c>
    </row>
    <row r="21" spans="1:25">
      <c r="A21" s="150">
        <v>7122</v>
      </c>
      <c r="B21" s="522" t="s">
        <v>41</v>
      </c>
      <c r="C21" s="523"/>
      <c r="D21" s="523"/>
      <c r="E21" s="523"/>
      <c r="F21" s="523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4">
        <f t="shared" si="3"/>
        <v>182045765.34999999</v>
      </c>
      <c r="T21" s="369">
        <f t="shared" si="4"/>
        <v>3.9039393143661019E-2</v>
      </c>
    </row>
    <row r="22" spans="1:25">
      <c r="A22" s="150">
        <v>7123</v>
      </c>
      <c r="B22" s="522" t="s">
        <v>43</v>
      </c>
      <c r="C22" s="523"/>
      <c r="D22" s="523"/>
      <c r="E22" s="523"/>
      <c r="F22" s="523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4">
        <f t="shared" si="3"/>
        <v>13590597.370000001</v>
      </c>
      <c r="T22" s="369">
        <f t="shared" si="4"/>
        <v>2.9144796242009125E-3</v>
      </c>
    </row>
    <row r="23" spans="1:25">
      <c r="A23" s="150">
        <v>7124</v>
      </c>
      <c r="B23" s="522" t="s">
        <v>45</v>
      </c>
      <c r="C23" s="523"/>
      <c r="D23" s="523"/>
      <c r="E23" s="523"/>
      <c r="F23" s="523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4">
        <f t="shared" si="3"/>
        <v>11820793.4</v>
      </c>
      <c r="T23" s="369">
        <f t="shared" si="4"/>
        <v>2.5349482858080304E-3</v>
      </c>
      <c r="Y23" s="305"/>
    </row>
    <row r="24" spans="1:25">
      <c r="A24" s="150">
        <v>713</v>
      </c>
      <c r="B24" s="524" t="s">
        <v>47</v>
      </c>
      <c r="C24" s="525"/>
      <c r="D24" s="525"/>
      <c r="E24" s="525"/>
      <c r="F24" s="525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5">
        <f t="shared" si="3"/>
        <v>16901007.650000002</v>
      </c>
      <c r="T24" s="370">
        <f t="shared" si="4"/>
        <v>3.6243912672389582E-3</v>
      </c>
      <c r="Y24" s="305"/>
    </row>
    <row r="25" spans="1:25">
      <c r="A25" s="150">
        <v>714</v>
      </c>
      <c r="B25" s="524" t="s">
        <v>61</v>
      </c>
      <c r="C25" s="525"/>
      <c r="D25" s="525"/>
      <c r="E25" s="525"/>
      <c r="F25" s="525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5">
        <f t="shared" si="3"/>
        <v>26419539.080000002</v>
      </c>
      <c r="T25" s="370">
        <f t="shared" si="4"/>
        <v>5.6656235361227337E-3</v>
      </c>
      <c r="W25" s="292"/>
    </row>
    <row r="26" spans="1:25">
      <c r="A26" s="150">
        <v>715</v>
      </c>
      <c r="B26" s="524" t="s">
        <v>81</v>
      </c>
      <c r="C26" s="525"/>
      <c r="D26" s="525"/>
      <c r="E26" s="525"/>
      <c r="F26" s="525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5">
        <f t="shared" si="3"/>
        <v>71315064.620000005</v>
      </c>
      <c r="T26" s="370">
        <f t="shared" si="4"/>
        <v>1.529338976610131E-2</v>
      </c>
    </row>
    <row r="27" spans="1:25">
      <c r="A27" s="150">
        <v>73</v>
      </c>
      <c r="B27" s="524" t="s">
        <v>99</v>
      </c>
      <c r="C27" s="525"/>
      <c r="D27" s="525"/>
      <c r="E27" s="525"/>
      <c r="F27" s="525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5">
        <f t="shared" si="3"/>
        <v>11285945.1</v>
      </c>
      <c r="T27" s="370">
        <f t="shared" si="4"/>
        <v>2.4202510116595505E-3</v>
      </c>
    </row>
    <row r="28" spans="1:25" ht="13.5" thickBot="1">
      <c r="A28" s="150">
        <v>74</v>
      </c>
      <c r="B28" s="528" t="s">
        <v>105</v>
      </c>
      <c r="C28" s="529"/>
      <c r="D28" s="529"/>
      <c r="E28" s="529"/>
      <c r="F28" s="529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5">
        <f t="shared" si="3"/>
        <v>26709414.990000006</v>
      </c>
      <c r="T28" s="371">
        <f t="shared" si="4"/>
        <v>5.7277869135108836E-3</v>
      </c>
    </row>
    <row r="29" spans="1:25" ht="13.5" thickBot="1">
      <c r="A29" s="150">
        <v>4</v>
      </c>
      <c r="B29" s="530" t="s">
        <v>801</v>
      </c>
      <c r="C29" s="531"/>
      <c r="D29" s="531"/>
      <c r="E29" s="531"/>
      <c r="F29" s="531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6">
        <f t="shared" si="3"/>
        <v>1914918461.6599998</v>
      </c>
      <c r="T29" s="372">
        <f t="shared" si="4"/>
        <v>0.41065088506217923</v>
      </c>
    </row>
    <row r="30" spans="1:25" ht="13.5" thickBot="1">
      <c r="A30" s="150">
        <v>40</v>
      </c>
      <c r="B30" s="532" t="s">
        <v>773</v>
      </c>
      <c r="C30" s="533"/>
      <c r="D30" s="533"/>
      <c r="E30" s="533"/>
      <c r="F30" s="533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7">
        <f t="shared" si="3"/>
        <v>1671556011.4800003</v>
      </c>
      <c r="T30" s="373">
        <f t="shared" si="4"/>
        <v>0.35846223705536845</v>
      </c>
    </row>
    <row r="31" spans="1:25">
      <c r="A31" s="150">
        <v>41</v>
      </c>
      <c r="B31" s="534" t="s">
        <v>120</v>
      </c>
      <c r="C31" s="535"/>
      <c r="D31" s="535"/>
      <c r="E31" s="535"/>
      <c r="F31" s="535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88">
        <f t="shared" si="3"/>
        <v>866631492.57999992</v>
      </c>
      <c r="T31" s="368">
        <f t="shared" si="4"/>
        <v>0.185847594336851</v>
      </c>
    </row>
    <row r="32" spans="1:25">
      <c r="A32" s="150">
        <v>411</v>
      </c>
      <c r="B32" s="522" t="s">
        <v>122</v>
      </c>
      <c r="C32" s="523"/>
      <c r="D32" s="523"/>
      <c r="E32" s="523"/>
      <c r="F32" s="523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4">
        <f t="shared" si="3"/>
        <v>459796234.55000001</v>
      </c>
      <c r="T32" s="369">
        <f t="shared" si="4"/>
        <v>9.860249114864908E-2</v>
      </c>
    </row>
    <row r="33" spans="1:22">
      <c r="A33" s="150">
        <v>412</v>
      </c>
      <c r="B33" s="522" t="s">
        <v>133</v>
      </c>
      <c r="C33" s="523"/>
      <c r="D33" s="523"/>
      <c r="E33" s="523"/>
      <c r="F33" s="523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4">
        <f t="shared" si="3"/>
        <v>13212940.209999999</v>
      </c>
      <c r="T33" s="369">
        <f t="shared" si="4"/>
        <v>2.8334917126479424E-3</v>
      </c>
      <c r="U33" s="293"/>
    </row>
    <row r="34" spans="1:22">
      <c r="A34" s="150">
        <v>413</v>
      </c>
      <c r="B34" s="522" t="s">
        <v>148</v>
      </c>
      <c r="C34" s="523"/>
      <c r="D34" s="523"/>
      <c r="E34" s="523"/>
      <c r="F34" s="523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4">
        <f t="shared" si="3"/>
        <v>36731134.720000006</v>
      </c>
      <c r="T34" s="369">
        <f t="shared" si="4"/>
        <v>7.8769270254099733E-3</v>
      </c>
      <c r="U34" s="311"/>
      <c r="V34" s="291"/>
    </row>
    <row r="35" spans="1:22">
      <c r="A35" s="150">
        <v>414</v>
      </c>
      <c r="B35" s="522" t="s">
        <v>162</v>
      </c>
      <c r="C35" s="523"/>
      <c r="D35" s="523"/>
      <c r="E35" s="523"/>
      <c r="F35" s="523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4">
        <f t="shared" si="3"/>
        <v>75138922.689999998</v>
      </c>
      <c r="T35" s="369">
        <f t="shared" si="4"/>
        <v>1.6113409381681404E-2</v>
      </c>
    </row>
    <row r="36" spans="1:22">
      <c r="A36" s="150">
        <v>415</v>
      </c>
      <c r="B36" s="522" t="s">
        <v>182</v>
      </c>
      <c r="C36" s="523"/>
      <c r="D36" s="523"/>
      <c r="E36" s="523"/>
      <c r="F36" s="523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4">
        <f t="shared" si="3"/>
        <v>20973232.77</v>
      </c>
      <c r="T36" s="369">
        <f t="shared" si="4"/>
        <v>4.4976727584262076E-3</v>
      </c>
    </row>
    <row r="37" spans="1:22">
      <c r="A37" s="150">
        <v>416</v>
      </c>
      <c r="B37" s="522" t="s">
        <v>190</v>
      </c>
      <c r="C37" s="523"/>
      <c r="D37" s="523"/>
      <c r="E37" s="523"/>
      <c r="F37" s="523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4">
        <f>+SUM(G37:R37)</f>
        <v>97597309.48999998</v>
      </c>
      <c r="T37" s="369">
        <f t="shared" si="4"/>
        <v>2.0929570801157159E-2</v>
      </c>
    </row>
    <row r="38" spans="1:22">
      <c r="A38" s="150">
        <v>417</v>
      </c>
      <c r="B38" s="522" t="s">
        <v>196</v>
      </c>
      <c r="C38" s="523"/>
      <c r="D38" s="523"/>
      <c r="E38" s="523"/>
      <c r="F38" s="523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4">
        <f t="shared" si="3"/>
        <v>10693128.550000001</v>
      </c>
      <c r="T38" s="369">
        <f t="shared" si="4"/>
        <v>2.2931225485886093E-3</v>
      </c>
    </row>
    <row r="39" spans="1:22">
      <c r="A39" s="150">
        <v>418</v>
      </c>
      <c r="B39" s="522" t="s">
        <v>204</v>
      </c>
      <c r="C39" s="523"/>
      <c r="D39" s="523"/>
      <c r="E39" s="523"/>
      <c r="F39" s="523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4">
        <f t="shared" si="3"/>
        <v>30560884.969999999</v>
      </c>
      <c r="T39" s="369">
        <f t="shared" si="4"/>
        <v>6.5537278544668493E-3</v>
      </c>
    </row>
    <row r="40" spans="1:22">
      <c r="A40" s="150">
        <v>419</v>
      </c>
      <c r="B40" s="522" t="s">
        <v>212</v>
      </c>
      <c r="C40" s="523"/>
      <c r="D40" s="523"/>
      <c r="E40" s="523"/>
      <c r="F40" s="523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4">
        <f t="shared" si="3"/>
        <v>43556427.669999994</v>
      </c>
      <c r="T40" s="369">
        <f t="shared" si="4"/>
        <v>9.3405990547121773E-3</v>
      </c>
    </row>
    <row r="41" spans="1:22">
      <c r="A41" s="150">
        <v>440</v>
      </c>
      <c r="B41" s="522" t="s">
        <v>802</v>
      </c>
      <c r="C41" s="523"/>
      <c r="D41" s="523"/>
      <c r="E41" s="523"/>
      <c r="F41" s="523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4">
        <f t="shared" si="3"/>
        <v>78371276.960000008</v>
      </c>
      <c r="T41" s="369">
        <f t="shared" si="4"/>
        <v>1.6806582051111595E-2</v>
      </c>
    </row>
    <row r="42" spans="1:22">
      <c r="A42" s="150">
        <v>42</v>
      </c>
      <c r="B42" s="538" t="s">
        <v>230</v>
      </c>
      <c r="C42" s="539"/>
      <c r="D42" s="539"/>
      <c r="E42" s="539"/>
      <c r="F42" s="539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5">
        <f t="shared" si="3"/>
        <v>544485571.48000002</v>
      </c>
      <c r="T42" s="370">
        <f t="shared" si="4"/>
        <v>0.11676397001155876</v>
      </c>
    </row>
    <row r="43" spans="1:22">
      <c r="A43" s="150">
        <v>421</v>
      </c>
      <c r="B43" s="522" t="s">
        <v>232</v>
      </c>
      <c r="C43" s="523"/>
      <c r="D43" s="523"/>
      <c r="E43" s="523"/>
      <c r="F43" s="523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4">
        <f t="shared" si="3"/>
        <v>82294784.480000004</v>
      </c>
      <c r="T43" s="369">
        <f t="shared" si="4"/>
        <v>1.7647971315404031E-2</v>
      </c>
    </row>
    <row r="44" spans="1:22">
      <c r="A44" s="150">
        <v>422</v>
      </c>
      <c r="B44" s="522" t="s">
        <v>248</v>
      </c>
      <c r="C44" s="523"/>
      <c r="D44" s="523"/>
      <c r="E44" s="523"/>
      <c r="F44" s="523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4">
        <f t="shared" si="3"/>
        <v>14196791.939999998</v>
      </c>
      <c r="T44" s="369">
        <f t="shared" si="4"/>
        <v>3.0444769800541693E-3</v>
      </c>
    </row>
    <row r="45" spans="1:22">
      <c r="A45" s="150">
        <v>423</v>
      </c>
      <c r="B45" s="522" t="s">
        <v>259</v>
      </c>
      <c r="C45" s="523"/>
      <c r="D45" s="523"/>
      <c r="E45" s="523"/>
      <c r="F45" s="523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4">
        <f t="shared" si="3"/>
        <v>414750265.80000001</v>
      </c>
      <c r="T45" s="369">
        <f t="shared" si="4"/>
        <v>8.8942462637756181E-2</v>
      </c>
    </row>
    <row r="46" spans="1:22">
      <c r="A46" s="150">
        <v>424</v>
      </c>
      <c r="B46" s="522" t="s">
        <v>274</v>
      </c>
      <c r="C46" s="523"/>
      <c r="D46" s="523"/>
      <c r="E46" s="523"/>
      <c r="F46" s="523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4">
        <f t="shared" si="3"/>
        <v>20004829.280000001</v>
      </c>
      <c r="T46" s="369">
        <f t="shared" si="4"/>
        <v>4.2900003388282124E-3</v>
      </c>
    </row>
    <row r="47" spans="1:22">
      <c r="A47" s="150">
        <v>425</v>
      </c>
      <c r="B47" s="630" t="s">
        <v>278</v>
      </c>
      <c r="C47" s="631"/>
      <c r="D47" s="631"/>
      <c r="E47" s="631"/>
      <c r="F47" s="631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4">
        <f t="shared" si="3"/>
        <v>13238899.98</v>
      </c>
      <c r="T47" s="369">
        <f t="shared" si="4"/>
        <v>2.8390587395161621E-3</v>
      </c>
    </row>
    <row r="48" spans="1:22">
      <c r="A48" s="150">
        <v>43</v>
      </c>
      <c r="B48" s="536" t="s">
        <v>286</v>
      </c>
      <c r="C48" s="537"/>
      <c r="D48" s="537"/>
      <c r="E48" s="537"/>
      <c r="F48" s="537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5">
        <f t="shared" si="3"/>
        <v>208726710.33999997</v>
      </c>
      <c r="T48" s="370">
        <f t="shared" si="4"/>
        <v>4.4761074715909697E-2</v>
      </c>
    </row>
    <row r="49" spans="1:22">
      <c r="A49" s="150">
        <v>44</v>
      </c>
      <c r="B49" s="536" t="s">
        <v>320</v>
      </c>
      <c r="C49" s="537"/>
      <c r="D49" s="537"/>
      <c r="E49" s="537"/>
      <c r="F49" s="537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5">
        <f t="shared" si="3"/>
        <v>243362450.18000001</v>
      </c>
      <c r="T49" s="370">
        <f t="shared" si="4"/>
        <v>5.2188648006810875E-2</v>
      </c>
    </row>
    <row r="50" spans="1:22">
      <c r="A50" s="150">
        <v>451</v>
      </c>
      <c r="B50" s="615" t="s">
        <v>113</v>
      </c>
      <c r="C50" s="616"/>
      <c r="D50" s="616"/>
      <c r="E50" s="616"/>
      <c r="F50" s="616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4">
        <f t="shared" si="3"/>
        <v>4596369</v>
      </c>
      <c r="T50" s="369">
        <f t="shared" si="4"/>
        <v>9.8568322135561309E-4</v>
      </c>
    </row>
    <row r="51" spans="1:22">
      <c r="A51" s="150">
        <v>47</v>
      </c>
      <c r="B51" s="540" t="s">
        <v>366</v>
      </c>
      <c r="C51" s="541"/>
      <c r="D51" s="541"/>
      <c r="E51" s="541"/>
      <c r="F51" s="541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4">
        <f t="shared" si="3"/>
        <v>23887500.050000001</v>
      </c>
      <c r="T51" s="369">
        <f t="shared" si="4"/>
        <v>5.1226322341431617E-3</v>
      </c>
      <c r="U51" s="352"/>
    </row>
    <row r="52" spans="1:22" ht="13.5" thickBot="1">
      <c r="A52" s="150">
        <v>462</v>
      </c>
      <c r="B52" s="542" t="s">
        <v>359</v>
      </c>
      <c r="C52" s="543"/>
      <c r="D52" s="543"/>
      <c r="E52" s="543"/>
      <c r="F52" s="543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4">
        <f t="shared" si="3"/>
        <v>0</v>
      </c>
      <c r="T52" s="374">
        <f t="shared" si="4"/>
        <v>0</v>
      </c>
      <c r="U52" s="292"/>
    </row>
    <row r="53" spans="1:22" ht="13.5" thickBot="1">
      <c r="A53" s="144">
        <v>4630</v>
      </c>
      <c r="B53" s="609" t="s">
        <v>794</v>
      </c>
      <c r="C53" s="610"/>
      <c r="D53" s="610"/>
      <c r="E53" s="610"/>
      <c r="F53" s="610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89">
        <f>+SUM(G53:R53)</f>
        <v>23228368.030000001</v>
      </c>
      <c r="T53" s="374">
        <f>+S53/$T$7</f>
        <v>4.9812825355501564E-3</v>
      </c>
    </row>
    <row r="54" spans="1:22" ht="13.5" thickBot="1">
      <c r="A54" s="70">
        <v>1005</v>
      </c>
      <c r="B54" s="611" t="s">
        <v>684</v>
      </c>
      <c r="C54" s="612"/>
      <c r="D54" s="612"/>
      <c r="E54" s="612"/>
      <c r="F54" s="612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0">
        <f>+SUM(G54:R54)</f>
        <v>28097590.27</v>
      </c>
      <c r="T54" s="375">
        <f>+S54/$T$7</f>
        <v>6.0254786527504057E-3</v>
      </c>
    </row>
    <row r="55" spans="1:22" ht="13.5" thickBot="1">
      <c r="A55" s="144">
        <v>1000</v>
      </c>
      <c r="B55" s="544" t="s">
        <v>545</v>
      </c>
      <c r="C55" s="545"/>
      <c r="D55" s="545"/>
      <c r="E55" s="545"/>
      <c r="F55" s="545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1">
        <f t="shared" si="3"/>
        <v>-168900174.51999998</v>
      </c>
      <c r="T55" s="376">
        <f t="shared" si="4"/>
        <v>-3.6220344386710207E-2</v>
      </c>
    </row>
    <row r="56" spans="1:22" ht="13.5" thickBot="1">
      <c r="A56" s="144"/>
      <c r="B56" s="363" t="s">
        <v>803</v>
      </c>
      <c r="C56" s="364"/>
      <c r="D56" s="364"/>
      <c r="E56" s="364"/>
      <c r="F56" s="364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1">
        <f t="shared" si="3"/>
        <v>-196997764.78999999</v>
      </c>
      <c r="T56" s="376">
        <f t="shared" si="4"/>
        <v>-4.2245823039460617E-2</v>
      </c>
    </row>
    <row r="57" spans="1:22" ht="13.5" thickBot="1">
      <c r="A57" s="144">
        <v>1001</v>
      </c>
      <c r="B57" s="546" t="s">
        <v>793</v>
      </c>
      <c r="C57" s="547"/>
      <c r="D57" s="547"/>
      <c r="E57" s="547"/>
      <c r="F57" s="547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1">
        <f t="shared" si="3"/>
        <v>-99400455.299999982</v>
      </c>
      <c r="T57" s="376">
        <f t="shared" si="4"/>
        <v>-2.1316252238303454E-2</v>
      </c>
    </row>
    <row r="58" spans="1:22">
      <c r="A58" s="144">
        <v>46</v>
      </c>
      <c r="B58" s="568" t="s">
        <v>352</v>
      </c>
      <c r="C58" s="569"/>
      <c r="D58" s="569"/>
      <c r="E58" s="569"/>
      <c r="F58" s="569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2">
        <f t="shared" si="3"/>
        <v>696281459.90999997</v>
      </c>
      <c r="T58" s="377">
        <f t="shared" si="4"/>
        <v>0.14931633042827455</v>
      </c>
      <c r="V58" s="309"/>
    </row>
    <row r="59" spans="1:22">
      <c r="A59" s="144">
        <v>4611</v>
      </c>
      <c r="B59" s="564" t="s">
        <v>355</v>
      </c>
      <c r="C59" s="565"/>
      <c r="D59" s="565"/>
      <c r="E59" s="565"/>
      <c r="F59" s="565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3">
        <f t="shared" si="3"/>
        <v>234823593.10000002</v>
      </c>
      <c r="T59" s="378">
        <f t="shared" si="4"/>
        <v>5.0357505173563681E-2</v>
      </c>
    </row>
    <row r="60" spans="1:22" ht="13.5" thickBot="1">
      <c r="A60" s="144">
        <v>4612</v>
      </c>
      <c r="B60" s="540" t="s">
        <v>357</v>
      </c>
      <c r="C60" s="541"/>
      <c r="D60" s="541"/>
      <c r="E60" s="541"/>
      <c r="F60" s="541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3">
        <f t="shared" si="3"/>
        <v>461457866.81</v>
      </c>
      <c r="T60" s="378">
        <f t="shared" si="4"/>
        <v>9.8958825254710892E-2</v>
      </c>
      <c r="V60" s="318"/>
    </row>
    <row r="61" spans="1:22" ht="13.5" thickBot="1">
      <c r="A61" s="144">
        <v>4418</v>
      </c>
      <c r="B61" s="632" t="s">
        <v>336</v>
      </c>
      <c r="C61" s="633"/>
      <c r="D61" s="633"/>
      <c r="E61" s="633"/>
      <c r="F61" s="633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2">
        <f>SUM(G61:R61)</f>
        <v>69245296.659999996</v>
      </c>
      <c r="T61" s="377">
        <f>+S61/$T$7</f>
        <v>1.4849531679365575E-2</v>
      </c>
      <c r="V61" s="318"/>
    </row>
    <row r="62" spans="1:22" ht="13.5" thickBot="1">
      <c r="A62" s="144">
        <v>1002</v>
      </c>
      <c r="B62" s="566" t="s">
        <v>543</v>
      </c>
      <c r="C62" s="567"/>
      <c r="D62" s="567"/>
      <c r="E62" s="567"/>
      <c r="F62" s="567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4">
        <f t="shared" si="3"/>
        <v>-962524521.35999966</v>
      </c>
      <c r="T62" s="379">
        <f t="shared" si="4"/>
        <v>-0.2064116851471007</v>
      </c>
    </row>
    <row r="63" spans="1:22" ht="13.5" thickBot="1">
      <c r="A63" s="144">
        <v>1003</v>
      </c>
      <c r="B63" s="530" t="s">
        <v>544</v>
      </c>
      <c r="C63" s="531"/>
      <c r="D63" s="531"/>
      <c r="E63" s="531"/>
      <c r="F63" s="531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5">
        <f t="shared" si="3"/>
        <v>962524521.35999966</v>
      </c>
      <c r="T63" s="380">
        <f t="shared" si="4"/>
        <v>0.2064116851471007</v>
      </c>
    </row>
    <row r="64" spans="1:22">
      <c r="A64" s="144">
        <v>7511</v>
      </c>
      <c r="B64" s="564" t="s">
        <v>114</v>
      </c>
      <c r="C64" s="565"/>
      <c r="D64" s="565"/>
      <c r="E64" s="565"/>
      <c r="F64" s="565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3">
        <f t="shared" si="3"/>
        <v>213600000</v>
      </c>
      <c r="T64" s="378">
        <f t="shared" si="4"/>
        <v>4.5806143084151631E-2</v>
      </c>
    </row>
    <row r="65" spans="1:20">
      <c r="A65" s="144">
        <v>7512</v>
      </c>
      <c r="B65" s="540" t="s">
        <v>116</v>
      </c>
      <c r="C65" s="541"/>
      <c r="D65" s="541"/>
      <c r="E65" s="541"/>
      <c r="F65" s="541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3">
        <f t="shared" si="3"/>
        <v>909773438.82000017</v>
      </c>
      <c r="T65" s="378">
        <f t="shared" si="4"/>
        <v>0.19509930858028837</v>
      </c>
    </row>
    <row r="66" spans="1:20">
      <c r="A66" s="144">
        <v>72</v>
      </c>
      <c r="B66" s="540" t="s">
        <v>93</v>
      </c>
      <c r="C66" s="541"/>
      <c r="D66" s="541"/>
      <c r="E66" s="541"/>
      <c r="F66" s="541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3">
        <f t="shared" si="3"/>
        <v>15749081.709999999</v>
      </c>
      <c r="T66" s="378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6">
        <f>+SUM(G67:R67)</f>
        <v>-176597999.17000002</v>
      </c>
      <c r="T67" s="381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96" t="s">
        <v>551</v>
      </c>
      <c r="C103" s="597"/>
      <c r="D103" s="597"/>
      <c r="E103" s="597"/>
      <c r="F103" s="597"/>
      <c r="G103" s="604">
        <v>2018</v>
      </c>
      <c r="H103" s="605"/>
      <c r="I103" s="605"/>
      <c r="J103" s="605"/>
      <c r="K103" s="605"/>
      <c r="L103" s="605"/>
      <c r="M103" s="605"/>
      <c r="N103" s="605"/>
      <c r="O103" s="605"/>
      <c r="P103" s="605"/>
      <c r="Q103" s="605"/>
      <c r="R103" s="606"/>
      <c r="S103" s="107" t="str">
        <f>+S7</f>
        <v>BDP</v>
      </c>
      <c r="T103" s="108">
        <f>+T7</f>
        <v>4663130000</v>
      </c>
    </row>
    <row r="104" spans="1:21" ht="15.75" customHeight="1">
      <c r="B104" s="598"/>
      <c r="C104" s="599"/>
      <c r="D104" s="599"/>
      <c r="E104" s="599"/>
      <c r="F104" s="600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604" t="s">
        <v>806</v>
      </c>
      <c r="T104" s="606">
        <f>+T8</f>
        <v>0</v>
      </c>
    </row>
    <row r="105" spans="1:21" ht="13.5" thickBot="1">
      <c r="B105" s="601"/>
      <c r="C105" s="602"/>
      <c r="D105" s="602"/>
      <c r="E105" s="602"/>
      <c r="F105" s="603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620" t="s">
        <v>680</v>
      </c>
      <c r="C106" s="621"/>
      <c r="D106" s="621"/>
      <c r="E106" s="621"/>
      <c r="F106" s="621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7">
        <f>+SUM(G106:R106)</f>
        <v>1757003221.1342125</v>
      </c>
      <c r="T106" s="410">
        <f>+S106/$T$7</f>
        <v>0.37678624038665287</v>
      </c>
    </row>
    <row r="107" spans="1:21">
      <c r="A107" s="116" t="str">
        <f t="shared" si="18"/>
        <v>711p</v>
      </c>
      <c r="B107" s="594" t="s">
        <v>21</v>
      </c>
      <c r="C107" s="595"/>
      <c r="D107" s="595"/>
      <c r="E107" s="595"/>
      <c r="F107" s="595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398">
        <f t="shared" ref="S107:S162" si="21">+SUM(G107:R107)</f>
        <v>1078397189.3971882</v>
      </c>
      <c r="T107" s="411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86" t="s">
        <v>23</v>
      </c>
      <c r="C108" s="587"/>
      <c r="D108" s="587"/>
      <c r="E108" s="587"/>
      <c r="F108" s="587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399">
        <f t="shared" si="21"/>
        <v>121359662.16838756</v>
      </c>
      <c r="T108" s="412">
        <f t="shared" si="22"/>
        <v>2.60253654022915E-2</v>
      </c>
    </row>
    <row r="109" spans="1:21">
      <c r="A109" s="116" t="str">
        <f t="shared" si="18"/>
        <v>7112p</v>
      </c>
      <c r="B109" s="586" t="s">
        <v>25</v>
      </c>
      <c r="C109" s="587"/>
      <c r="D109" s="587"/>
      <c r="E109" s="587"/>
      <c r="F109" s="587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399">
        <f t="shared" si="21"/>
        <v>61678365.370406665</v>
      </c>
      <c r="T109" s="412">
        <f t="shared" si="22"/>
        <v>1.3226816616823178E-2</v>
      </c>
    </row>
    <row r="110" spans="1:21">
      <c r="A110" s="116" t="str">
        <f t="shared" si="18"/>
        <v>7113p</v>
      </c>
      <c r="B110" s="586" t="s">
        <v>27</v>
      </c>
      <c r="C110" s="587"/>
      <c r="D110" s="587"/>
      <c r="E110" s="587"/>
      <c r="F110" s="587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399">
        <f t="shared" si="21"/>
        <v>1854898.1305385595</v>
      </c>
      <c r="T110" s="412">
        <f t="shared" si="22"/>
        <v>3.9777963096430068E-4</v>
      </c>
    </row>
    <row r="111" spans="1:21">
      <c r="A111" s="116" t="str">
        <f t="shared" si="18"/>
        <v>7114p</v>
      </c>
      <c r="B111" s="586" t="s">
        <v>29</v>
      </c>
      <c r="C111" s="587"/>
      <c r="D111" s="587"/>
      <c r="E111" s="587"/>
      <c r="F111" s="587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399">
        <f t="shared" si="21"/>
        <v>624391782.02119482</v>
      </c>
      <c r="T111" s="412">
        <f t="shared" si="22"/>
        <v>0.13389971586063326</v>
      </c>
    </row>
    <row r="112" spans="1:21">
      <c r="A112" s="116" t="str">
        <f t="shared" si="18"/>
        <v>7115p</v>
      </c>
      <c r="B112" s="586" t="s">
        <v>31</v>
      </c>
      <c r="C112" s="587"/>
      <c r="D112" s="587"/>
      <c r="E112" s="587"/>
      <c r="F112" s="587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399">
        <f t="shared" si="21"/>
        <v>232697830.94442701</v>
      </c>
      <c r="T112" s="412">
        <f t="shared" si="22"/>
        <v>4.9901639230393965E-2</v>
      </c>
    </row>
    <row r="113" spans="1:20">
      <c r="A113" s="116" t="str">
        <f t="shared" si="18"/>
        <v>7116p</v>
      </c>
      <c r="B113" s="586" t="s">
        <v>33</v>
      </c>
      <c r="C113" s="587"/>
      <c r="D113" s="587"/>
      <c r="E113" s="587"/>
      <c r="F113" s="587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399">
        <f t="shared" si="21"/>
        <v>26860004.877748117</v>
      </c>
      <c r="T113" s="412">
        <f t="shared" si="22"/>
        <v>5.7600806492094613E-3</v>
      </c>
    </row>
    <row r="114" spans="1:20">
      <c r="A114" s="116" t="str">
        <f t="shared" si="18"/>
        <v>7118p</v>
      </c>
      <c r="B114" s="586" t="s">
        <v>721</v>
      </c>
      <c r="C114" s="587"/>
      <c r="D114" s="587"/>
      <c r="E114" s="587"/>
      <c r="F114" s="587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399">
        <f t="shared" si="21"/>
        <v>9554645.8844855782</v>
      </c>
      <c r="T114" s="412">
        <f t="shared" si="22"/>
        <v>2.0489769499210998E-3</v>
      </c>
    </row>
    <row r="115" spans="1:20">
      <c r="A115" s="116" t="str">
        <f t="shared" si="18"/>
        <v>712p</v>
      </c>
      <c r="B115" s="622" t="s">
        <v>37</v>
      </c>
      <c r="C115" s="623"/>
      <c r="D115" s="623"/>
      <c r="E115" s="623"/>
      <c r="F115" s="623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0">
        <f t="shared" si="21"/>
        <v>522253828.92039472</v>
      </c>
      <c r="T115" s="413">
        <f t="shared" si="22"/>
        <v>0.1119964120495021</v>
      </c>
    </row>
    <row r="116" spans="1:20">
      <c r="A116" s="116" t="str">
        <f t="shared" si="18"/>
        <v>7121p</v>
      </c>
      <c r="B116" s="586" t="s">
        <v>39</v>
      </c>
      <c r="C116" s="587"/>
      <c r="D116" s="587"/>
      <c r="E116" s="587"/>
      <c r="F116" s="587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399">
        <f t="shared" si="21"/>
        <v>314496114.9625507</v>
      </c>
      <c r="T116" s="412">
        <f t="shared" si="22"/>
        <v>6.7443136897867031E-2</v>
      </c>
    </row>
    <row r="117" spans="1:20">
      <c r="A117" s="116" t="str">
        <f t="shared" si="18"/>
        <v>7122p</v>
      </c>
      <c r="B117" s="586" t="s">
        <v>41</v>
      </c>
      <c r="C117" s="587"/>
      <c r="D117" s="587"/>
      <c r="E117" s="587"/>
      <c r="F117" s="587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399">
        <f t="shared" si="21"/>
        <v>180896074.44659218</v>
      </c>
      <c r="T117" s="412">
        <f t="shared" si="22"/>
        <v>3.8792843958155181E-2</v>
      </c>
    </row>
    <row r="118" spans="1:20">
      <c r="A118" s="116" t="str">
        <f t="shared" si="18"/>
        <v>7123p</v>
      </c>
      <c r="B118" s="586" t="s">
        <v>43</v>
      </c>
      <c r="C118" s="587"/>
      <c r="D118" s="587"/>
      <c r="E118" s="587"/>
      <c r="F118" s="587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399">
        <f t="shared" si="21"/>
        <v>14149151.623339836</v>
      </c>
      <c r="T118" s="412">
        <f t="shared" si="22"/>
        <v>3.0342605982118954E-3</v>
      </c>
    </row>
    <row r="119" spans="1:20">
      <c r="A119" s="116" t="str">
        <f t="shared" si="18"/>
        <v>7124p</v>
      </c>
      <c r="B119" s="586" t="s">
        <v>45</v>
      </c>
      <c r="C119" s="587"/>
      <c r="D119" s="587"/>
      <c r="E119" s="587"/>
      <c r="F119" s="587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399">
        <f t="shared" si="21"/>
        <v>12712487.887912013</v>
      </c>
      <c r="T119" s="412">
        <f t="shared" si="22"/>
        <v>2.7261705952679881E-3</v>
      </c>
    </row>
    <row r="120" spans="1:20">
      <c r="A120" s="116" t="str">
        <f t="shared" si="18"/>
        <v>713p</v>
      </c>
      <c r="B120" s="592" t="s">
        <v>47</v>
      </c>
      <c r="C120" s="593"/>
      <c r="D120" s="593"/>
      <c r="E120" s="593"/>
      <c r="F120" s="593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0">
        <f t="shared" si="21"/>
        <v>17700468.388223864</v>
      </c>
      <c r="T120" s="413">
        <f t="shared" si="22"/>
        <v>3.7958342118327958E-3</v>
      </c>
    </row>
    <row r="121" spans="1:20">
      <c r="A121" s="116" t="str">
        <f t="shared" si="18"/>
        <v>714p</v>
      </c>
      <c r="B121" s="592" t="s">
        <v>61</v>
      </c>
      <c r="C121" s="593"/>
      <c r="D121" s="593"/>
      <c r="E121" s="593"/>
      <c r="F121" s="593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0">
        <f t="shared" si="21"/>
        <v>28128126.097135291</v>
      </c>
      <c r="T121" s="413">
        <f t="shared" si="22"/>
        <v>6.0320270069964361E-3</v>
      </c>
    </row>
    <row r="122" spans="1:20">
      <c r="A122" s="116" t="str">
        <f t="shared" si="18"/>
        <v>715p</v>
      </c>
      <c r="B122" s="592" t="s">
        <v>81</v>
      </c>
      <c r="C122" s="593"/>
      <c r="D122" s="593"/>
      <c r="E122" s="593"/>
      <c r="F122" s="593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0">
        <f t="shared" si="21"/>
        <v>71732904.669780642</v>
      </c>
      <c r="T122" s="413">
        <f t="shared" si="22"/>
        <v>1.5382994827461522E-2</v>
      </c>
    </row>
    <row r="123" spans="1:20">
      <c r="A123" s="116" t="str">
        <f t="shared" si="18"/>
        <v>73p</v>
      </c>
      <c r="B123" s="592" t="s">
        <v>99</v>
      </c>
      <c r="C123" s="593"/>
      <c r="D123" s="593"/>
      <c r="E123" s="593"/>
      <c r="F123" s="593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0">
        <f t="shared" si="21"/>
        <v>7262314.2406375092</v>
      </c>
      <c r="T123" s="413">
        <f t="shared" si="22"/>
        <v>1.5573904739171992E-3</v>
      </c>
    </row>
    <row r="124" spans="1:20" ht="13.5" thickBot="1">
      <c r="A124" s="116" t="str">
        <f t="shared" si="18"/>
        <v>74p</v>
      </c>
      <c r="B124" s="588" t="s">
        <v>105</v>
      </c>
      <c r="C124" s="589"/>
      <c r="D124" s="589"/>
      <c r="E124" s="589"/>
      <c r="F124" s="589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1">
        <f t="shared" si="21"/>
        <v>31528389.420852099</v>
      </c>
      <c r="T124" s="414">
        <f t="shared" si="22"/>
        <v>6.7612074767060106E-3</v>
      </c>
    </row>
    <row r="125" spans="1:20" ht="13.5" thickBot="1">
      <c r="A125" s="116" t="str">
        <f t="shared" si="18"/>
        <v>4p</v>
      </c>
      <c r="B125" s="570" t="s">
        <v>808</v>
      </c>
      <c r="C125" s="571"/>
      <c r="D125" s="571"/>
      <c r="E125" s="571"/>
      <c r="F125" s="571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2">
        <f>+SUM(G125:R125)</f>
        <v>1899843074.6966665</v>
      </c>
      <c r="T125" s="415">
        <f t="shared" si="22"/>
        <v>0.40741799492972885</v>
      </c>
    </row>
    <row r="126" spans="1:20" ht="13.5" thickBot="1">
      <c r="A126" s="116" t="str">
        <f t="shared" si="18"/>
        <v>40p</v>
      </c>
      <c r="B126" s="626" t="s">
        <v>773</v>
      </c>
      <c r="C126" s="627"/>
      <c r="D126" s="627"/>
      <c r="E126" s="627"/>
      <c r="F126" s="627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3">
        <f t="shared" si="21"/>
        <v>1610768074.6999998</v>
      </c>
      <c r="T126" s="416">
        <f t="shared" si="22"/>
        <v>0.34542637127851888</v>
      </c>
    </row>
    <row r="127" spans="1:20">
      <c r="A127" s="116" t="str">
        <f t="shared" si="18"/>
        <v>41p</v>
      </c>
      <c r="B127" s="590" t="s">
        <v>120</v>
      </c>
      <c r="C127" s="591"/>
      <c r="D127" s="591"/>
      <c r="E127" s="591"/>
      <c r="F127" s="591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398">
        <f t="shared" si="21"/>
        <v>812630572.90999997</v>
      </c>
      <c r="T127" s="411">
        <f t="shared" si="22"/>
        <v>0.17426719240295679</v>
      </c>
    </row>
    <row r="128" spans="1:20">
      <c r="A128" s="116" t="str">
        <f t="shared" si="18"/>
        <v>411p</v>
      </c>
      <c r="B128" s="586" t="s">
        <v>122</v>
      </c>
      <c r="C128" s="587"/>
      <c r="D128" s="587"/>
      <c r="E128" s="587"/>
      <c r="F128" s="587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399">
        <f t="shared" si="21"/>
        <v>461973796.46999985</v>
      </c>
      <c r="T128" s="412">
        <f t="shared" si="22"/>
        <v>9.9069465459894937E-2</v>
      </c>
    </row>
    <row r="129" spans="1:20">
      <c r="A129" s="116" t="str">
        <f t="shared" si="18"/>
        <v>412p</v>
      </c>
      <c r="B129" s="586" t="s">
        <v>133</v>
      </c>
      <c r="C129" s="587"/>
      <c r="D129" s="587"/>
      <c r="E129" s="587"/>
      <c r="F129" s="587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399">
        <f t="shared" si="21"/>
        <v>13262623.179999996</v>
      </c>
      <c r="T129" s="412">
        <f t="shared" si="22"/>
        <v>2.8441461378945036E-3</v>
      </c>
    </row>
    <row r="130" spans="1:20">
      <c r="A130" s="116" t="str">
        <f t="shared" si="18"/>
        <v>413p</v>
      </c>
      <c r="B130" s="586" t="s">
        <v>148</v>
      </c>
      <c r="C130" s="587"/>
      <c r="D130" s="587"/>
      <c r="E130" s="587"/>
      <c r="F130" s="587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399">
        <f t="shared" si="21"/>
        <v>39682213.5</v>
      </c>
      <c r="T130" s="412">
        <f t="shared" si="22"/>
        <v>8.5097806623448194E-3</v>
      </c>
    </row>
    <row r="131" spans="1:20">
      <c r="A131" s="116" t="str">
        <f t="shared" si="18"/>
        <v>414p</v>
      </c>
      <c r="B131" s="586" t="s">
        <v>162</v>
      </c>
      <c r="C131" s="587"/>
      <c r="D131" s="587"/>
      <c r="E131" s="587"/>
      <c r="F131" s="587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399">
        <f t="shared" si="21"/>
        <v>58741932.939999998</v>
      </c>
      <c r="T131" s="412">
        <f t="shared" si="22"/>
        <v>1.2597103863713857E-2</v>
      </c>
    </row>
    <row r="132" spans="1:20">
      <c r="A132" s="116" t="str">
        <f t="shared" si="18"/>
        <v>415p</v>
      </c>
      <c r="B132" s="586" t="s">
        <v>182</v>
      </c>
      <c r="C132" s="587"/>
      <c r="D132" s="587"/>
      <c r="E132" s="587"/>
      <c r="F132" s="587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399">
        <f t="shared" si="21"/>
        <v>22285486.810000002</v>
      </c>
      <c r="T132" s="412">
        <f t="shared" si="22"/>
        <v>4.7790833217173879E-3</v>
      </c>
    </row>
    <row r="133" spans="1:20">
      <c r="A133" s="116" t="str">
        <f t="shared" si="18"/>
        <v>416p</v>
      </c>
      <c r="B133" s="586" t="s">
        <v>190</v>
      </c>
      <c r="C133" s="587"/>
      <c r="D133" s="587"/>
      <c r="E133" s="587"/>
      <c r="F133" s="587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399">
        <f t="shared" si="21"/>
        <v>87442700</v>
      </c>
      <c r="T133" s="412">
        <f t="shared" si="22"/>
        <v>1.8751932714721656E-2</v>
      </c>
    </row>
    <row r="134" spans="1:20">
      <c r="A134" s="116" t="str">
        <f t="shared" si="18"/>
        <v>417p</v>
      </c>
      <c r="B134" s="586" t="s">
        <v>196</v>
      </c>
      <c r="C134" s="587"/>
      <c r="D134" s="587"/>
      <c r="E134" s="587"/>
      <c r="F134" s="587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399">
        <f t="shared" si="21"/>
        <v>10344524.66</v>
      </c>
      <c r="T134" s="412">
        <f t="shared" si="22"/>
        <v>2.2183650595201079E-3</v>
      </c>
    </row>
    <row r="135" spans="1:20">
      <c r="A135" s="116" t="str">
        <f t="shared" si="18"/>
        <v>418p</v>
      </c>
      <c r="B135" s="586" t="s">
        <v>204</v>
      </c>
      <c r="C135" s="587"/>
      <c r="D135" s="587"/>
      <c r="E135" s="587"/>
      <c r="F135" s="587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399">
        <f t="shared" si="21"/>
        <v>26731800.000000011</v>
      </c>
      <c r="T135" s="412">
        <f t="shared" si="22"/>
        <v>5.7325873394050804E-3</v>
      </c>
    </row>
    <row r="136" spans="1:20">
      <c r="A136" s="116" t="str">
        <f t="shared" si="18"/>
        <v>419p</v>
      </c>
      <c r="B136" s="586" t="s">
        <v>212</v>
      </c>
      <c r="C136" s="587"/>
      <c r="D136" s="587"/>
      <c r="E136" s="587"/>
      <c r="F136" s="587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399">
        <f t="shared" si="21"/>
        <v>39317929.93</v>
      </c>
      <c r="T136" s="412">
        <f t="shared" si="22"/>
        <v>8.4316606935684827E-3</v>
      </c>
    </row>
    <row r="137" spans="1:20">
      <c r="A137" s="116" t="str">
        <f t="shared" si="18"/>
        <v>440p</v>
      </c>
      <c r="B137" s="586" t="s">
        <v>802</v>
      </c>
      <c r="C137" s="587"/>
      <c r="D137" s="587"/>
      <c r="E137" s="587"/>
      <c r="F137" s="587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399">
        <f t="shared" si="21"/>
        <v>52847565.419999987</v>
      </c>
      <c r="T137" s="412">
        <f t="shared" si="22"/>
        <v>1.1333067150175952E-2</v>
      </c>
    </row>
    <row r="138" spans="1:20">
      <c r="A138" s="116" t="str">
        <f t="shared" si="18"/>
        <v>42p</v>
      </c>
      <c r="B138" s="582" t="s">
        <v>230</v>
      </c>
      <c r="C138" s="583"/>
      <c r="D138" s="583"/>
      <c r="E138" s="583"/>
      <c r="F138" s="583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0">
        <f t="shared" si="21"/>
        <v>558932773.86000013</v>
      </c>
      <c r="T138" s="413">
        <f t="shared" si="22"/>
        <v>0.11986214706859988</v>
      </c>
    </row>
    <row r="139" spans="1:20">
      <c r="A139" s="116" t="str">
        <f t="shared" si="18"/>
        <v>421p</v>
      </c>
      <c r="B139" s="586" t="s">
        <v>232</v>
      </c>
      <c r="C139" s="587"/>
      <c r="D139" s="587"/>
      <c r="E139" s="587"/>
      <c r="F139" s="587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399">
        <f t="shared" si="21"/>
        <v>82786083.909999996</v>
      </c>
      <c r="T139" s="412">
        <f t="shared" si="22"/>
        <v>1.7753329611226793E-2</v>
      </c>
    </row>
    <row r="140" spans="1:20">
      <c r="A140" s="116" t="str">
        <f t="shared" si="18"/>
        <v>422p</v>
      </c>
      <c r="B140" s="586" t="s">
        <v>248</v>
      </c>
      <c r="C140" s="587"/>
      <c r="D140" s="587"/>
      <c r="E140" s="587"/>
      <c r="F140" s="587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399">
        <f t="shared" si="21"/>
        <v>17298799.519999992</v>
      </c>
      <c r="T140" s="412">
        <f t="shared" si="22"/>
        <v>3.7096970318219718E-3</v>
      </c>
    </row>
    <row r="141" spans="1:20">
      <c r="A141" s="116" t="str">
        <f t="shared" si="18"/>
        <v>423p</v>
      </c>
      <c r="B141" s="586" t="s">
        <v>259</v>
      </c>
      <c r="C141" s="587"/>
      <c r="D141" s="587"/>
      <c r="E141" s="587"/>
      <c r="F141" s="587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399">
        <f t="shared" si="21"/>
        <v>425672790.43000013</v>
      </c>
      <c r="T141" s="412">
        <f t="shared" si="22"/>
        <v>9.1284778770911415E-2</v>
      </c>
    </row>
    <row r="142" spans="1:20">
      <c r="A142" s="116" t="str">
        <f t="shared" si="18"/>
        <v>424p</v>
      </c>
      <c r="B142" s="586" t="s">
        <v>274</v>
      </c>
      <c r="C142" s="587"/>
      <c r="D142" s="587"/>
      <c r="E142" s="587"/>
      <c r="F142" s="587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399">
        <f t="shared" si="21"/>
        <v>19000099.999999996</v>
      </c>
      <c r="T142" s="412">
        <f t="shared" si="22"/>
        <v>4.0745379176647433E-3</v>
      </c>
    </row>
    <row r="143" spans="1:20">
      <c r="A143" s="116" t="str">
        <f t="shared" si="18"/>
        <v>425p</v>
      </c>
      <c r="B143" s="586" t="s">
        <v>278</v>
      </c>
      <c r="C143" s="587"/>
      <c r="D143" s="587"/>
      <c r="E143" s="587"/>
      <c r="F143" s="587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399">
        <f t="shared" si="21"/>
        <v>14175000.000000002</v>
      </c>
      <c r="T143" s="412">
        <f t="shared" si="22"/>
        <v>3.0398037369749509E-3</v>
      </c>
    </row>
    <row r="144" spans="1:20">
      <c r="A144" s="116" t="str">
        <f t="shared" si="18"/>
        <v>43p</v>
      </c>
      <c r="B144" s="584" t="s">
        <v>286</v>
      </c>
      <c r="C144" s="585"/>
      <c r="D144" s="585"/>
      <c r="E144" s="585"/>
      <c r="F144" s="585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0">
        <f>+SUM(G144:R144)</f>
        <v>206684238.69</v>
      </c>
      <c r="T144" s="413">
        <f t="shared" si="22"/>
        <v>4.4323070274686745E-2</v>
      </c>
    </row>
    <row r="145" spans="1:20">
      <c r="A145" s="116" t="str">
        <f t="shared" si="18"/>
        <v>44p</v>
      </c>
      <c r="B145" s="584" t="s">
        <v>809</v>
      </c>
      <c r="C145" s="585"/>
      <c r="D145" s="585"/>
      <c r="E145" s="585"/>
      <c r="F145" s="585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0">
        <f t="shared" si="21"/>
        <v>289074999.99666673</v>
      </c>
      <c r="T145" s="413">
        <f t="shared" si="22"/>
        <v>6.1991623651209964E-2</v>
      </c>
    </row>
    <row r="146" spans="1:20">
      <c r="A146" s="116" t="str">
        <f t="shared" si="18"/>
        <v>451p</v>
      </c>
      <c r="B146" s="576" t="s">
        <v>113</v>
      </c>
      <c r="C146" s="577"/>
      <c r="D146" s="577"/>
      <c r="E146" s="577"/>
      <c r="F146" s="577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399">
        <f t="shared" si="21"/>
        <v>2875000.9999999995</v>
      </c>
      <c r="T146" s="412">
        <f t="shared" si="22"/>
        <v>6.1653889125973314E-4</v>
      </c>
    </row>
    <row r="147" spans="1:20">
      <c r="A147" s="116" t="str">
        <f t="shared" si="18"/>
        <v>47p</v>
      </c>
      <c r="B147" s="576" t="s">
        <v>366</v>
      </c>
      <c r="C147" s="577"/>
      <c r="D147" s="577"/>
      <c r="E147" s="577"/>
      <c r="F147" s="577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399">
        <f t="shared" si="21"/>
        <v>29645488.240000002</v>
      </c>
      <c r="T147" s="412">
        <f t="shared" si="22"/>
        <v>6.3574226410157992E-3</v>
      </c>
    </row>
    <row r="148" spans="1:20">
      <c r="A148" s="116" t="str">
        <f t="shared" si="18"/>
        <v>462p</v>
      </c>
      <c r="B148" s="576" t="s">
        <v>359</v>
      </c>
      <c r="C148" s="577"/>
      <c r="D148" s="577"/>
      <c r="E148" s="577"/>
      <c r="F148" s="577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399">
        <f t="shared" si="21"/>
        <v>0</v>
      </c>
      <c r="T148" s="412">
        <f t="shared" si="22"/>
        <v>0</v>
      </c>
    </row>
    <row r="149" spans="1:20" ht="13.5" thickBot="1">
      <c r="A149" s="116"/>
      <c r="B149" s="365" t="s">
        <v>685</v>
      </c>
      <c r="C149" s="366"/>
      <c r="D149" s="366"/>
      <c r="E149" s="366"/>
      <c r="F149" s="366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0">
        <f>SUM(G149:R149)</f>
        <v>0</v>
      </c>
      <c r="T149" s="375">
        <f t="shared" si="22"/>
        <v>0</v>
      </c>
    </row>
    <row r="150" spans="1:20" ht="13.5" thickBot="1">
      <c r="A150" s="117" t="str">
        <f>+CONCATENATE(A55,"p")</f>
        <v>1000p</v>
      </c>
      <c r="B150" s="578" t="s">
        <v>545</v>
      </c>
      <c r="C150" s="579"/>
      <c r="D150" s="579"/>
      <c r="E150" s="579"/>
      <c r="F150" s="579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5">
        <f t="shared" si="21"/>
        <v>-142839853.56245428</v>
      </c>
      <c r="T150" s="418">
        <f t="shared" si="22"/>
        <v>-3.0631754543076064E-2</v>
      </c>
    </row>
    <row r="151" spans="1:20" ht="13.5" thickBot="1">
      <c r="A151" s="117" t="str">
        <f>+CONCATENATE(A57,"p")</f>
        <v>1001p</v>
      </c>
      <c r="B151" s="580" t="s">
        <v>810</v>
      </c>
      <c r="C151" s="581"/>
      <c r="D151" s="581"/>
      <c r="E151" s="581"/>
      <c r="F151" s="581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5">
        <f t="shared" si="21"/>
        <v>-55397153.562454268</v>
      </c>
      <c r="T151" s="418">
        <f t="shared" si="22"/>
        <v>-1.1879821828354403E-2</v>
      </c>
    </row>
    <row r="152" spans="1:20">
      <c r="A152" s="117" t="str">
        <f>+CONCATENATE(A58,"p")</f>
        <v>46p</v>
      </c>
      <c r="B152" s="582" t="s">
        <v>352</v>
      </c>
      <c r="C152" s="583"/>
      <c r="D152" s="583"/>
      <c r="E152" s="583"/>
      <c r="F152" s="583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6">
        <f t="shared" si="21"/>
        <v>542432774.80999994</v>
      </c>
      <c r="T152" s="419">
        <f t="shared" si="22"/>
        <v>0.11632375138801619</v>
      </c>
    </row>
    <row r="153" spans="1:20">
      <c r="A153" s="117" t="str">
        <f>+CONCATENATE(A59,"p")</f>
        <v>4611p</v>
      </c>
      <c r="B153" s="574" t="s">
        <v>355</v>
      </c>
      <c r="C153" s="575"/>
      <c r="D153" s="575"/>
      <c r="E153" s="575"/>
      <c r="F153" s="575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4">
        <f t="shared" si="21"/>
        <v>50688279.809999995</v>
      </c>
      <c r="T153" s="417">
        <f t="shared" si="22"/>
        <v>1.0870012161359429E-2</v>
      </c>
    </row>
    <row r="154" spans="1:20">
      <c r="A154" s="117" t="str">
        <f>+CONCATENATE(A60,"p")</f>
        <v>4612p</v>
      </c>
      <c r="B154" s="576" t="s">
        <v>357</v>
      </c>
      <c r="C154" s="577"/>
      <c r="D154" s="577"/>
      <c r="E154" s="577"/>
      <c r="F154" s="577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4">
        <f t="shared" si="21"/>
        <v>461500000</v>
      </c>
      <c r="T154" s="417">
        <f t="shared" si="22"/>
        <v>9.8967860642958705E-2</v>
      </c>
    </row>
    <row r="155" spans="1:20">
      <c r="A155" s="117" t="str">
        <f>+CONCATENATE(A53,"p")</f>
        <v>4630p</v>
      </c>
      <c r="B155" s="576" t="s">
        <v>365</v>
      </c>
      <c r="C155" s="577"/>
      <c r="D155" s="577"/>
      <c r="E155" s="577"/>
      <c r="F155" s="577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4">
        <f t="shared" si="21"/>
        <v>30244495.000000015</v>
      </c>
      <c r="T155" s="417">
        <f t="shared" si="22"/>
        <v>6.4858785836980773E-3</v>
      </c>
    </row>
    <row r="156" spans="1:20" ht="13.5" thickBot="1">
      <c r="A156" s="117"/>
      <c r="B156" s="365" t="s">
        <v>769</v>
      </c>
      <c r="C156" s="366"/>
      <c r="D156" s="366"/>
      <c r="E156" s="366"/>
      <c r="F156" s="366"/>
      <c r="G156" s="338">
        <v>0</v>
      </c>
      <c r="H156" s="338">
        <v>0</v>
      </c>
      <c r="I156" s="338">
        <v>0</v>
      </c>
      <c r="J156" s="338">
        <v>0</v>
      </c>
      <c r="K156" s="338">
        <v>70000000</v>
      </c>
      <c r="L156" s="338">
        <v>0</v>
      </c>
      <c r="M156" s="338">
        <v>0</v>
      </c>
      <c r="N156" s="338">
        <v>0</v>
      </c>
      <c r="O156" s="338">
        <v>0</v>
      </c>
      <c r="P156" s="338">
        <v>0</v>
      </c>
      <c r="Q156" s="338">
        <v>0</v>
      </c>
      <c r="R156" s="338">
        <v>0</v>
      </c>
      <c r="S156" s="404">
        <f t="shared" si="21"/>
        <v>70000000</v>
      </c>
      <c r="T156" s="417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72" t="s">
        <v>543</v>
      </c>
      <c r="C157" s="573"/>
      <c r="D157" s="573"/>
      <c r="E157" s="573"/>
      <c r="F157" s="573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7">
        <f t="shared" si="21"/>
        <v>-755272628.37245417</v>
      </c>
      <c r="T157" s="420">
        <f t="shared" si="22"/>
        <v>-0.16196688240998089</v>
      </c>
    </row>
    <row r="158" spans="1:20" ht="13.5" thickBot="1">
      <c r="A158" s="117" t="str">
        <f t="shared" si="31"/>
        <v>1003p</v>
      </c>
      <c r="B158" s="570" t="s">
        <v>544</v>
      </c>
      <c r="C158" s="571"/>
      <c r="D158" s="571"/>
      <c r="E158" s="571"/>
      <c r="F158" s="571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08">
        <f t="shared" si="21"/>
        <v>755272628.37245417</v>
      </c>
      <c r="T158" s="421">
        <f t="shared" si="22"/>
        <v>0.16196688240998089</v>
      </c>
    </row>
    <row r="159" spans="1:20">
      <c r="A159" s="117" t="str">
        <f t="shared" si="31"/>
        <v>7511p</v>
      </c>
      <c r="B159" s="574" t="s">
        <v>114</v>
      </c>
      <c r="C159" s="575"/>
      <c r="D159" s="575"/>
      <c r="E159" s="575"/>
      <c r="F159" s="575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4">
        <f t="shared" si="21"/>
        <v>0</v>
      </c>
      <c r="T159" s="417">
        <f t="shared" si="22"/>
        <v>0</v>
      </c>
    </row>
    <row r="160" spans="1:20">
      <c r="A160" s="117" t="str">
        <f t="shared" si="31"/>
        <v>7512p</v>
      </c>
      <c r="B160" s="576" t="s">
        <v>116</v>
      </c>
      <c r="C160" s="577"/>
      <c r="D160" s="577"/>
      <c r="E160" s="577"/>
      <c r="F160" s="577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4">
        <f t="shared" si="21"/>
        <v>739264348.56578732</v>
      </c>
      <c r="T160" s="417">
        <f t="shared" si="22"/>
        <v>0.15853393505344851</v>
      </c>
    </row>
    <row r="161" spans="1:20">
      <c r="A161" s="117" t="str">
        <f t="shared" si="31"/>
        <v>72p</v>
      </c>
      <c r="B161" s="576" t="s">
        <v>93</v>
      </c>
      <c r="C161" s="577"/>
      <c r="D161" s="577"/>
      <c r="E161" s="577"/>
      <c r="F161" s="577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4">
        <f t="shared" si="21"/>
        <v>16000000</v>
      </c>
      <c r="T161" s="417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09">
        <f t="shared" si="21"/>
        <v>8279.8066668957472</v>
      </c>
      <c r="T162" s="422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Analitika - 2014</vt:lpstr>
      <vt:lpstr>Pregled</vt:lpstr>
      <vt:lpstr>Analitika 2023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Milena Milovic</cp:lastModifiedBy>
  <cp:lastPrinted>2022-03-03T07:18:34Z</cp:lastPrinted>
  <dcterms:created xsi:type="dcterms:W3CDTF">2014-09-15T13:41:17Z</dcterms:created>
  <dcterms:modified xsi:type="dcterms:W3CDTF">2023-03-31T10:29:03Z</dcterms:modified>
</cp:coreProperties>
</file>