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cCEA4z7M1ZbmoMwUAj03hWWAXLAPTUM5iDaSFmSs7riJS4VzMKRIY7SNbbtFu9axsTV4H+Jw9mnWTmaXzEzDYw==" workbookSaltValue="3Oyhcxfe/y8VyBe86BNpIg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R62" i="11" l="1"/>
  <c r="R61" i="11"/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O10" i="1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3" i="11"/>
  <c r="R64" i="11"/>
  <c r="R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G5" i="19" l="1"/>
  <c r="H5" i="19"/>
  <c r="I5" i="19"/>
  <c r="J5" i="19"/>
  <c r="K5" i="19"/>
  <c r="L5" i="19"/>
  <c r="M5" i="19"/>
  <c r="N5" i="19"/>
  <c r="O5" i="19"/>
  <c r="P5" i="19"/>
  <c r="Q5" i="19"/>
  <c r="R5" i="19"/>
  <c r="G5" i="22" l="1"/>
  <c r="H5" i="22"/>
  <c r="I5" i="22"/>
  <c r="J5" i="22"/>
  <c r="H52" i="11" l="1"/>
  <c r="H61" i="11"/>
  <c r="H21" i="1" l="1"/>
  <c r="G21" i="1"/>
  <c r="H17" i="1"/>
  <c r="G17" i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T135" i="22" s="1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K129" i="22"/>
  <c r="J129" i="22"/>
  <c r="I129" i="22"/>
  <c r="H129" i="22"/>
  <c r="A129" i="22"/>
  <c r="A128" i="22"/>
  <c r="A127" i="22"/>
  <c r="S126" i="22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O103" i="22" s="1"/>
  <c r="N104" i="22"/>
  <c r="M104" i="22"/>
  <c r="L104" i="22"/>
  <c r="L103" i="22" s="1"/>
  <c r="K104" i="22"/>
  <c r="O30" i="11" s="1"/>
  <c r="J104" i="22"/>
  <c r="I104" i="22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P11" i="11" s="1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N40" i="11" s="1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N30" i="11" s="1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S12" i="22"/>
  <c r="T12" i="22" s="1"/>
  <c r="Q11" i="22"/>
  <c r="Q10" i="22" s="1"/>
  <c r="O11" i="22"/>
  <c r="O10" i="22" s="1"/>
  <c r="M11" i="22"/>
  <c r="K11" i="22"/>
  <c r="K10" i="22" s="1"/>
  <c r="N10" i="11" s="1"/>
  <c r="I11" i="22"/>
  <c r="I10" i="22" s="1"/>
  <c r="G11" i="22"/>
  <c r="R5" i="22"/>
  <c r="Q5" i="22"/>
  <c r="P5" i="22"/>
  <c r="O5" i="22"/>
  <c r="N5" i="22"/>
  <c r="M5" i="22"/>
  <c r="L5" i="22"/>
  <c r="K5" i="22"/>
  <c r="T132" i="22" l="1"/>
  <c r="H58" i="11"/>
  <c r="K103" i="22"/>
  <c r="O29" i="11" s="1"/>
  <c r="T137" i="22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L127" i="22"/>
  <c r="L133" i="22" s="1"/>
  <c r="L138" i="22" s="1"/>
  <c r="L134" i="22" s="1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K127" i="22" l="1"/>
  <c r="K53" i="22"/>
  <c r="N53" i="11" s="1"/>
  <c r="N29" i="11"/>
  <c r="Q29" i="11" s="1"/>
  <c r="K54" i="22"/>
  <c r="N54" i="11" s="1"/>
  <c r="J127" i="22"/>
  <c r="J128" i="22"/>
  <c r="I53" i="22"/>
  <c r="T129" i="22"/>
  <c r="H55" i="11"/>
  <c r="T114" i="22"/>
  <c r="H40" i="11"/>
  <c r="T104" i="22"/>
  <c r="H30" i="11"/>
  <c r="T93" i="22"/>
  <c r="H19" i="11"/>
  <c r="I127" i="22"/>
  <c r="I128" i="22" s="1"/>
  <c r="P10" i="1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L59" i="22"/>
  <c r="L64" i="22" s="1"/>
  <c r="L60" i="22" s="1"/>
  <c r="R53" i="22"/>
  <c r="R54" i="22" s="1"/>
  <c r="I59" i="22"/>
  <c r="Q59" i="22"/>
  <c r="Q64" i="22" s="1"/>
  <c r="Q60" i="22" s="1"/>
  <c r="L128" i="22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K128" i="22" l="1"/>
  <c r="O54" i="11" s="1"/>
  <c r="O53" i="11"/>
  <c r="K133" i="22"/>
  <c r="K59" i="22"/>
  <c r="K64" i="22" s="1"/>
  <c r="J133" i="22"/>
  <c r="J138" i="22"/>
  <c r="I64" i="22"/>
  <c r="I54" i="22"/>
  <c r="T103" i="22"/>
  <c r="H29" i="11"/>
  <c r="T84" i="22"/>
  <c r="H10" i="11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140" i="19"/>
  <c r="Q140" i="19"/>
  <c r="P140" i="19"/>
  <c r="O140" i="19"/>
  <c r="N140" i="19"/>
  <c r="M140" i="19"/>
  <c r="K138" i="22" l="1"/>
  <c r="O59" i="11"/>
  <c r="K134" i="22"/>
  <c r="O60" i="11" s="1"/>
  <c r="O64" i="11"/>
  <c r="N59" i="11"/>
  <c r="K60" i="22"/>
  <c r="N60" i="11" s="1"/>
  <c r="N64" i="11"/>
  <c r="J134" i="22"/>
  <c r="J64" i="22"/>
  <c r="I60" i="22"/>
  <c r="S54" i="22"/>
  <c r="T54" i="22" s="1"/>
  <c r="T127" i="22"/>
  <c r="H53" i="11"/>
  <c r="I138" i="22"/>
  <c r="Q59" i="1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J60" i="22" l="1"/>
  <c r="Q64" i="11"/>
  <c r="T128" i="22"/>
  <c r="H54" i="11"/>
  <c r="I54" i="11" s="1"/>
  <c r="T133" i="22"/>
  <c r="H59" i="11"/>
  <c r="I134" i="22"/>
  <c r="H60" i="22"/>
  <c r="I53" i="11"/>
  <c r="G20" i="1"/>
  <c r="H20" i="1" s="1"/>
  <c r="S64" i="22"/>
  <c r="T64" i="22" s="1"/>
  <c r="J53" i="11"/>
  <c r="G60" i="22"/>
  <c r="S60" i="22" s="1"/>
  <c r="T60" i="22" s="1"/>
  <c r="G59" i="11"/>
  <c r="S138" i="22"/>
  <c r="G134" i="22"/>
  <c r="GC35" i="6"/>
  <c r="GC28" i="6"/>
  <c r="GC23" i="6"/>
  <c r="GC18" i="6"/>
  <c r="GC10" i="6"/>
  <c r="J54" i="11" l="1"/>
  <c r="T138" i="22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<sst xmlns="http://schemas.openxmlformats.org/spreadsheetml/2006/main" count="1728" uniqueCount="828">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</sst>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maj 2021. godine iznosili su 628,6 mil. € ili 13,6%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manji su za 0,6 mil. € ili 0,1% u odnosu na planirane. U odnosu na isti period prethodne godine prihodi su veći za 13,0 mil. € ili 2,1%.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maj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792,2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17,1%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9,5 mil. € ili 1,2% u odnosu na isti period prethodne godine. U odnosu na planirane, izdaci su manji za 81,7 mil. € ili 9,3%. U periodu januar - maj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163,7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 i maj 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2021-05</v>
      </c>
      <c r="O6" s="143" t="str">
        <f>+CONCATENATE(N6,"p")</f>
        <v>2021-05p</v>
      </c>
      <c r="P6" s="130"/>
      <c r="Q6" s="130"/>
      <c r="R6" s="143" t="str">
        <f>+IF(Master!B3-10&gt;=0,CONCATENATE(Master!B4-1,"-",Master!B3),CONCATENATE(Master!B4-1,"-0",Master!B3))</f>
        <v>2020-05</v>
      </c>
      <c r="S6" s="130"/>
      <c r="T6" s="130"/>
    </row>
    <row r="7" spans="1:20">
      <c r="A7" s="144"/>
      <c r="B7" s="517" t="s">
        <v>692</v>
      </c>
      <c r="C7" s="518"/>
      <c r="D7" s="518"/>
      <c r="E7" s="518"/>
      <c r="F7" s="518"/>
      <c r="G7" s="526" t="s">
        <v>691</v>
      </c>
      <c r="H7" s="527"/>
      <c r="I7" s="527"/>
      <c r="J7" s="527"/>
      <c r="K7" s="527"/>
      <c r="L7" s="527"/>
      <c r="M7" s="528"/>
      <c r="N7" s="529" t="str">
        <f>+Master!G242</f>
        <v>Decembar</v>
      </c>
      <c r="O7" s="527"/>
      <c r="P7" s="527"/>
      <c r="Q7" s="527"/>
      <c r="R7" s="527"/>
      <c r="S7" s="527"/>
      <c r="T7" s="530"/>
    </row>
    <row r="8" spans="1:20">
      <c r="A8" s="144"/>
      <c r="B8" s="519"/>
      <c r="C8" s="520"/>
      <c r="D8" s="520"/>
      <c r="E8" s="520"/>
      <c r="F8" s="521"/>
      <c r="G8" s="145" t="str">
        <f>+Master!G25</f>
        <v>Ostvarenje</v>
      </c>
      <c r="H8" s="145" t="str">
        <f>+Master!G24</f>
        <v>Plan</v>
      </c>
      <c r="I8" s="515" t="str">
        <f>+Master!G260</f>
        <v>Odstupanje</v>
      </c>
      <c r="J8" s="515"/>
      <c r="K8" s="145" t="str">
        <f>+CONCATENATE(Master!G245," ",Master!B4-1)</f>
        <v>Jan - Maj 2020</v>
      </c>
      <c r="L8" s="515" t="str">
        <f>+I8</f>
        <v>Odstupanje</v>
      </c>
      <c r="M8" s="525"/>
      <c r="N8" s="146" t="str">
        <f>+G8</f>
        <v>Ostvarenje</v>
      </c>
      <c r="O8" s="145" t="str">
        <f>+H8</f>
        <v>Plan</v>
      </c>
      <c r="P8" s="515" t="str">
        <f>+I8</f>
        <v>Odstupanje</v>
      </c>
      <c r="Q8" s="515"/>
      <c r="R8" s="145" t="str">
        <f>+CONCATENATE(Master!G244," ",Master!B4-1)</f>
        <v>Maj 2020</v>
      </c>
      <c r="S8" s="515" t="str">
        <f>+P8</f>
        <v>Odstupanje</v>
      </c>
      <c r="T8" s="516"/>
    </row>
    <row r="9" spans="1:20" ht="15.7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489" t="e">
        <f>+VLOOKUP($A18,Master!$D$29:$G$225,4,FALSE)</f>
        <v>#N/A</v>
      </c>
      <c r="C18" s="490"/>
      <c r="D18" s="490"/>
      <c r="E18" s="490"/>
      <c r="F18" s="49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489" t="str">
        <f>+VLOOKUP($A19,Master!$D$29:$G$225,4,FALSE)</f>
        <v>Ostali državni porezi</v>
      </c>
      <c r="C19" s="490"/>
      <c r="D19" s="490"/>
      <c r="E19" s="490"/>
      <c r="F19" s="49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493" t="str">
        <f>+VLOOKUP($A20,Master!$D$29:$G$225,4,FALSE)</f>
        <v>Doprinosi</v>
      </c>
      <c r="C20" s="494"/>
      <c r="D20" s="494"/>
      <c r="E20" s="494"/>
      <c r="F20" s="494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489" t="str">
        <f>+VLOOKUP($A21,Master!$D$29:$G$225,4,FALSE)</f>
        <v>Doprinosi za penzijsko i invalidsko osiguranje</v>
      </c>
      <c r="C21" s="490"/>
      <c r="D21" s="490"/>
      <c r="E21" s="490"/>
      <c r="F21" s="49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489" t="str">
        <f>+VLOOKUP($A22,Master!$D$29:$G$225,4,FALSE)</f>
        <v>Doprinosi za zdravstveno osiguranje</v>
      </c>
      <c r="C22" s="490"/>
      <c r="D22" s="490"/>
      <c r="E22" s="490"/>
      <c r="F22" s="49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489" t="str">
        <f>+VLOOKUP($A23,Master!$D$29:$G$225,4,FALSE)</f>
        <v>Doprinosi za osiguranje od nezaposlenosti</v>
      </c>
      <c r="C23" s="490"/>
      <c r="D23" s="490"/>
      <c r="E23" s="490"/>
      <c r="F23" s="49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489" t="str">
        <f>+VLOOKUP($A24,Master!$D$29:$G$225,4,FALSE)</f>
        <v>Ostali doprinosi</v>
      </c>
      <c r="C24" s="490"/>
      <c r="D24" s="490"/>
      <c r="E24" s="490"/>
      <c r="F24" s="49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491" t="str">
        <f>+VLOOKUP($A25,Master!$D$29:$G$225,4,FALSE)</f>
        <v>Takse</v>
      </c>
      <c r="C25" s="492"/>
      <c r="D25" s="492"/>
      <c r="E25" s="492"/>
      <c r="F25" s="49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491" t="str">
        <f>+VLOOKUP($A26,Master!$D$29:$G$225,4,FALSE)</f>
        <v>Naknade</v>
      </c>
      <c r="C26" s="492"/>
      <c r="D26" s="492"/>
      <c r="E26" s="492"/>
      <c r="F26" s="49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491" t="str">
        <f>+VLOOKUP($A27,Master!$D$29:$G$225,4,FALSE)</f>
        <v>Ostali prihodi</v>
      </c>
      <c r="C27" s="492"/>
      <c r="D27" s="492"/>
      <c r="E27" s="492"/>
      <c r="F27" s="49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491" t="str">
        <f>+VLOOKUP($A28,Master!$D$29:$G$225,4,FALSE)</f>
        <v>Primici od otplate kredita i sredstva prenesena iz prethodne godine</v>
      </c>
      <c r="C28" s="492"/>
      <c r="D28" s="492"/>
      <c r="E28" s="492"/>
      <c r="F28" s="49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495" t="str">
        <f>+VLOOKUP($A29,Master!$D$29:$G$225,4,FALSE)</f>
        <v>Donacije i transferi</v>
      </c>
      <c r="C29" s="496"/>
      <c r="D29" s="496"/>
      <c r="E29" s="496"/>
      <c r="F29" s="496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497" t="str">
        <f>+VLOOKUP($A30,Master!$D$29:$G$225,4,FALSE)</f>
        <v>Izdaci budžeta</v>
      </c>
      <c r="C30" s="498"/>
      <c r="D30" s="498"/>
      <c r="E30" s="498"/>
      <c r="F30" s="498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499" t="str">
        <f>+VLOOKUP($A31,Master!$D$29:$G$225,4,FALSE)</f>
        <v>Tekući izdaci</v>
      </c>
      <c r="C31" s="500"/>
      <c r="D31" s="500"/>
      <c r="E31" s="500"/>
      <c r="F31" s="500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01" t="str">
        <f>+VLOOKUP($A32,Master!$D$29:$G$225,4,FALSE)</f>
        <v>Tekuća budžetska potrošnja</v>
      </c>
      <c r="C32" s="502"/>
      <c r="D32" s="502"/>
      <c r="E32" s="502"/>
      <c r="F32" s="502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489" t="str">
        <f>+VLOOKUP($A33,Master!$D$29:$G$225,4,FALSE)</f>
        <v>Bruto zarade i doprinosi na teret poslodavca</v>
      </c>
      <c r="C33" s="490"/>
      <c r="D33" s="490"/>
      <c r="E33" s="490"/>
      <c r="F33" s="49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489" t="str">
        <f>+VLOOKUP($A34,Master!$D$29:$G$225,4,FALSE)</f>
        <v>Ostala lična primanja</v>
      </c>
      <c r="C34" s="490"/>
      <c r="D34" s="490"/>
      <c r="E34" s="490"/>
      <c r="F34" s="49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489" t="str">
        <f>+VLOOKUP($A35,Master!$D$29:$G$225,4,FALSE)</f>
        <v>Rashodi za materijal</v>
      </c>
      <c r="C35" s="490"/>
      <c r="D35" s="490"/>
      <c r="E35" s="490"/>
      <c r="F35" s="49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489" t="str">
        <f>+VLOOKUP($A36,Master!$D$29:$G$225,4,FALSE)</f>
        <v>Rashodi za usluge</v>
      </c>
      <c r="C36" s="490"/>
      <c r="D36" s="490"/>
      <c r="E36" s="490"/>
      <c r="F36" s="49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489" t="str">
        <f>+VLOOKUP($A37,Master!$D$29:$G$225,4,FALSE)</f>
        <v>Rashodi za tekuće održavanje</v>
      </c>
      <c r="C37" s="490"/>
      <c r="D37" s="490"/>
      <c r="E37" s="490"/>
      <c r="F37" s="49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489" t="str">
        <f>+VLOOKUP($A38,Master!$D$29:$G$225,4,FALSE)</f>
        <v>Kamate</v>
      </c>
      <c r="C38" s="490"/>
      <c r="D38" s="490"/>
      <c r="E38" s="490"/>
      <c r="F38" s="49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489" t="str">
        <f>+VLOOKUP($A39,Master!$D$29:$G$225,4,FALSE)</f>
        <v>Renta</v>
      </c>
      <c r="C39" s="490"/>
      <c r="D39" s="490"/>
      <c r="E39" s="490"/>
      <c r="F39" s="49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489" t="str">
        <f>+VLOOKUP($A40,Master!$D$29:$G$225,4,FALSE)</f>
        <v>Subvencije</v>
      </c>
      <c r="C40" s="490"/>
      <c r="D40" s="490"/>
      <c r="E40" s="490"/>
      <c r="F40" s="49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489" t="str">
        <f>+VLOOKUP($A41,Master!$D$29:$G$225,4,FALSE)</f>
        <v>Ostali izdaci</v>
      </c>
      <c r="C41" s="490"/>
      <c r="D41" s="490"/>
      <c r="E41" s="490"/>
      <c r="F41" s="49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489" t="e">
        <f>+VLOOKUP($A42,Master!$D$29:$G$225,4,FALSE)</f>
        <v>#N/A</v>
      </c>
      <c r="C42" s="490"/>
      <c r="D42" s="490"/>
      <c r="E42" s="490"/>
      <c r="F42" s="49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05" t="str">
        <f>+VLOOKUP($A43,Master!$D$29:$G$225,4,FALSE)</f>
        <v>Transferi za socijalnu zaštitu</v>
      </c>
      <c r="C43" s="506"/>
      <c r="D43" s="506"/>
      <c r="E43" s="506"/>
      <c r="F43" s="50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489" t="str">
        <f>+VLOOKUP($A44,Master!$D$29:$G$225,4,FALSE)</f>
        <v>Prava iz oblasti socijalne zaštite</v>
      </c>
      <c r="C44" s="490"/>
      <c r="D44" s="490"/>
      <c r="E44" s="490"/>
      <c r="F44" s="49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489" t="str">
        <f>+VLOOKUP($A45,Master!$D$29:$G$225,4,FALSE)</f>
        <v>Sredstva za tehnološke viškove</v>
      </c>
      <c r="C45" s="490"/>
      <c r="D45" s="490"/>
      <c r="E45" s="490"/>
      <c r="F45" s="49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489" t="str">
        <f>+VLOOKUP($A46,Master!$D$29:$G$225,4,FALSE)</f>
        <v>Prava iz oblasti penzijskog i invalidskog osiguranja</v>
      </c>
      <c r="C46" s="490"/>
      <c r="D46" s="490"/>
      <c r="E46" s="490"/>
      <c r="F46" s="49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489" t="str">
        <f>+VLOOKUP($A47,Master!$D$29:$G$225,4,FALSE)</f>
        <v>Ostala prava iz oblasti zdravstvene zaštite</v>
      </c>
      <c r="C47" s="490"/>
      <c r="D47" s="490"/>
      <c r="E47" s="490"/>
      <c r="F47" s="49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489" t="str">
        <f>+VLOOKUP($A48,Master!$D$29:$G$225,4,FALSE)</f>
        <v>Ostala prava iz zdravstvenog osiguranja</v>
      </c>
      <c r="C48" s="490"/>
      <c r="D48" s="490"/>
      <c r="E48" s="490"/>
      <c r="F48" s="49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03" t="str">
        <f>+VLOOKUP($A49,Master!$D$29:$G$225,4,FALSE)</f>
        <v xml:space="preserve">Transferi institucijama, pojedincima, nevladinom i javnom sektoru </v>
      </c>
      <c r="C49" s="504"/>
      <c r="D49" s="504"/>
      <c r="E49" s="504"/>
      <c r="F49" s="50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03" t="str">
        <f>+VLOOKUP($A50,Master!$D$29:$G$225,4,FALSE)</f>
        <v>Kapitalni izdaci</v>
      </c>
      <c r="C50" s="504"/>
      <c r="D50" s="504"/>
      <c r="E50" s="504"/>
      <c r="F50" s="50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7" t="str">
        <f>+VLOOKUP($A51,Master!$D$29:$G$225,4,FALSE)</f>
        <v>Pozajmice i krediti</v>
      </c>
      <c r="C51" s="508"/>
      <c r="D51" s="508"/>
      <c r="E51" s="508"/>
      <c r="F51" s="50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7" t="str">
        <f>+VLOOKUP($A52,Master!$D$29:$G$225,4,FALSE)</f>
        <v>Rezerve</v>
      </c>
      <c r="C52" s="508"/>
      <c r="D52" s="508"/>
      <c r="E52" s="508"/>
      <c r="F52" s="50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9" t="str">
        <f>+VLOOKUP($A53,Master!$D$29:$G$225,4,FALSE)</f>
        <v>Otplata garancija</v>
      </c>
      <c r="C53" s="510"/>
      <c r="D53" s="510"/>
      <c r="E53" s="510"/>
      <c r="F53" s="510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9" t="str">
        <f>+VLOOKUP($A54,Master!$D$29:$G$225,4,FALSE)</f>
        <v>Otplata obaveza iz prethodnog perioda</v>
      </c>
      <c r="C54" s="510"/>
      <c r="D54" s="510"/>
      <c r="E54" s="510"/>
      <c r="F54" s="510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9" t="str">
        <f>+VLOOKUP($A55,Master!$D$29:$G$227,4,FALSE)</f>
        <v>Neto povećanje obaveza</v>
      </c>
      <c r="C55" s="510"/>
      <c r="D55" s="510"/>
      <c r="E55" s="510"/>
      <c r="F55" s="510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Suficit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Primarni suficit/deficit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05" t="str">
        <f>+VLOOKUP($A58,Master!$D$29:$G$225,4,FALSE)</f>
        <v>Otplata dugova</v>
      </c>
      <c r="C58" s="506"/>
      <c r="D58" s="506"/>
      <c r="E58" s="506"/>
      <c r="F58" s="50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1" t="str">
        <f>+VLOOKUP($A59,Master!$D$29:$G$225,4,FALSE)</f>
        <v>Otplata hartija od vrijednosti i kredita rezidentima</v>
      </c>
      <c r="C59" s="532"/>
      <c r="D59" s="532"/>
      <c r="E59" s="532"/>
      <c r="F59" s="532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7" t="str">
        <f>+VLOOKUP($A60,Master!$D$29:$G$225,4,FALSE)</f>
        <v>Otplata hartija od vrijednosti i kredita nerezidentima</v>
      </c>
      <c r="C60" s="508"/>
      <c r="D60" s="508"/>
      <c r="E60" s="508"/>
      <c r="F60" s="50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33" t="str">
        <f>+VLOOKUP($A62,Master!$D$29:$G$225,4,FALSE)</f>
        <v>Nedostajuća sredstva</v>
      </c>
      <c r="C62" s="534"/>
      <c r="D62" s="534"/>
      <c r="E62" s="534"/>
      <c r="F62" s="53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497" t="str">
        <f>+VLOOKUP($A63,Master!$D$29:$G$225,4,FALSE)</f>
        <v>Finansiranje</v>
      </c>
      <c r="C63" s="498"/>
      <c r="D63" s="498"/>
      <c r="E63" s="498"/>
      <c r="F63" s="498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1" t="str">
        <f>+VLOOKUP($A64,Master!$D$29:$G$225,4,FALSE)</f>
        <v>Pozajmice i krediti od domaćih izvora</v>
      </c>
      <c r="C64" s="532"/>
      <c r="D64" s="532"/>
      <c r="E64" s="532"/>
      <c r="F64" s="532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7" t="str">
        <f>+VLOOKUP($A65,Master!$D$29:$G$225,4,FALSE)</f>
        <v>Pozajmice i krediti od inostranih izvora</v>
      </c>
      <c r="C65" s="508"/>
      <c r="D65" s="508"/>
      <c r="E65" s="508"/>
      <c r="F65" s="50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7" t="str">
        <f>+VLOOKUP($A66,Master!$D$29:$G$225,4,FALSE)</f>
        <v>Primici od prodaje imovine</v>
      </c>
      <c r="C66" s="508"/>
      <c r="D66" s="508"/>
      <c r="E66" s="508"/>
      <c r="F66" s="50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6" sqref="H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Maj</v>
      </c>
      <c r="E11" s="135"/>
      <c r="F11" s="135"/>
      <c r="G11" s="137" t="str">
        <f>+Master!G273</f>
        <v>Prihodi za period Januar - Maj</v>
      </c>
      <c r="H11" s="135"/>
      <c r="I11" s="135"/>
      <c r="J11" s="135"/>
      <c r="K11" s="136"/>
    </row>
    <row r="12" spans="3:11">
      <c r="C12" s="134"/>
      <c r="D12" s="138">
        <f>+'Analitka - 2021'!N10</f>
        <v>136077973.88</v>
      </c>
      <c r="E12" s="456">
        <f>+D12/'2021'!T7</f>
        <v>2.9348655023077253E-2</v>
      </c>
      <c r="F12" s="135"/>
      <c r="G12" s="138">
        <f>+'Analitka - 2021'!G10</f>
        <v>628598522.58000004</v>
      </c>
      <c r="H12" s="456">
        <f>+G12/'2021'!T7</f>
        <v>0.13557316192468621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Maj</v>
      </c>
      <c r="E15" s="135"/>
      <c r="F15" s="135"/>
      <c r="G15" s="137" t="str">
        <f>+Master!G274</f>
        <v>Rashodi za period Januar - Maj</v>
      </c>
      <c r="H15" s="135"/>
      <c r="I15" s="135"/>
      <c r="J15" s="135"/>
      <c r="K15" s="136"/>
    </row>
    <row r="16" spans="3:11">
      <c r="C16" s="134"/>
      <c r="D16" s="138">
        <f>+'Analitka - 2021'!N29</f>
        <v>156171645.39000005</v>
      </c>
      <c r="E16" s="456">
        <f>+D16/'2021'!T7</f>
        <v>3.3682363238148653E-2</v>
      </c>
      <c r="F16" s="135"/>
      <c r="G16" s="138">
        <f>+'Analitka - 2021'!G29</f>
        <v>792249465.57999992</v>
      </c>
      <c r="H16" s="456">
        <f>+G16/'2021'!T7</f>
        <v>0.17086862476383555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Maj</v>
      </c>
      <c r="E19" s="135"/>
      <c r="F19" s="135"/>
      <c r="G19" s="137" t="str">
        <f>+Master!G275</f>
        <v>Suficit/Deficit za period Januar - Maj</v>
      </c>
      <c r="H19" s="135"/>
      <c r="I19" s="135"/>
      <c r="J19" s="135"/>
      <c r="K19" s="136"/>
    </row>
    <row r="20" spans="3:12">
      <c r="C20" s="134"/>
      <c r="D20" s="138">
        <f>+'Analitka - 2021'!N53</f>
        <v>-20093671.51000005</v>
      </c>
      <c r="E20" s="456">
        <f>+D20/'2021'!T7</f>
        <v>-4.3337082150713994E-3</v>
      </c>
      <c r="F20" s="135"/>
      <c r="G20" s="138">
        <f>+'Analitka - 2021'!G53</f>
        <v>-163650943.00000003</v>
      </c>
      <c r="H20" s="456">
        <f>+G20/'2021'!T7</f>
        <v>-3.5295462839149382E-2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AFParKi14pkOi3carjfr+9O1C7gOr5+3zbfbCvazhmZZvX0AGDoRjJNrlDGPPYZ6r78PGlMj1CpnNAdLzAyyFA==" saltValue="Z1BYCIY4dxSHCcFLz8wp7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6" sqref="G16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2021-05</v>
      </c>
      <c r="O6" s="143" t="str">
        <f>+CONCATENATE(N6,"p")</f>
        <v>2021-05p</v>
      </c>
      <c r="P6" s="130"/>
      <c r="Q6" s="130"/>
      <c r="R6" s="143" t="str">
        <f>+IF(Master!B3-10&gt;=0,CONCATENATE(Master!B4-1,"-",Master!B3),CONCATENATE(Master!B4-1,"-0",Master!B3))</f>
        <v>2020-05</v>
      </c>
      <c r="S6" s="130"/>
      <c r="T6" s="130"/>
    </row>
    <row r="7" spans="1:20">
      <c r="A7" s="144"/>
      <c r="B7" s="517" t="str">
        <f>+Master!G253</f>
        <v>Analitika za period Jan - Maj</v>
      </c>
      <c r="C7" s="518"/>
      <c r="D7" s="518"/>
      <c r="E7" s="518"/>
      <c r="F7" s="518"/>
      <c r="G7" s="526" t="str">
        <f>+Master!G245</f>
        <v>Jan - Maj</v>
      </c>
      <c r="H7" s="527"/>
      <c r="I7" s="527"/>
      <c r="J7" s="527"/>
      <c r="K7" s="527"/>
      <c r="L7" s="527"/>
      <c r="M7" s="528"/>
      <c r="N7" s="529" t="str">
        <f>+Master!G244</f>
        <v>Maj</v>
      </c>
      <c r="O7" s="527"/>
      <c r="P7" s="527"/>
      <c r="Q7" s="527"/>
      <c r="R7" s="527"/>
      <c r="S7" s="527"/>
      <c r="T7" s="530"/>
    </row>
    <row r="8" spans="1:20">
      <c r="A8" s="144"/>
      <c r="B8" s="519"/>
      <c r="C8" s="520"/>
      <c r="D8" s="520"/>
      <c r="E8" s="520"/>
      <c r="F8" s="521"/>
      <c r="G8" s="358" t="str">
        <f>+Master!G25</f>
        <v>Ostvarenje</v>
      </c>
      <c r="H8" s="145" t="str">
        <f>+Master!G24</f>
        <v>Plan</v>
      </c>
      <c r="I8" s="515" t="str">
        <f>+Master!G260</f>
        <v>Odstupanje</v>
      </c>
      <c r="J8" s="515"/>
      <c r="K8" s="145" t="str">
        <f>+CONCATENATE(Master!G245," ",Master!B4-1)</f>
        <v>Jan - Maj 2020</v>
      </c>
      <c r="L8" s="515" t="str">
        <f>+I8</f>
        <v>Odstupanje</v>
      </c>
      <c r="M8" s="525"/>
      <c r="N8" s="146" t="str">
        <f>+G8</f>
        <v>Ostvarenje</v>
      </c>
      <c r="O8" s="145" t="str">
        <f>+H8</f>
        <v>Plan</v>
      </c>
      <c r="P8" s="515" t="str">
        <f>+I8</f>
        <v>Odstupanje</v>
      </c>
      <c r="Q8" s="515"/>
      <c r="R8" s="145" t="str">
        <f>+CONCATENATE(Master!G244," ",Master!B4-1)</f>
        <v>Maj 2020</v>
      </c>
      <c r="S8" s="515" t="str">
        <f>+P8</f>
        <v>Odstupanje</v>
      </c>
      <c r="T8" s="516"/>
    </row>
    <row r="9" spans="1:20" ht="15.75" thickBot="1">
      <c r="A9" s="144"/>
      <c r="B9" s="522"/>
      <c r="C9" s="523"/>
      <c r="D9" s="523"/>
      <c r="E9" s="523"/>
      <c r="F9" s="524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97" t="str">
        <f>+VLOOKUP($A10,Master!$D$29:$G$225,4,FALSE)</f>
        <v>Prihodi budžeta</v>
      </c>
      <c r="C10" s="498"/>
      <c r="D10" s="498"/>
      <c r="E10" s="498"/>
      <c r="F10" s="498"/>
      <c r="G10" s="151">
        <f>'2021'!S10</f>
        <v>628598522.58000004</v>
      </c>
      <c r="H10" s="151">
        <f>'2021'!S84</f>
        <v>629242944.27435207</v>
      </c>
      <c r="I10" s="152">
        <f>+G10-H10</f>
        <v>-644421.69435203075</v>
      </c>
      <c r="J10" s="154">
        <f>IF(+IF(ISERROR(G10/H10),"…",G10/H10-1)&gt;200%,"...",IF(ISERROR(G10/H10),"…",G10/H10-1))</f>
        <v>-1.0241222412039619E-3</v>
      </c>
      <c r="K10" s="151">
        <f>SUM('2020'!G10:K10)</f>
        <v>615632561.84000003</v>
      </c>
      <c r="L10" s="152">
        <f>+G10-K10</f>
        <v>12965960.74000001</v>
      </c>
      <c r="M10" s="154">
        <f>IF(+IF(ISERROR(G10/K10),"…",G10/K10-1)&gt;200%,"...",IF(ISERROR(G10/K10),"…",G10/K10-1))</f>
        <v>2.1061200371285338E-2</v>
      </c>
      <c r="N10" s="151">
        <f>'2021'!K10</f>
        <v>136077973.88</v>
      </c>
      <c r="O10" s="151">
        <f>'2021'!K84</f>
        <v>140936064.47198033</v>
      </c>
      <c r="P10" s="152">
        <f>+N10-O10</f>
        <v>-4858090.5919803381</v>
      </c>
      <c r="Q10" s="154">
        <f>IF(+IF(ISERROR(N10/O10),"…",N10/O10-1)&gt;200%,"...",IF(ISERROR(N10/O10),"…",N10/O10-1))</f>
        <v>-3.4470173480303012E-2</v>
      </c>
      <c r="R10" s="151">
        <f>'2020'!K10</f>
        <v>115332083.44000001</v>
      </c>
      <c r="S10" s="152">
        <f>+N10-R10</f>
        <v>20745890.439999983</v>
      </c>
      <c r="T10" s="154">
        <f>IF(+IF(ISERROR(N10/R10),"…",N10/R10-1)&gt;200%,"...",IF(ISERROR(N10/R10),"…",N10/R10-1))</f>
        <v>0.17987961217047421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277">
        <f>'2021'!S11</f>
        <v>404505174.12</v>
      </c>
      <c r="H11" s="277">
        <f>'2021'!S85</f>
        <v>391475135.81472647</v>
      </c>
      <c r="I11" s="158">
        <f t="shared" ref="I11:I57" si="0">+G11-H11</f>
        <v>13030038.305273533</v>
      </c>
      <c r="J11" s="160">
        <f t="shared" ref="J11:J64" si="1">IF(+IF(ISERROR(G11/H11-1),"…",G11/H11-1)&gt;200%,"...",IF(ISERROR(G11/H11-1),"…",G11/H11-1))</f>
        <v>3.3284459505086517E-2</v>
      </c>
      <c r="K11" s="277">
        <f>SUM('2020'!G11:K11)</f>
        <v>401891762.31</v>
      </c>
      <c r="L11" s="158">
        <f>+G11-K11</f>
        <v>2613411.8100000024</v>
      </c>
      <c r="M11" s="160">
        <f t="shared" ref="M11:M64" si="2">IF(+IF(ISERROR(G11/K11),"…",G11/K11-1)&gt;200%,"...",IF(ISERROR(G11/K11),"…",G11/K11-1))</f>
        <v>6.5027752621218404E-3</v>
      </c>
      <c r="N11" s="277">
        <f>'2021'!K11</f>
        <v>83251772.959999993</v>
      </c>
      <c r="O11" s="277">
        <f>'2021'!K85</f>
        <v>86472186.077547565</v>
      </c>
      <c r="P11" s="158">
        <f>+N11-O11</f>
        <v>-3220413.1175475717</v>
      </c>
      <c r="Q11" s="160">
        <f t="shared" ref="Q11:Q64" si="3">IF(+IF(ISERROR(N11/O11),"…",N11/O11-1)&gt;200%,"...",IF(ISERROR(N11/O11),"…",N11/O11-1))</f>
        <v>-3.7242184610199791E-2</v>
      </c>
      <c r="R11" s="277">
        <f>'2020'!K11</f>
        <v>69752758.120000005</v>
      </c>
      <c r="S11" s="158">
        <f t="shared" ref="S11:S57" si="4">+N11-R11</f>
        <v>13499014.839999989</v>
      </c>
      <c r="T11" s="160">
        <f t="shared" ref="T11:T64" si="5">IF(+IF(ISERROR(N11/R11),"…",N11/R11-1)&gt;200%,"...",IF(ISERROR(N11/R11),"…",N11/R11-1))</f>
        <v>0.1935266103281077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f>'2021'!S12</f>
        <v>42105248.439999998</v>
      </c>
      <c r="H12" s="163">
        <f>'2021'!S86</f>
        <v>44974612.645816356</v>
      </c>
      <c r="I12" s="164">
        <f t="shared" si="0"/>
        <v>-2869364.2058163583</v>
      </c>
      <c r="J12" s="166">
        <f t="shared" si="1"/>
        <v>-6.3799642443018834E-2</v>
      </c>
      <c r="K12" s="163">
        <f>SUM('2020'!G12:K12)</f>
        <v>40885667.490000002</v>
      </c>
      <c r="L12" s="164">
        <f>+G12-K12</f>
        <v>1219580.9499999955</v>
      </c>
      <c r="M12" s="166">
        <f t="shared" si="2"/>
        <v>2.9829058075138137E-2</v>
      </c>
      <c r="N12" s="163">
        <f>'2021'!K12</f>
        <v>10107603.84</v>
      </c>
      <c r="O12" s="163">
        <f>'2021'!K86</f>
        <v>11290988.033631157</v>
      </c>
      <c r="P12" s="164">
        <f t="shared" ref="P12:P57" si="6">+N12-O12</f>
        <v>-1183384.1936311573</v>
      </c>
      <c r="Q12" s="166">
        <f t="shared" si="3"/>
        <v>-0.10480785119126401</v>
      </c>
      <c r="R12" s="163">
        <f>'2020'!K12</f>
        <v>10104597.5</v>
      </c>
      <c r="S12" s="164">
        <f t="shared" si="4"/>
        <v>3006.339999999851</v>
      </c>
      <c r="T12" s="166">
        <f t="shared" si="5"/>
        <v>2.975219943199825E-4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f>'2021'!S13</f>
        <v>52848820.409999996</v>
      </c>
      <c r="H13" s="163">
        <f>'2021'!S87</f>
        <v>39512865.342239209</v>
      </c>
      <c r="I13" s="164">
        <f t="shared" si="0"/>
        <v>13335955.067760788</v>
      </c>
      <c r="J13" s="166">
        <f t="shared" si="1"/>
        <v>0.33750918725462986</v>
      </c>
      <c r="K13" s="163">
        <f>SUM('2020'!G13:K13)</f>
        <v>53370237.649999999</v>
      </c>
      <c r="L13" s="164">
        <f t="shared" ref="L13:L57" si="7">+G13-K13</f>
        <v>-521417.24000000209</v>
      </c>
      <c r="M13" s="166">
        <f t="shared" si="2"/>
        <v>-9.7698129699071989E-3</v>
      </c>
      <c r="N13" s="163">
        <f>'2021'!K13</f>
        <v>4206538.32</v>
      </c>
      <c r="O13" s="163">
        <f>'2021'!K87</f>
        <v>4257249.1648057941</v>
      </c>
      <c r="P13" s="164">
        <f t="shared" si="6"/>
        <v>-50710.844805793837</v>
      </c>
      <c r="Q13" s="166">
        <f t="shared" si="3"/>
        <v>-1.1911645957914496E-2</v>
      </c>
      <c r="R13" s="163">
        <f>'2020'!K13</f>
        <v>4691004.47</v>
      </c>
      <c r="S13" s="164">
        <f t="shared" si="4"/>
        <v>-484466.14999999944</v>
      </c>
      <c r="T13" s="166">
        <f t="shared" si="5"/>
        <v>-0.10327556775915825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f>'2021'!S14</f>
        <v>602256.56999999995</v>
      </c>
      <c r="H14" s="163">
        <f>'2021'!S88</f>
        <v>663020.94989653386</v>
      </c>
      <c r="I14" s="164">
        <f t="shared" si="0"/>
        <v>-60764.379896533908</v>
      </c>
      <c r="J14" s="166">
        <f t="shared" si="1"/>
        <v>-9.1647752466971544E-2</v>
      </c>
      <c r="K14" s="163">
        <f>SUM('2020'!G14:K14)</f>
        <v>625609.21</v>
      </c>
      <c r="L14" s="164">
        <f t="shared" si="7"/>
        <v>-23352.640000000014</v>
      </c>
      <c r="M14" s="166">
        <f t="shared" si="2"/>
        <v>-3.7327839211318548E-2</v>
      </c>
      <c r="N14" s="163">
        <f>'2021'!K14</f>
        <v>152712.75</v>
      </c>
      <c r="O14" s="163">
        <f>'2021'!K88</f>
        <v>111533.48833422075</v>
      </c>
      <c r="P14" s="164">
        <f t="shared" si="6"/>
        <v>41179.261665779253</v>
      </c>
      <c r="Q14" s="166">
        <f t="shared" si="3"/>
        <v>0.36920984253968325</v>
      </c>
      <c r="R14" s="163">
        <f>'2020'!K14</f>
        <v>95187.63</v>
      </c>
      <c r="S14" s="164">
        <f t="shared" si="4"/>
        <v>57525.119999999995</v>
      </c>
      <c r="T14" s="166">
        <f t="shared" si="5"/>
        <v>0.60433398751497425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f>'2021'!S15</f>
        <v>218788973.43000001</v>
      </c>
      <c r="H15" s="163">
        <f>'2021'!S89</f>
        <v>219335194.77898976</v>
      </c>
      <c r="I15" s="164">
        <f t="shared" si="0"/>
        <v>-546221.34898975492</v>
      </c>
      <c r="J15" s="166">
        <f t="shared" si="1"/>
        <v>-2.4903497568647959E-3</v>
      </c>
      <c r="K15" s="163">
        <f>SUM('2020'!G15:K15)</f>
        <v>216664012.43000001</v>
      </c>
      <c r="L15" s="164">
        <f t="shared" si="7"/>
        <v>2124961</v>
      </c>
      <c r="M15" s="166">
        <f t="shared" si="2"/>
        <v>9.8076324543585613E-3</v>
      </c>
      <c r="N15" s="163">
        <f>'2021'!K15</f>
        <v>46983393.619999997</v>
      </c>
      <c r="O15" s="163">
        <f>'2021'!K89</f>
        <v>49784274.004661478</v>
      </c>
      <c r="P15" s="164">
        <f t="shared" si="6"/>
        <v>-2800880.3846614808</v>
      </c>
      <c r="Q15" s="166">
        <f t="shared" si="3"/>
        <v>-5.6260344067671331E-2</v>
      </c>
      <c r="R15" s="163">
        <f>'2020'!K15</f>
        <v>38250745.619999997</v>
      </c>
      <c r="S15" s="164">
        <f t="shared" si="4"/>
        <v>8732648</v>
      </c>
      <c r="T15" s="166">
        <f t="shared" si="5"/>
        <v>0.22830007254640283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f>'2021'!S16</f>
        <v>76512499.549999997</v>
      </c>
      <c r="H16" s="163">
        <f>'2021'!S90</f>
        <v>73389935.903757095</v>
      </c>
      <c r="I16" s="164">
        <f t="shared" si="0"/>
        <v>3122563.6462429017</v>
      </c>
      <c r="J16" s="166">
        <f t="shared" si="1"/>
        <v>4.2547572876174833E-2</v>
      </c>
      <c r="K16" s="163">
        <f>SUM('2020'!G16:K16)</f>
        <v>77477192.700000003</v>
      </c>
      <c r="L16" s="164">
        <f t="shared" si="7"/>
        <v>-964693.15000000596</v>
      </c>
      <c r="M16" s="166">
        <f t="shared" si="2"/>
        <v>-1.24513178185921E-2</v>
      </c>
      <c r="N16" s="163">
        <f>'2021'!K16</f>
        <v>18572804.940000001</v>
      </c>
      <c r="O16" s="163">
        <f>'2021'!K90</f>
        <v>18017636.470285777</v>
      </c>
      <c r="P16" s="164">
        <f t="shared" si="6"/>
        <v>555168.46971422434</v>
      </c>
      <c r="Q16" s="166">
        <f t="shared" si="3"/>
        <v>3.0812502551585741E-2</v>
      </c>
      <c r="R16" s="163">
        <f>'2020'!K16</f>
        <v>14366315.76</v>
      </c>
      <c r="S16" s="164">
        <f t="shared" si="4"/>
        <v>4206489.1800000016</v>
      </c>
      <c r="T16" s="166">
        <f t="shared" si="5"/>
        <v>0.29280222224490493</v>
      </c>
    </row>
    <row r="17" spans="1:20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f>'2021'!S17</f>
        <v>9528185.4399999995</v>
      </c>
      <c r="H17" s="163">
        <f>'2021'!S91</f>
        <v>9475331.4208385162</v>
      </c>
      <c r="I17" s="164">
        <f t="shared" si="0"/>
        <v>52854.019161483273</v>
      </c>
      <c r="J17" s="166">
        <f t="shared" si="1"/>
        <v>5.5780654854187262E-3</v>
      </c>
      <c r="K17" s="163">
        <f>SUM('2020'!G17:K17)</f>
        <v>9137926.379999999</v>
      </c>
      <c r="L17" s="164">
        <f t="shared" si="7"/>
        <v>390259.06000000052</v>
      </c>
      <c r="M17" s="166">
        <f t="shared" si="2"/>
        <v>4.2707616998770348E-2</v>
      </c>
      <c r="N17" s="163">
        <f>'2021'!K17</f>
        <v>2352710.86</v>
      </c>
      <c r="O17" s="163">
        <f>'2021'!K91</f>
        <v>2143800.2553452319</v>
      </c>
      <c r="P17" s="164">
        <f t="shared" si="6"/>
        <v>208910.60465476802</v>
      </c>
      <c r="Q17" s="166">
        <f t="shared" si="3"/>
        <v>9.7448726453820411E-2</v>
      </c>
      <c r="R17" s="163">
        <f>'2020'!K17</f>
        <v>1588906.58</v>
      </c>
      <c r="S17" s="164">
        <f t="shared" si="4"/>
        <v>763804.2799999998</v>
      </c>
      <c r="T17" s="166">
        <f t="shared" si="5"/>
        <v>0.48071062805970621</v>
      </c>
    </row>
    <row r="18" spans="1:20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f>'2021'!S18</f>
        <v>4119190.2800000003</v>
      </c>
      <c r="H18" s="163">
        <f>'2021'!S92</f>
        <v>4124174.7731890278</v>
      </c>
      <c r="I18" s="164">
        <f t="shared" si="0"/>
        <v>-4984.4931890275329</v>
      </c>
      <c r="J18" s="166">
        <f t="shared" si="1"/>
        <v>-1.2086037724277077E-3</v>
      </c>
      <c r="K18" s="163">
        <f>SUM('2020'!G18:K18)</f>
        <v>3731116.45</v>
      </c>
      <c r="L18" s="164">
        <f t="shared" si="7"/>
        <v>388073.83000000007</v>
      </c>
      <c r="M18" s="166">
        <f t="shared" si="2"/>
        <v>0.1040101093601622</v>
      </c>
      <c r="N18" s="163">
        <f>'2021'!K18</f>
        <v>876008.63</v>
      </c>
      <c r="O18" s="163">
        <f>'2021'!K92</f>
        <v>866704.6604839178</v>
      </c>
      <c r="P18" s="164">
        <f t="shared" si="6"/>
        <v>9303.9695160822012</v>
      </c>
      <c r="Q18" s="166">
        <f t="shared" si="3"/>
        <v>1.0734878835066297E-2</v>
      </c>
      <c r="R18" s="163">
        <f>'2020'!K18</f>
        <v>656000.56000000006</v>
      </c>
      <c r="S18" s="164">
        <f t="shared" si="4"/>
        <v>220008.06999999995</v>
      </c>
      <c r="T18" s="166">
        <f t="shared" si="5"/>
        <v>0.33537786918962365</v>
      </c>
    </row>
    <row r="19" spans="1:20">
      <c r="A19" s="150">
        <v>712</v>
      </c>
      <c r="B19" s="491" t="str">
        <f>+VLOOKUP($A19,Master!$D$29:$G$225,4,FALSE)</f>
        <v>Doprinosi</v>
      </c>
      <c r="C19" s="492"/>
      <c r="D19" s="492"/>
      <c r="E19" s="492"/>
      <c r="F19" s="492"/>
      <c r="G19" s="169">
        <f>'2021'!S19</f>
        <v>187861901.63</v>
      </c>
      <c r="H19" s="169">
        <f>'2021'!S93</f>
        <v>194168846.42206749</v>
      </c>
      <c r="I19" s="170">
        <f t="shared" si="0"/>
        <v>-6306944.792067498</v>
      </c>
      <c r="J19" s="172">
        <f t="shared" si="1"/>
        <v>-3.2481754453842715E-2</v>
      </c>
      <c r="K19" s="169">
        <f>SUM('2020'!G19:K19)</f>
        <v>177513704.63</v>
      </c>
      <c r="L19" s="170">
        <f t="shared" si="7"/>
        <v>10348197</v>
      </c>
      <c r="M19" s="172">
        <f t="shared" si="2"/>
        <v>5.8295200483642784E-2</v>
      </c>
      <c r="N19" s="169">
        <f>'2021'!K19</f>
        <v>44073764.859999999</v>
      </c>
      <c r="O19" s="169">
        <f>'2021'!K93</f>
        <v>42613063.500795782</v>
      </c>
      <c r="P19" s="170">
        <f t="shared" si="6"/>
        <v>1460701.3592042178</v>
      </c>
      <c r="Q19" s="172">
        <f t="shared" si="3"/>
        <v>3.4278252704758927E-2</v>
      </c>
      <c r="R19" s="169">
        <f>'2020'!K19</f>
        <v>40418289.450000003</v>
      </c>
      <c r="S19" s="170">
        <f t="shared" si="4"/>
        <v>3655475.4099999964</v>
      </c>
      <c r="T19" s="172">
        <f t="shared" si="5"/>
        <v>9.04411210801499E-2</v>
      </c>
    </row>
    <row r="20" spans="1:20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f>'2021'!S20</f>
        <v>115839239.68000001</v>
      </c>
      <c r="H20" s="163">
        <f>'2021'!S94</f>
        <v>117954455.24166393</v>
      </c>
      <c r="I20" s="164">
        <f t="shared" si="0"/>
        <v>-2115215.5616639256</v>
      </c>
      <c r="J20" s="166">
        <f t="shared" si="1"/>
        <v>-1.79324770508269E-2</v>
      </c>
      <c r="K20" s="163">
        <f>SUM('2020'!G20:K20)</f>
        <v>110702168.08</v>
      </c>
      <c r="L20" s="164">
        <f t="shared" si="7"/>
        <v>5137071.6000000089</v>
      </c>
      <c r="M20" s="166">
        <f t="shared" si="2"/>
        <v>4.6404435333982308E-2</v>
      </c>
      <c r="N20" s="163">
        <f>'2021'!K20</f>
        <v>27398377.559999999</v>
      </c>
      <c r="O20" s="163">
        <f>'2021'!K94</f>
        <v>25933566.926948059</v>
      </c>
      <c r="P20" s="164">
        <f t="shared" si="6"/>
        <v>1464810.6330519393</v>
      </c>
      <c r="Q20" s="166">
        <f t="shared" si="3"/>
        <v>5.6483191732866755E-2</v>
      </c>
      <c r="R20" s="163">
        <f>'2020'!K20</f>
        <v>24736473.050000001</v>
      </c>
      <c r="S20" s="164">
        <f t="shared" si="4"/>
        <v>2661904.5099999979</v>
      </c>
      <c r="T20" s="166">
        <f t="shared" si="5"/>
        <v>0.10761051119209575</v>
      </c>
    </row>
    <row r="21" spans="1:20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f>'2021'!S21</f>
        <v>61772752.689999998</v>
      </c>
      <c r="H21" s="163">
        <f>'2021'!S95</f>
        <v>65175978.793432847</v>
      </c>
      <c r="I21" s="164">
        <f t="shared" si="0"/>
        <v>-3403226.103432849</v>
      </c>
      <c r="J21" s="166">
        <f t="shared" si="1"/>
        <v>-5.2215956958912013E-2</v>
      </c>
      <c r="K21" s="163">
        <f>SUM('2020'!G21:K21)</f>
        <v>57063619.630000003</v>
      </c>
      <c r="L21" s="164">
        <f t="shared" si="7"/>
        <v>4709133.0599999949</v>
      </c>
      <c r="M21" s="166">
        <f t="shared" si="2"/>
        <v>8.2524261351347272E-2</v>
      </c>
      <c r="N21" s="163">
        <f>'2021'!K21</f>
        <v>14196669.73</v>
      </c>
      <c r="O21" s="163">
        <f>'2021'!K95</f>
        <v>14207465.463870715</v>
      </c>
      <c r="P21" s="164">
        <f t="shared" si="6"/>
        <v>-10795.733870714903</v>
      </c>
      <c r="Q21" s="166">
        <f t="shared" si="3"/>
        <v>-7.598634603876997E-4</v>
      </c>
      <c r="R21" s="163">
        <f>'2020'!K21</f>
        <v>13478103.310000001</v>
      </c>
      <c r="S21" s="164">
        <f t="shared" si="4"/>
        <v>718566.41999999993</v>
      </c>
      <c r="T21" s="166">
        <f t="shared" si="5"/>
        <v>5.331361568262083E-2</v>
      </c>
    </row>
    <row r="22" spans="1:20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f>'2021'!S22</f>
        <v>5642617.6400000006</v>
      </c>
      <c r="H22" s="163">
        <f>'2021'!S96</f>
        <v>5839854.3052008618</v>
      </c>
      <c r="I22" s="164">
        <f t="shared" si="0"/>
        <v>-197236.66520086117</v>
      </c>
      <c r="J22" s="166">
        <f t="shared" si="1"/>
        <v>-3.3774244166537848E-2</v>
      </c>
      <c r="K22" s="163">
        <f>SUM('2020'!G22:K22)</f>
        <v>5351408.2200000007</v>
      </c>
      <c r="L22" s="164">
        <f t="shared" si="7"/>
        <v>291209.41999999993</v>
      </c>
      <c r="M22" s="166">
        <f t="shared" si="2"/>
        <v>5.4417343627730208E-2</v>
      </c>
      <c r="N22" s="163">
        <f>'2021'!K22</f>
        <v>1335498.02</v>
      </c>
      <c r="O22" s="163">
        <f>'2021'!K96</f>
        <v>1310875.4333661681</v>
      </c>
      <c r="P22" s="164">
        <f t="shared" si="6"/>
        <v>24622.586633831961</v>
      </c>
      <c r="Q22" s="166">
        <f t="shared" si="3"/>
        <v>1.8783315338059436E-2</v>
      </c>
      <c r="R22" s="163">
        <f>'2020'!K22</f>
        <v>1190738.6299999999</v>
      </c>
      <c r="S22" s="164">
        <f t="shared" si="4"/>
        <v>144759.39000000013</v>
      </c>
      <c r="T22" s="166">
        <f t="shared" si="5"/>
        <v>0.12157108735105049</v>
      </c>
    </row>
    <row r="23" spans="1:20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f>'2021'!S23</f>
        <v>4607291.62</v>
      </c>
      <c r="H23" s="163">
        <f>'2021'!S97</f>
        <v>5198558.0817698743</v>
      </c>
      <c r="I23" s="164">
        <f t="shared" si="0"/>
        <v>-591266.46176987421</v>
      </c>
      <c r="J23" s="166">
        <f t="shared" si="1"/>
        <v>-0.11373662705497267</v>
      </c>
      <c r="K23" s="163">
        <f>SUM('2020'!G23:K23)</f>
        <v>4396508.7</v>
      </c>
      <c r="L23" s="164">
        <f t="shared" si="7"/>
        <v>210782.91999999993</v>
      </c>
      <c r="M23" s="166">
        <f t="shared" si="2"/>
        <v>4.7943250970935214E-2</v>
      </c>
      <c r="N23" s="163">
        <f>'2021'!K23</f>
        <v>1143219.55</v>
      </c>
      <c r="O23" s="163">
        <f>'2021'!K97</f>
        <v>1161155.6766108447</v>
      </c>
      <c r="P23" s="164">
        <f t="shared" si="6"/>
        <v>-17936.126610844629</v>
      </c>
      <c r="Q23" s="166">
        <f t="shared" si="3"/>
        <v>-1.544678889500517E-2</v>
      </c>
      <c r="R23" s="163">
        <f>'2020'!K23</f>
        <v>1012974.46</v>
      </c>
      <c r="S23" s="164">
        <f t="shared" si="4"/>
        <v>130245.09000000008</v>
      </c>
      <c r="T23" s="166">
        <f t="shared" si="5"/>
        <v>0.1285768744850686</v>
      </c>
    </row>
    <row r="24" spans="1:20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f>'2021'!S24</f>
        <v>3770209.540000001</v>
      </c>
      <c r="H24" s="175">
        <f>'2021'!S98</f>
        <v>4569067.6100950679</v>
      </c>
      <c r="I24" s="176">
        <f t="shared" si="0"/>
        <v>-798858.07009506691</v>
      </c>
      <c r="J24" s="178">
        <f t="shared" si="1"/>
        <v>-0.17484050100944892</v>
      </c>
      <c r="K24" s="175">
        <f>SUM('2020'!G24:K24)</f>
        <v>3160956.34</v>
      </c>
      <c r="L24" s="176">
        <f t="shared" si="7"/>
        <v>609253.20000000112</v>
      </c>
      <c r="M24" s="178">
        <f t="shared" si="2"/>
        <v>0.19274331387949539</v>
      </c>
      <c r="N24" s="175">
        <f>'2021'!K24</f>
        <v>898901.07000000007</v>
      </c>
      <c r="O24" s="175">
        <f>'2021'!K98</f>
        <v>972833.73100888147</v>
      </c>
      <c r="P24" s="176">
        <f t="shared" si="6"/>
        <v>-73932.661008881405</v>
      </c>
      <c r="Q24" s="178">
        <f t="shared" si="3"/>
        <v>-7.5997221983873042E-2</v>
      </c>
      <c r="R24" s="175">
        <f>'2020'!K24</f>
        <v>469045.42</v>
      </c>
      <c r="S24" s="176">
        <f t="shared" si="4"/>
        <v>429855.65000000008</v>
      </c>
      <c r="T24" s="178">
        <f t="shared" si="5"/>
        <v>0.91644781437158063</v>
      </c>
    </row>
    <row r="25" spans="1:20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f>'2021'!S25</f>
        <v>13777655.859999999</v>
      </c>
      <c r="H25" s="175">
        <f>'2021'!S99</f>
        <v>11990112.085633118</v>
      </c>
      <c r="I25" s="176">
        <f t="shared" si="0"/>
        <v>1787543.7743668817</v>
      </c>
      <c r="J25" s="178">
        <f t="shared" si="1"/>
        <v>0.14908482603000572</v>
      </c>
      <c r="K25" s="175">
        <f>SUM('2020'!G25:K25)</f>
        <v>9017014.7300000004</v>
      </c>
      <c r="L25" s="176">
        <f t="shared" si="7"/>
        <v>4760641.129999999</v>
      </c>
      <c r="M25" s="178">
        <f t="shared" si="2"/>
        <v>0.52796199990237769</v>
      </c>
      <c r="N25" s="175">
        <f>'2021'!K25</f>
        <v>2612132.1100000003</v>
      </c>
      <c r="O25" s="175">
        <f>'2021'!K99</f>
        <v>2033694.7730544738</v>
      </c>
      <c r="P25" s="176">
        <f t="shared" si="6"/>
        <v>578437.33694552653</v>
      </c>
      <c r="Q25" s="178">
        <f t="shared" si="3"/>
        <v>0.28442681989920859</v>
      </c>
      <c r="R25" s="175">
        <f>'2020'!K25</f>
        <v>1673853.74</v>
      </c>
      <c r="S25" s="176">
        <f t="shared" si="4"/>
        <v>938278.37000000034</v>
      </c>
      <c r="T25" s="178">
        <f t="shared" si="5"/>
        <v>0.56054979451191489</v>
      </c>
    </row>
    <row r="26" spans="1:20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f>'2021'!S26</f>
        <v>9671524.3400000017</v>
      </c>
      <c r="H26" s="175">
        <f>'2021'!S100</f>
        <v>11194090.28335987</v>
      </c>
      <c r="I26" s="176">
        <f t="shared" si="0"/>
        <v>-1522565.9433598686</v>
      </c>
      <c r="J26" s="178">
        <f t="shared" si="1"/>
        <v>-0.13601515664235608</v>
      </c>
      <c r="K26" s="175">
        <f>SUM('2020'!G26:K26)</f>
        <v>11200164.619999999</v>
      </c>
      <c r="L26" s="176">
        <f t="shared" si="7"/>
        <v>-1528640.2799999975</v>
      </c>
      <c r="M26" s="178">
        <f t="shared" si="2"/>
        <v>-0.13648373321855667</v>
      </c>
      <c r="N26" s="175">
        <f>'2021'!K26</f>
        <v>3299638.81</v>
      </c>
      <c r="O26" s="175">
        <f>'2021'!K100</f>
        <v>3595143.3294339059</v>
      </c>
      <c r="P26" s="176">
        <f t="shared" si="6"/>
        <v>-295504.51943390584</v>
      </c>
      <c r="Q26" s="178">
        <f t="shared" si="3"/>
        <v>-8.2195476607169415E-2</v>
      </c>
      <c r="R26" s="175">
        <f>'2020'!K26</f>
        <v>1279434.9099999999</v>
      </c>
      <c r="S26" s="176">
        <f t="shared" si="4"/>
        <v>2020203.9000000001</v>
      </c>
      <c r="T26" s="178">
        <f t="shared" si="5"/>
        <v>1.578981380146959</v>
      </c>
    </row>
    <row r="27" spans="1:20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f>'2021'!S27</f>
        <v>3374713.05</v>
      </c>
      <c r="H27" s="175">
        <f>'2021'!S101</f>
        <v>2029866.6510017659</v>
      </c>
      <c r="I27" s="176">
        <f t="shared" si="0"/>
        <v>1344846.398998234</v>
      </c>
      <c r="J27" s="178">
        <f t="shared" si="1"/>
        <v>0.66252943183954205</v>
      </c>
      <c r="K27" s="175">
        <f>SUM('2020'!G27:K27)</f>
        <v>3146830.24</v>
      </c>
      <c r="L27" s="176">
        <f t="shared" si="7"/>
        <v>227882.80999999959</v>
      </c>
      <c r="M27" s="178">
        <f t="shared" si="2"/>
        <v>7.2416620097053519E-2</v>
      </c>
      <c r="N27" s="175">
        <f>'2021'!K27</f>
        <v>917316.42</v>
      </c>
      <c r="O27" s="175">
        <f>'2021'!K101</f>
        <v>931608.88060212496</v>
      </c>
      <c r="P27" s="176">
        <f t="shared" si="6"/>
        <v>-14292.46060212492</v>
      </c>
      <c r="Q27" s="178">
        <f t="shared" si="3"/>
        <v>-1.5341696391824144E-2</v>
      </c>
      <c r="R27" s="175">
        <f>'2020'!K27</f>
        <v>896681.72</v>
      </c>
      <c r="S27" s="176">
        <f t="shared" si="4"/>
        <v>20634.70000000007</v>
      </c>
      <c r="T27" s="178">
        <f t="shared" si="5"/>
        <v>2.3012290247201639E-2</v>
      </c>
    </row>
    <row r="28" spans="1:20" ht="15.7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f>'2021'!S28</f>
        <v>5637344.040000001</v>
      </c>
      <c r="H28" s="175">
        <f>'2021'!S102</f>
        <v>13815825.407468211</v>
      </c>
      <c r="I28" s="176">
        <f t="shared" si="0"/>
        <v>-8178481.3674682099</v>
      </c>
      <c r="J28" s="178">
        <f t="shared" si="1"/>
        <v>-0.59196473075342226</v>
      </c>
      <c r="K28" s="175">
        <f>SUM('2020'!G28:K28)</f>
        <v>9702128.9700000007</v>
      </c>
      <c r="L28" s="176">
        <f t="shared" si="7"/>
        <v>-4064784.9299999997</v>
      </c>
      <c r="M28" s="178">
        <f t="shared" si="2"/>
        <v>-0.41895803926836472</v>
      </c>
      <c r="N28" s="175">
        <f>'2021'!K28</f>
        <v>1024447.65</v>
      </c>
      <c r="O28" s="175">
        <f>'2021'!K102</f>
        <v>4317534.179537598</v>
      </c>
      <c r="P28" s="176">
        <f t="shared" si="6"/>
        <v>-3293086.5295375981</v>
      </c>
      <c r="Q28" s="178">
        <f t="shared" si="3"/>
        <v>-0.76272390503467491</v>
      </c>
      <c r="R28" s="175">
        <f>'2020'!K28</f>
        <v>842020.08</v>
      </c>
      <c r="S28" s="176">
        <f t="shared" si="4"/>
        <v>182427.57000000007</v>
      </c>
      <c r="T28" s="178">
        <f t="shared" si="5"/>
        <v>0.21665465507663439</v>
      </c>
    </row>
    <row r="29" spans="1:20" ht="15.7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>'2021'!S29</f>
        <v>792249465.57999992</v>
      </c>
      <c r="H29" s="151">
        <f>'2021'!S103</f>
        <v>873901743.85440004</v>
      </c>
      <c r="I29" s="152">
        <f t="shared" si="0"/>
        <v>-81652278.274400115</v>
      </c>
      <c r="J29" s="154">
        <f t="shared" si="1"/>
        <v>-9.3434163335419651E-2</v>
      </c>
      <c r="K29" s="151">
        <f>SUM('2020'!G29:K29)</f>
        <v>782745424.83000004</v>
      </c>
      <c r="L29" s="152">
        <f t="shared" si="7"/>
        <v>9504040.7499998808</v>
      </c>
      <c r="M29" s="154">
        <f t="shared" si="2"/>
        <v>1.2141930758731601E-2</v>
      </c>
      <c r="N29" s="151">
        <f>'2021'!K29</f>
        <v>156171645.39000005</v>
      </c>
      <c r="O29" s="151">
        <f>'2021'!K103</f>
        <v>179716035.72759998</v>
      </c>
      <c r="P29" s="152">
        <f t="shared" si="6"/>
        <v>-23544390.337599933</v>
      </c>
      <c r="Q29" s="154">
        <f t="shared" si="3"/>
        <v>-0.13100884538365154</v>
      </c>
      <c r="R29" s="151">
        <f>'2020'!K29</f>
        <v>159815444.86399999</v>
      </c>
      <c r="S29" s="152">
        <f t="shared" si="4"/>
        <v>-3643799.4739999473</v>
      </c>
      <c r="T29" s="154">
        <f t="shared" si="5"/>
        <v>-2.2800045872292007E-2</v>
      </c>
    </row>
    <row r="30" spans="1:20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313">
        <f>'2021'!S30</f>
        <v>347752014.04000008</v>
      </c>
      <c r="H30" s="313">
        <f>'2021'!S104</f>
        <v>381317278.76480007</v>
      </c>
      <c r="I30" s="188">
        <f t="shared" si="0"/>
        <v>-33565264.724799991</v>
      </c>
      <c r="J30" s="190">
        <f t="shared" si="1"/>
        <v>-8.8024505035617207E-2</v>
      </c>
      <c r="K30" s="313">
        <f>SUM('2020'!G30:K30)</f>
        <v>350845358.31999999</v>
      </c>
      <c r="L30" s="188">
        <f t="shared" si="7"/>
        <v>-3093344.2799999118</v>
      </c>
      <c r="M30" s="190">
        <f t="shared" si="2"/>
        <v>-8.8168311384029252E-3</v>
      </c>
      <c r="N30" s="313">
        <f>'2021'!K30</f>
        <v>68135759.570000023</v>
      </c>
      <c r="O30" s="313">
        <f>'2021'!K104</f>
        <v>75705671.611399993</v>
      </c>
      <c r="P30" s="188">
        <f t="shared" si="6"/>
        <v>-7569912.0413999707</v>
      </c>
      <c r="Q30" s="190">
        <f t="shared" si="3"/>
        <v>-9.999134649061181E-2</v>
      </c>
      <c r="R30" s="313">
        <f>'2020'!K30</f>
        <v>65227876.739999995</v>
      </c>
      <c r="S30" s="188">
        <f t="shared" si="4"/>
        <v>2907882.830000028</v>
      </c>
      <c r="T30" s="190">
        <f t="shared" si="5"/>
        <v>4.4580369242906981E-2</v>
      </c>
    </row>
    <row r="31" spans="1:20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f>'2021'!S31</f>
        <v>227008984.50999999</v>
      </c>
      <c r="H31" s="163">
        <f>'2021'!S105</f>
        <v>225823463.34920001</v>
      </c>
      <c r="I31" s="164">
        <f t="shared" si="0"/>
        <v>1185521.1607999802</v>
      </c>
      <c r="J31" s="166">
        <f t="shared" si="1"/>
        <v>5.2497696351718748E-3</v>
      </c>
      <c r="K31" s="163">
        <f>SUM('2020'!G31:K31)</f>
        <v>206195839.39999998</v>
      </c>
      <c r="L31" s="164">
        <f t="shared" si="7"/>
        <v>20813145.110000014</v>
      </c>
      <c r="M31" s="166">
        <f t="shared" si="2"/>
        <v>0.10093872490620215</v>
      </c>
      <c r="N31" s="163">
        <f>'2021'!K31</f>
        <v>46327095.700000003</v>
      </c>
      <c r="O31" s="163">
        <f>'2021'!K105</f>
        <v>46000000</v>
      </c>
      <c r="P31" s="164">
        <f>+N31-O31</f>
        <v>327095.70000000298</v>
      </c>
      <c r="Q31" s="166">
        <f>IF(+IF(ISERROR(N31/O31),"…",N31/O31-1)&gt;200%,"...",IF(ISERROR(N31/O31),"…",N31/O31-1))</f>
        <v>7.1107760869566494E-3</v>
      </c>
      <c r="R31" s="163">
        <f>'2020'!K31</f>
        <v>40758304.579999998</v>
      </c>
      <c r="S31" s="164">
        <f t="shared" si="4"/>
        <v>5568791.1200000048</v>
      </c>
      <c r="T31" s="166">
        <f t="shared" si="5"/>
        <v>0.13662960658899914</v>
      </c>
    </row>
    <row r="32" spans="1:20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f>'2021'!S32</f>
        <v>3804299.54</v>
      </c>
      <c r="H32" s="163">
        <f>'2021'!S106</f>
        <v>5448312.5239999974</v>
      </c>
      <c r="I32" s="164">
        <f t="shared" si="0"/>
        <v>-1644012.9839999974</v>
      </c>
      <c r="J32" s="166">
        <f t="shared" si="1"/>
        <v>-0.30174718809871237</v>
      </c>
      <c r="K32" s="163">
        <f>SUM('2020'!G32:K32)</f>
        <v>3696244.46</v>
      </c>
      <c r="L32" s="164">
        <f t="shared" si="7"/>
        <v>108055.08000000007</v>
      </c>
      <c r="M32" s="166">
        <f t="shared" si="2"/>
        <v>2.9233748246186186E-2</v>
      </c>
      <c r="N32" s="163">
        <f>'2021'!K32</f>
        <v>847955.01</v>
      </c>
      <c r="O32" s="163">
        <f>'2021'!K106</f>
        <v>1278854.7547999993</v>
      </c>
      <c r="P32" s="164">
        <f t="shared" si="6"/>
        <v>-430899.74479999929</v>
      </c>
      <c r="Q32" s="166">
        <f t="shared" si="3"/>
        <v>-0.33694189522514451</v>
      </c>
      <c r="R32" s="163">
        <f>'2020'!K32</f>
        <v>376000.24</v>
      </c>
      <c r="S32" s="164">
        <f t="shared" si="4"/>
        <v>471954.77</v>
      </c>
      <c r="T32" s="166">
        <f t="shared" si="5"/>
        <v>1.2551980551927309</v>
      </c>
    </row>
    <row r="33" spans="1:20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f>'2021'!S33</f>
        <v>10510244.48</v>
      </c>
      <c r="H33" s="163">
        <f>'2021'!S107</f>
        <v>15813924.862099994</v>
      </c>
      <c r="I33" s="164">
        <f t="shared" si="0"/>
        <v>-5303680.3820999935</v>
      </c>
      <c r="J33" s="166">
        <f t="shared" si="1"/>
        <v>-0.33538039597057356</v>
      </c>
      <c r="K33" s="163">
        <f>SUM('2020'!G33:K33)</f>
        <v>12341882.010000002</v>
      </c>
      <c r="L33" s="164">
        <f t="shared" si="7"/>
        <v>-1831637.5300000012</v>
      </c>
      <c r="M33" s="166">
        <f t="shared" si="2"/>
        <v>-0.148408283964789</v>
      </c>
      <c r="N33" s="163">
        <f>'2021'!K33</f>
        <v>3107844.52</v>
      </c>
      <c r="O33" s="163">
        <f>'2021'!K107</f>
        <v>5202320.1539999973</v>
      </c>
      <c r="P33" s="164">
        <f t="shared" si="6"/>
        <v>-2094475.6339999973</v>
      </c>
      <c r="Q33" s="166">
        <f t="shared" si="3"/>
        <v>-0.4026041404602102</v>
      </c>
      <c r="R33" s="163">
        <f>'2020'!K33</f>
        <v>1829547.16</v>
      </c>
      <c r="S33" s="164">
        <f t="shared" si="4"/>
        <v>1278297.3600000001</v>
      </c>
      <c r="T33" s="166">
        <f t="shared" si="5"/>
        <v>0.69869604235837257</v>
      </c>
    </row>
    <row r="34" spans="1:20">
      <c r="A34" s="150">
        <v>414</v>
      </c>
      <c r="B34" s="489" t="str">
        <f>+VLOOKUP($A34,Master!$D$29:$G$225,4,FALSE)</f>
        <v>Rashodi za usluge</v>
      </c>
      <c r="C34" s="490"/>
      <c r="D34" s="490"/>
      <c r="E34" s="490"/>
      <c r="F34" s="490"/>
      <c r="G34" s="163">
        <f>'2021'!S34</f>
        <v>18208214.940000001</v>
      </c>
      <c r="H34" s="163">
        <f>'2021'!S108</f>
        <v>30030079.864</v>
      </c>
      <c r="I34" s="164">
        <f t="shared" si="0"/>
        <v>-11821864.923999999</v>
      </c>
      <c r="J34" s="166">
        <f t="shared" si="1"/>
        <v>-0.39366744868940651</v>
      </c>
      <c r="K34" s="163">
        <f>SUM('2020'!G34:K34)</f>
        <v>30193889.719999999</v>
      </c>
      <c r="L34" s="164">
        <f t="shared" si="7"/>
        <v>-11985674.779999997</v>
      </c>
      <c r="M34" s="166">
        <f t="shared" si="2"/>
        <v>-0.39695696351639187</v>
      </c>
      <c r="N34" s="163">
        <f>'2021'!K34</f>
        <v>5020178.45</v>
      </c>
      <c r="O34" s="163">
        <f>'2021'!K108</f>
        <v>5150354.8265999993</v>
      </c>
      <c r="P34" s="164">
        <f t="shared" si="6"/>
        <v>-130176.37659999914</v>
      </c>
      <c r="Q34" s="166">
        <f t="shared" si="3"/>
        <v>-2.5275224908326344E-2</v>
      </c>
      <c r="R34" s="163">
        <f>'2020'!K34</f>
        <v>13077921.189999999</v>
      </c>
      <c r="S34" s="164">
        <f t="shared" si="4"/>
        <v>-8057742.7399999993</v>
      </c>
      <c r="T34" s="166">
        <f t="shared" si="5"/>
        <v>-0.61613330000499866</v>
      </c>
    </row>
    <row r="35" spans="1:20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f>'2021'!S35</f>
        <v>6944106.7400000002</v>
      </c>
      <c r="H35" s="163">
        <f>'2021'!S109</f>
        <v>8771105.4200999998</v>
      </c>
      <c r="I35" s="164">
        <f t="shared" si="0"/>
        <v>-1826998.6800999995</v>
      </c>
      <c r="J35" s="166">
        <f t="shared" si="1"/>
        <v>-0.20829742576268906</v>
      </c>
      <c r="K35" s="163">
        <f>SUM('2020'!G35:K35)</f>
        <v>8050314.1600000001</v>
      </c>
      <c r="L35" s="164">
        <f t="shared" si="7"/>
        <v>-1106207.42</v>
      </c>
      <c r="M35" s="166">
        <f t="shared" si="2"/>
        <v>-0.13741170816618165</v>
      </c>
      <c r="N35" s="163">
        <f>'2021'!K35</f>
        <v>1714591.59</v>
      </c>
      <c r="O35" s="163">
        <f>'2021'!K109</f>
        <v>2036176.5622</v>
      </c>
      <c r="P35" s="164">
        <f t="shared" si="6"/>
        <v>-321584.97219999996</v>
      </c>
      <c r="Q35" s="166">
        <f t="shared" si="3"/>
        <v>-0.15793570074912433</v>
      </c>
      <c r="R35" s="163">
        <f>'2020'!K35</f>
        <v>1877104.42</v>
      </c>
      <c r="S35" s="164">
        <f t="shared" si="4"/>
        <v>-162512.82999999984</v>
      </c>
      <c r="T35" s="166">
        <f t="shared" si="5"/>
        <v>-8.6576339743528963E-2</v>
      </c>
    </row>
    <row r="36" spans="1:20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f>'2021'!S36</f>
        <v>53798470.820000008</v>
      </c>
      <c r="H36" s="163">
        <f>'2021'!S110</f>
        <v>54080175.118200019</v>
      </c>
      <c r="I36" s="164">
        <f t="shared" si="0"/>
        <v>-281704.29820001125</v>
      </c>
      <c r="J36" s="166">
        <f t="shared" si="1"/>
        <v>-5.2090123152209733E-3</v>
      </c>
      <c r="K36" s="163">
        <f>SUM('2020'!G36:K36)</f>
        <v>61254662.859999999</v>
      </c>
      <c r="L36" s="164">
        <f t="shared" si="7"/>
        <v>-7456192.0399999917</v>
      </c>
      <c r="M36" s="166">
        <f t="shared" si="2"/>
        <v>-0.12172448091080701</v>
      </c>
      <c r="N36" s="163">
        <f>'2021'!K36</f>
        <v>6700300.8399999999</v>
      </c>
      <c r="O36" s="163">
        <f>'2021'!K110</f>
        <v>6926498.3347000023</v>
      </c>
      <c r="P36" s="164">
        <f t="shared" si="6"/>
        <v>-226197.49470000248</v>
      </c>
      <c r="Q36" s="166">
        <f t="shared" si="3"/>
        <v>-3.2656832322735196E-2</v>
      </c>
      <c r="R36" s="163">
        <f>'2020'!K36</f>
        <v>1656916.58</v>
      </c>
      <c r="S36" s="164">
        <f t="shared" si="4"/>
        <v>5043384.26</v>
      </c>
      <c r="T36" s="166" t="str">
        <f t="shared" si="5"/>
        <v>...</v>
      </c>
    </row>
    <row r="37" spans="1:20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f>'2021'!S37</f>
        <v>3241184.3600000003</v>
      </c>
      <c r="H37" s="163">
        <f>'2021'!S111</f>
        <v>4284411.4242000002</v>
      </c>
      <c r="I37" s="164">
        <f t="shared" si="0"/>
        <v>-1043227.0641999999</v>
      </c>
      <c r="J37" s="166">
        <f t="shared" si="1"/>
        <v>-0.24349367063757066</v>
      </c>
      <c r="K37" s="163">
        <f>SUM('2020'!G37:K37)</f>
        <v>3995930.6399999997</v>
      </c>
      <c r="L37" s="164">
        <f t="shared" si="7"/>
        <v>-754746.27999999933</v>
      </c>
      <c r="M37" s="166">
        <f t="shared" si="2"/>
        <v>-0.18887872388095295</v>
      </c>
      <c r="N37" s="163">
        <f>'2021'!K37</f>
        <v>642844.74</v>
      </c>
      <c r="O37" s="163">
        <f>'2021'!K111</f>
        <v>1339268.6083000002</v>
      </c>
      <c r="P37" s="164">
        <f t="shared" si="6"/>
        <v>-696423.86830000021</v>
      </c>
      <c r="Q37" s="166">
        <f t="shared" si="3"/>
        <v>-0.52000313005469856</v>
      </c>
      <c r="R37" s="163">
        <f>'2020'!K37</f>
        <v>768927.2</v>
      </c>
      <c r="S37" s="164">
        <f t="shared" si="4"/>
        <v>-126082.45999999996</v>
      </c>
      <c r="T37" s="166">
        <f t="shared" si="5"/>
        <v>-0.16397190787372329</v>
      </c>
    </row>
    <row r="38" spans="1:20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f>'2021'!S38</f>
        <v>12387268.859999999</v>
      </c>
      <c r="H38" s="163">
        <f>'2021'!S112</f>
        <v>18871519.694800001</v>
      </c>
      <c r="I38" s="164">
        <f t="shared" si="0"/>
        <v>-6484250.8348000012</v>
      </c>
      <c r="J38" s="166">
        <f t="shared" si="1"/>
        <v>-0.34359982341998241</v>
      </c>
      <c r="K38" s="163">
        <f>SUM('2020'!G38:K38)</f>
        <v>9401591.9600000009</v>
      </c>
      <c r="L38" s="164">
        <f t="shared" si="7"/>
        <v>2985676.8999999985</v>
      </c>
      <c r="M38" s="166">
        <f t="shared" si="2"/>
        <v>0.31757141904295083</v>
      </c>
      <c r="N38" s="163">
        <f>'2021'!K38</f>
        <v>1176181.68</v>
      </c>
      <c r="O38" s="163">
        <f>'2021'!K112</f>
        <v>3620410.0737000001</v>
      </c>
      <c r="P38" s="164">
        <f t="shared" si="6"/>
        <v>-2444228.3936999999</v>
      </c>
      <c r="Q38" s="166">
        <f t="shared" si="3"/>
        <v>-0.67512473558058539</v>
      </c>
      <c r="R38" s="163">
        <f>'2020'!K38</f>
        <v>1512180.75</v>
      </c>
      <c r="S38" s="164">
        <f t="shared" si="4"/>
        <v>-335999.07000000007</v>
      </c>
      <c r="T38" s="166">
        <f t="shared" si="5"/>
        <v>-0.22219504513597332</v>
      </c>
    </row>
    <row r="39" spans="1:20">
      <c r="A39" s="150">
        <v>419</v>
      </c>
      <c r="B39" s="489" t="str">
        <f>+VLOOKUP($A39,Master!$D$29:$G$225,4,FALSE)</f>
        <v>Ostali izdaci</v>
      </c>
      <c r="C39" s="490"/>
      <c r="D39" s="490"/>
      <c r="E39" s="490"/>
      <c r="F39" s="490"/>
      <c r="G39" s="163">
        <f>'2021'!S39</f>
        <v>11849239.789999999</v>
      </c>
      <c r="H39" s="163">
        <f>'2021'!S113</f>
        <v>18194286.508199997</v>
      </c>
      <c r="I39" s="164">
        <f t="shared" si="0"/>
        <v>-6345046.7181999981</v>
      </c>
      <c r="J39" s="166">
        <f t="shared" si="1"/>
        <v>-0.34873841935710659</v>
      </c>
      <c r="K39" s="163">
        <f>SUM('2020'!G39:K39)</f>
        <v>15715003.109999999</v>
      </c>
      <c r="L39" s="164">
        <f t="shared" si="7"/>
        <v>-3865763.3200000003</v>
      </c>
      <c r="M39" s="166">
        <f t="shared" si="2"/>
        <v>-0.24599189023004908</v>
      </c>
      <c r="N39" s="163">
        <f>'2021'!K39</f>
        <v>2598767.04</v>
      </c>
      <c r="O39" s="163">
        <f>'2021'!K113</f>
        <v>4151788.2970999996</v>
      </c>
      <c r="P39" s="164">
        <f t="shared" si="6"/>
        <v>-1553021.2570999996</v>
      </c>
      <c r="Q39" s="166">
        <f t="shared" si="3"/>
        <v>-0.37406080126599328</v>
      </c>
      <c r="R39" s="163">
        <f>'2020'!K39</f>
        <v>3370974.62</v>
      </c>
      <c r="S39" s="164">
        <f t="shared" si="4"/>
        <v>-772207.58000000007</v>
      </c>
      <c r="T39" s="166">
        <f t="shared" si="5"/>
        <v>-0.22907546542133272</v>
      </c>
    </row>
    <row r="40" spans="1:20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'2021'!S40</f>
        <v>232261081.12999997</v>
      </c>
      <c r="H40" s="193">
        <f>'2021'!S114</f>
        <v>235177011.89899999</v>
      </c>
      <c r="I40" s="194">
        <f t="shared" si="0"/>
        <v>-2915930.7690000236</v>
      </c>
      <c r="J40" s="196">
        <f t="shared" si="1"/>
        <v>-1.2398876682098159E-2</v>
      </c>
      <c r="K40" s="193">
        <f>SUM('2020'!G40:K40)</f>
        <v>229586864.17999995</v>
      </c>
      <c r="L40" s="194">
        <f t="shared" si="7"/>
        <v>2674216.9500000179</v>
      </c>
      <c r="M40" s="196">
        <f t="shared" si="2"/>
        <v>1.1647952767469327E-2</v>
      </c>
      <c r="N40" s="193">
        <f>'2021'!K40</f>
        <v>47582478.649999999</v>
      </c>
      <c r="O40" s="193">
        <f>'2021'!K114</f>
        <v>49141473.441699997</v>
      </c>
      <c r="P40" s="194">
        <f t="shared" si="6"/>
        <v>-1558994.7916999981</v>
      </c>
      <c r="Q40" s="196">
        <f t="shared" si="3"/>
        <v>-3.1724624487492137E-2</v>
      </c>
      <c r="R40" s="193">
        <f>'2020'!K40</f>
        <v>45099435.813999996</v>
      </c>
      <c r="S40" s="194">
        <f t="shared" si="4"/>
        <v>2483042.8360000029</v>
      </c>
      <c r="T40" s="196">
        <f t="shared" si="5"/>
        <v>5.5057070918594686E-2</v>
      </c>
    </row>
    <row r="41" spans="1:20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f>'2021'!S41</f>
        <v>33041116.32</v>
      </c>
      <c r="H41" s="163">
        <f>'2021'!S115</f>
        <v>33887140.640000001</v>
      </c>
      <c r="I41" s="164">
        <f t="shared" si="0"/>
        <v>-846024.3200000003</v>
      </c>
      <c r="J41" s="166">
        <f t="shared" si="1"/>
        <v>-2.4965940000300946E-2</v>
      </c>
      <c r="K41" s="163">
        <f>SUM('2020'!G41:K41)</f>
        <v>32729851.739999998</v>
      </c>
      <c r="L41" s="164">
        <f t="shared" si="7"/>
        <v>311264.58000000194</v>
      </c>
      <c r="M41" s="166">
        <f t="shared" si="2"/>
        <v>9.5101127396675089E-3</v>
      </c>
      <c r="N41" s="163">
        <f>'2021'!K41</f>
        <v>6484537.2599999998</v>
      </c>
      <c r="O41" s="163">
        <f>'2021'!K115</f>
        <v>7079137</v>
      </c>
      <c r="P41" s="164">
        <f t="shared" si="6"/>
        <v>-594599.74000000022</v>
      </c>
      <c r="Q41" s="166">
        <f t="shared" si="3"/>
        <v>-8.3993252284847775E-2</v>
      </c>
      <c r="R41" s="163">
        <f>'2020'!K41</f>
        <v>5976072.2199999997</v>
      </c>
      <c r="S41" s="164">
        <f t="shared" si="4"/>
        <v>508465.04000000004</v>
      </c>
      <c r="T41" s="166">
        <f t="shared" si="5"/>
        <v>8.5083483144385408E-2</v>
      </c>
    </row>
    <row r="42" spans="1:20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f>'2021'!S42</f>
        <v>7756649.2899999991</v>
      </c>
      <c r="H42" s="163">
        <f>'2021'!S116</f>
        <v>8362984.8082999997</v>
      </c>
      <c r="I42" s="164">
        <f t="shared" si="0"/>
        <v>-606335.51830000058</v>
      </c>
      <c r="J42" s="166">
        <f t="shared" si="1"/>
        <v>-7.2502286228982693E-2</v>
      </c>
      <c r="K42" s="163">
        <f>SUM('2020'!G42:K42)</f>
        <v>6126855.7199999997</v>
      </c>
      <c r="L42" s="164">
        <f t="shared" si="7"/>
        <v>1629793.5699999994</v>
      </c>
      <c r="M42" s="166">
        <f t="shared" si="2"/>
        <v>0.26600815238391151</v>
      </c>
      <c r="N42" s="163">
        <f>'2021'!K42</f>
        <v>2473730.75</v>
      </c>
      <c r="O42" s="163">
        <f>'2021'!K116</f>
        <v>2625600.0837000003</v>
      </c>
      <c r="P42" s="164">
        <f t="shared" si="6"/>
        <v>-151869.33370000031</v>
      </c>
      <c r="Q42" s="166">
        <f t="shared" si="3"/>
        <v>-5.7841761448295559E-2</v>
      </c>
      <c r="R42" s="163">
        <f>'2020'!K42</f>
        <v>1413828.93</v>
      </c>
      <c r="S42" s="164">
        <f t="shared" si="4"/>
        <v>1059901.82</v>
      </c>
      <c r="T42" s="166">
        <f t="shared" si="5"/>
        <v>0.74966765604379026</v>
      </c>
    </row>
    <row r="43" spans="1:20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f>'2021'!S43</f>
        <v>180606532.31</v>
      </c>
      <c r="H43" s="163">
        <f>'2021'!S117</f>
        <v>181342020.50589997</v>
      </c>
      <c r="I43" s="164">
        <f t="shared" si="0"/>
        <v>-735488.19589996338</v>
      </c>
      <c r="J43" s="166">
        <f t="shared" si="1"/>
        <v>-4.0558067779774554E-3</v>
      </c>
      <c r="K43" s="163">
        <f>SUM('2020'!G43:K43)</f>
        <v>178253943.42999998</v>
      </c>
      <c r="L43" s="164">
        <f t="shared" si="7"/>
        <v>2352588.880000025</v>
      </c>
      <c r="M43" s="166">
        <f t="shared" si="2"/>
        <v>1.3197962607339964E-2</v>
      </c>
      <c r="N43" s="163">
        <f>'2021'!K43</f>
        <v>36021435.969999999</v>
      </c>
      <c r="O43" s="163">
        <f>'2021'!K117</f>
        <v>36672543.857999995</v>
      </c>
      <c r="P43" s="164">
        <f t="shared" si="6"/>
        <v>-651107.88799999654</v>
      </c>
      <c r="Q43" s="166">
        <f t="shared" si="3"/>
        <v>-1.7754642015594957E-2</v>
      </c>
      <c r="R43" s="163">
        <f>'2020'!K43</f>
        <v>35560412.794</v>
      </c>
      <c r="S43" s="164">
        <f t="shared" si="4"/>
        <v>461023.17599999905</v>
      </c>
      <c r="T43" s="166">
        <f t="shared" si="5"/>
        <v>1.2964505746057675E-2</v>
      </c>
    </row>
    <row r="44" spans="1:20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f>'2021'!S44</f>
        <v>6827299.2199999997</v>
      </c>
      <c r="H44" s="163">
        <f>'2021'!S118</f>
        <v>7328529.6173999999</v>
      </c>
      <c r="I44" s="164">
        <f t="shared" si="0"/>
        <v>-501230.39740000013</v>
      </c>
      <c r="J44" s="166">
        <f t="shared" si="1"/>
        <v>-6.8394401546790218E-2</v>
      </c>
      <c r="K44" s="163">
        <f>SUM('2020'!G44:K44)</f>
        <v>8599312.5399999991</v>
      </c>
      <c r="L44" s="164">
        <f t="shared" si="7"/>
        <v>-1772013.3199999994</v>
      </c>
      <c r="M44" s="166">
        <f t="shared" si="2"/>
        <v>-0.20606453268879554</v>
      </c>
      <c r="N44" s="163">
        <f>'2021'!K44</f>
        <v>1665470.72</v>
      </c>
      <c r="O44" s="163">
        <f>'2021'!K118</f>
        <v>1757700</v>
      </c>
      <c r="P44" s="164">
        <f t="shared" si="6"/>
        <v>-92229.280000000028</v>
      </c>
      <c r="Q44" s="166">
        <f t="shared" si="3"/>
        <v>-5.2471570802753664E-2</v>
      </c>
      <c r="R44" s="163">
        <f>'2020'!K44</f>
        <v>1443795.73</v>
      </c>
      <c r="S44" s="164">
        <f t="shared" si="4"/>
        <v>221674.99</v>
      </c>
      <c r="T44" s="166">
        <f t="shared" si="5"/>
        <v>0.15353625543690996</v>
      </c>
    </row>
    <row r="45" spans="1:20">
      <c r="A45" s="150">
        <v>425</v>
      </c>
      <c r="B45" s="489" t="str">
        <f>+VLOOKUP($A45,Master!$D$29:$G$225,4,FALSE)</f>
        <v>Ostala prava iz zdravstvenog osiguranja</v>
      </c>
      <c r="C45" s="490"/>
      <c r="D45" s="490"/>
      <c r="E45" s="490"/>
      <c r="F45" s="490"/>
      <c r="G45" s="163">
        <f>'2021'!S45</f>
        <v>4029483.99</v>
      </c>
      <c r="H45" s="163">
        <f>'2021'!S119</f>
        <v>4256336.3273999998</v>
      </c>
      <c r="I45" s="164">
        <f t="shared" si="0"/>
        <v>-226852.33739999961</v>
      </c>
      <c r="J45" s="166">
        <f t="shared" si="1"/>
        <v>-5.3297559203591693E-2</v>
      </c>
      <c r="K45" s="163">
        <f>SUM('2020'!G45:K45)</f>
        <v>3876900.75</v>
      </c>
      <c r="L45" s="164">
        <f t="shared" si="7"/>
        <v>152583.24000000022</v>
      </c>
      <c r="M45" s="166">
        <f t="shared" si="2"/>
        <v>3.9357014749474839E-2</v>
      </c>
      <c r="N45" s="163">
        <f>'2021'!K45</f>
        <v>937303.95</v>
      </c>
      <c r="O45" s="163">
        <f>'2021'!K119</f>
        <v>1006492.5</v>
      </c>
      <c r="P45" s="164">
        <f t="shared" si="6"/>
        <v>-69188.550000000047</v>
      </c>
      <c r="Q45" s="166">
        <f t="shared" si="3"/>
        <v>-6.8742241000305571E-2</v>
      </c>
      <c r="R45" s="163">
        <f>'2020'!K45</f>
        <v>705326.14</v>
      </c>
      <c r="S45" s="164">
        <f t="shared" si="4"/>
        <v>231977.80999999994</v>
      </c>
      <c r="T45" s="166">
        <f t="shared" si="5"/>
        <v>0.32889438919703151</v>
      </c>
    </row>
    <row r="46" spans="1:20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f>'2021'!S46</f>
        <v>94368923.719999999</v>
      </c>
      <c r="H46" s="175">
        <f>'2021'!S120</f>
        <v>110950265.05010001</v>
      </c>
      <c r="I46" s="176">
        <f t="shared" si="0"/>
        <v>-16581341.330100015</v>
      </c>
      <c r="J46" s="178">
        <f t="shared" si="1"/>
        <v>-0.14944841567176648</v>
      </c>
      <c r="K46" s="175">
        <f>SUM('2020'!G46:K46)</f>
        <v>112323292.08</v>
      </c>
      <c r="L46" s="176">
        <f t="shared" si="7"/>
        <v>-17954368.359999999</v>
      </c>
      <c r="M46" s="178">
        <f t="shared" si="2"/>
        <v>-0.15984546061214411</v>
      </c>
      <c r="N46" s="175">
        <f>'2021'!K46</f>
        <v>19594755.170000002</v>
      </c>
      <c r="O46" s="175">
        <f>'2021'!K120</f>
        <v>24538715.218700003</v>
      </c>
      <c r="P46" s="176">
        <f t="shared" si="6"/>
        <v>-4943960.0487000011</v>
      </c>
      <c r="Q46" s="178">
        <f t="shared" si="3"/>
        <v>-0.20147591284373356</v>
      </c>
      <c r="R46" s="175">
        <f>'2020'!K46</f>
        <v>15552980.33</v>
      </c>
      <c r="S46" s="176">
        <f t="shared" si="4"/>
        <v>4041774.8400000017</v>
      </c>
      <c r="T46" s="178">
        <f t="shared" si="5"/>
        <v>0.25987140433810363</v>
      </c>
    </row>
    <row r="47" spans="1:20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f>'2021'!S47</f>
        <v>50556344.110000007</v>
      </c>
      <c r="H47" s="175">
        <f>'2021'!S121</f>
        <v>78610323.787599996</v>
      </c>
      <c r="I47" s="176">
        <f t="shared" si="0"/>
        <v>-28053979.677599989</v>
      </c>
      <c r="J47" s="178">
        <f t="shared" si="1"/>
        <v>-0.35687398710378071</v>
      </c>
      <c r="K47" s="175">
        <f>SUM('2020'!G47:K47)</f>
        <v>59908157.960000001</v>
      </c>
      <c r="L47" s="176">
        <f t="shared" si="7"/>
        <v>-9351813.849999994</v>
      </c>
      <c r="M47" s="178">
        <f t="shared" si="2"/>
        <v>-0.15610251038337875</v>
      </c>
      <c r="N47" s="175">
        <f>'2021'!K47</f>
        <v>6491669.8099999996</v>
      </c>
      <c r="O47" s="175">
        <f>'2021'!K121</f>
        <v>19667323.041900005</v>
      </c>
      <c r="P47" s="176">
        <f t="shared" si="6"/>
        <v>-13175653.231900007</v>
      </c>
      <c r="Q47" s="178">
        <f t="shared" si="3"/>
        <v>-0.66992611062675378</v>
      </c>
      <c r="R47" s="175">
        <f>'2020'!K47</f>
        <v>15871730.18</v>
      </c>
      <c r="S47" s="176">
        <f t="shared" si="4"/>
        <v>-9380060.370000001</v>
      </c>
      <c r="T47" s="178">
        <f t="shared" si="5"/>
        <v>-0.59099167284357157</v>
      </c>
    </row>
    <row r="48" spans="1:20">
      <c r="A48" s="150">
        <v>451</v>
      </c>
      <c r="B48" s="507" t="str">
        <f>+VLOOKUP($A48,Master!$D$29:$G$225,4,FALSE)</f>
        <v>Pozajmice i krediti</v>
      </c>
      <c r="C48" s="508"/>
      <c r="D48" s="508"/>
      <c r="E48" s="508"/>
      <c r="F48" s="508"/>
      <c r="G48" s="163">
        <f>'2021'!S48</f>
        <v>552118</v>
      </c>
      <c r="H48" s="163">
        <f>'2021'!S122</f>
        <v>767400.5022000001</v>
      </c>
      <c r="I48" s="164">
        <f>G48-H48</f>
        <v>-215282.5022000001</v>
      </c>
      <c r="J48" s="282">
        <f t="shared" si="1"/>
        <v>-0.28053474239699305</v>
      </c>
      <c r="K48" s="163">
        <f>SUM('2020'!G48:K48)</f>
        <v>550648</v>
      </c>
      <c r="L48" s="279">
        <f t="shared" si="7"/>
        <v>1470</v>
      </c>
      <c r="M48" s="282">
        <f t="shared" si="2"/>
        <v>2.669582019729555E-3</v>
      </c>
      <c r="N48" s="163">
        <f>'2021'!K48</f>
        <v>0</v>
      </c>
      <c r="O48" s="163">
        <f>'2021'!K122</f>
        <v>142881.16740000001</v>
      </c>
      <c r="P48" s="164">
        <f t="shared" si="6"/>
        <v>-142881.16740000001</v>
      </c>
      <c r="Q48" s="282">
        <f t="shared" si="3"/>
        <v>-1</v>
      </c>
      <c r="R48" s="163">
        <f>'2020'!K48</f>
        <v>5000</v>
      </c>
      <c r="S48" s="279">
        <f t="shared" si="4"/>
        <v>-5000</v>
      </c>
      <c r="T48" s="282">
        <f t="shared" si="5"/>
        <v>-1</v>
      </c>
    </row>
    <row r="49" spans="1:23">
      <c r="A49" s="150">
        <v>47</v>
      </c>
      <c r="B49" s="507" t="str">
        <f>+VLOOKUP($A49,Master!$D$29:$G$225,4,FALSE)</f>
        <v>Rezerve</v>
      </c>
      <c r="C49" s="508"/>
      <c r="D49" s="508"/>
      <c r="E49" s="508"/>
      <c r="F49" s="508"/>
      <c r="G49" s="163">
        <f>'2021'!S49</f>
        <v>46271892.199999996</v>
      </c>
      <c r="H49" s="163">
        <f>'2021'!S123</f>
        <v>50961814.020000003</v>
      </c>
      <c r="I49" s="164">
        <f t="shared" ref="I49:I50" si="8">G49-H49</f>
        <v>-4689921.8200000077</v>
      </c>
      <c r="J49" s="283">
        <f t="shared" si="1"/>
        <v>-9.2028156967870922E-2</v>
      </c>
      <c r="K49" s="163">
        <f>SUM('2020'!G49:K49)</f>
        <v>22858673.900000002</v>
      </c>
      <c r="L49" s="280">
        <f t="shared" si="7"/>
        <v>23413218.299999993</v>
      </c>
      <c r="M49" s="283">
        <f t="shared" si="2"/>
        <v>1.0242596925099838</v>
      </c>
      <c r="N49" s="163">
        <f>'2021'!K49</f>
        <v>3333407.5</v>
      </c>
      <c r="O49" s="163">
        <f>'2021'!K123</f>
        <v>7867783.2000000002</v>
      </c>
      <c r="P49" s="164">
        <f t="shared" si="6"/>
        <v>-4534375.7</v>
      </c>
      <c r="Q49" s="283">
        <f t="shared" si="3"/>
        <v>-0.57632189204196682</v>
      </c>
      <c r="R49" s="163">
        <f>'2020'!K49</f>
        <v>16941995.850000001</v>
      </c>
      <c r="S49" s="280">
        <f t="shared" si="4"/>
        <v>-13608588.350000001</v>
      </c>
      <c r="T49" s="283">
        <f t="shared" si="5"/>
        <v>-0.80324587908572775</v>
      </c>
      <c r="W49" s="345"/>
    </row>
    <row r="50" spans="1:23" ht="15.7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63">
        <f>'2021'!S50</f>
        <v>3831496.4</v>
      </c>
      <c r="H50" s="163">
        <f>'2021'!S124</f>
        <v>3876366.14</v>
      </c>
      <c r="I50" s="164">
        <f t="shared" si="8"/>
        <v>-44869.740000000224</v>
      </c>
      <c r="J50" s="284">
        <f t="shared" si="1"/>
        <v>-1.157520687661362E-2</v>
      </c>
      <c r="K50" s="163">
        <f>SUM('2020'!G50:K50)</f>
        <v>0</v>
      </c>
      <c r="L50" s="280">
        <f t="shared" si="7"/>
        <v>3831496.4</v>
      </c>
      <c r="M50" s="284" t="str">
        <f t="shared" si="2"/>
        <v>...</v>
      </c>
      <c r="N50" s="163">
        <f>'2021'!K50</f>
        <v>0</v>
      </c>
      <c r="O50" s="163">
        <f>'2021'!K124</f>
        <v>0</v>
      </c>
      <c r="P50" s="164">
        <f t="shared" si="6"/>
        <v>0</v>
      </c>
      <c r="Q50" s="284" t="str">
        <f t="shared" si="3"/>
        <v>...</v>
      </c>
      <c r="R50" s="163">
        <f>'2020'!K50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9" t="str">
        <f>+VLOOKUP($A51,Master!$D$29:$G$225,4,FALSE)</f>
        <v>Otplata obaveza iz prethodnog perioda</v>
      </c>
      <c r="C51" s="510"/>
      <c r="D51" s="510"/>
      <c r="E51" s="510"/>
      <c r="F51" s="510"/>
      <c r="G51" s="314">
        <f>'2021'!S51</f>
        <v>16655595.98</v>
      </c>
      <c r="H51" s="314">
        <f>'2021'!S125</f>
        <v>12241283.69069998</v>
      </c>
      <c r="I51" s="281">
        <f>G51-H51</f>
        <v>4414312.2893000208</v>
      </c>
      <c r="J51" s="285">
        <f t="shared" si="1"/>
        <v>0.36060860942661499</v>
      </c>
      <c r="K51" s="314">
        <f>SUM('2020'!G51:K51)</f>
        <v>6672430.3899999997</v>
      </c>
      <c r="L51" s="287">
        <f t="shared" si="7"/>
        <v>9983165.5899999999</v>
      </c>
      <c r="M51" s="285">
        <f t="shared" si="2"/>
        <v>1.4961813022376096</v>
      </c>
      <c r="N51" s="314">
        <f>'2021'!K51</f>
        <v>11033574.689999999</v>
      </c>
      <c r="O51" s="314">
        <f>'2021'!K125</f>
        <v>2652188.0464999946</v>
      </c>
      <c r="P51" s="281">
        <f>N51-O51</f>
        <v>8381386.6435000049</v>
      </c>
      <c r="Q51" s="285" t="str">
        <f t="shared" si="3"/>
        <v>...</v>
      </c>
      <c r="R51" s="314">
        <f>'2020'!K51</f>
        <v>1116425.95</v>
      </c>
      <c r="S51" s="287">
        <f>+N51-R51</f>
        <v>9917148.7400000002</v>
      </c>
      <c r="T51" s="285" t="str">
        <f t="shared" si="5"/>
        <v>...</v>
      </c>
    </row>
    <row r="52" spans="1:23" ht="15.75" thickBot="1">
      <c r="A52" s="144">
        <v>1005</v>
      </c>
      <c r="B52" s="509" t="str">
        <f>+VLOOKUP($A52,Master!$D$29:$G$227,4,FALSE)</f>
        <v>Neto povećanje obaveza</v>
      </c>
      <c r="C52" s="510"/>
      <c r="D52" s="510"/>
      <c r="E52" s="510"/>
      <c r="F52" s="510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SUM('2020'!G52:K52)</f>
        <v>0</v>
      </c>
      <c r="L52" s="287">
        <f t="shared" si="7"/>
        <v>0</v>
      </c>
      <c r="M52" s="285" t="str">
        <f t="shared" si="2"/>
        <v>...</v>
      </c>
      <c r="N52" s="163">
        <f>'2021'!K52</f>
        <v>0</v>
      </c>
      <c r="O52" s="163">
        <f>'2021'!K126</f>
        <v>0</v>
      </c>
      <c r="P52" s="281">
        <f>N52-O52</f>
        <v>0</v>
      </c>
      <c r="Q52" s="285" t="str">
        <f t="shared" si="3"/>
        <v>...</v>
      </c>
      <c r="R52" s="163">
        <f>'2020'!K52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>'2021'!S53</f>
        <v>-163650943.00000003</v>
      </c>
      <c r="H53" s="151">
        <f>'2021'!S127</f>
        <v>-244658799.58004797</v>
      </c>
      <c r="I53" s="321">
        <f>+G53-H53</f>
        <v>81007856.580047935</v>
      </c>
      <c r="J53" s="286">
        <f t="shared" si="1"/>
        <v>-0.3311054281272382</v>
      </c>
      <c r="K53" s="151">
        <f>SUM('2020'!G53:K53)</f>
        <v>-167112862.99000001</v>
      </c>
      <c r="L53" s="288">
        <f t="shared" si="7"/>
        <v>3461919.9899999797</v>
      </c>
      <c r="M53" s="286">
        <f t="shared" si="2"/>
        <v>-2.071605936286991E-2</v>
      </c>
      <c r="N53" s="151">
        <f>'2021'!K53</f>
        <v>-20093671.51000005</v>
      </c>
      <c r="O53" s="151">
        <f>'2021'!K127</f>
        <v>-38779971.255619645</v>
      </c>
      <c r="P53" s="321">
        <f>N53-O53</f>
        <v>18686299.745619595</v>
      </c>
      <c r="Q53" s="286">
        <f t="shared" si="3"/>
        <v>-0.48185439907750693</v>
      </c>
      <c r="R53" s="151">
        <f>'2020'!K53</f>
        <v>-44483361.42399998</v>
      </c>
      <c r="S53" s="288">
        <f t="shared" si="4"/>
        <v>24389689.91399993</v>
      </c>
      <c r="T53" s="286">
        <f t="shared" si="5"/>
        <v>-0.54828792459108167</v>
      </c>
    </row>
    <row r="54" spans="1:23" ht="15.7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151">
        <f>'2021'!S54</f>
        <v>-109852472.18000001</v>
      </c>
      <c r="H54" s="151">
        <f>'2021'!S128</f>
        <v>-190578624.46184796</v>
      </c>
      <c r="I54" s="206">
        <f t="shared" si="0"/>
        <v>80726152.281847954</v>
      </c>
      <c r="J54" s="208">
        <f t="shared" si="1"/>
        <v>-0.42358450487194366</v>
      </c>
      <c r="K54" s="151">
        <f>SUM('2020'!G54:K54)</f>
        <v>-105858200.13</v>
      </c>
      <c r="L54" s="206">
        <f t="shared" si="7"/>
        <v>-3994272.0500000119</v>
      </c>
      <c r="M54" s="208">
        <f t="shared" si="2"/>
        <v>3.7732287579940182E-2</v>
      </c>
      <c r="N54" s="151">
        <f>'2021'!K54</f>
        <v>-13393370.67000005</v>
      </c>
      <c r="O54" s="151">
        <f>'2021'!K128</f>
        <v>-31853472.920919642</v>
      </c>
      <c r="P54" s="206">
        <f t="shared" si="6"/>
        <v>18460102.250919592</v>
      </c>
      <c r="Q54" s="208">
        <f t="shared" si="3"/>
        <v>-0.57953185502721094</v>
      </c>
      <c r="R54" s="151">
        <f>'2020'!K54</f>
        <v>-42826444.843999982</v>
      </c>
      <c r="S54" s="206">
        <f t="shared" si="4"/>
        <v>29433074.173999932</v>
      </c>
      <c r="T54" s="208">
        <f t="shared" si="5"/>
        <v>-0.68726400898354112</v>
      </c>
    </row>
    <row r="55" spans="1:23">
      <c r="A55" s="144">
        <v>46</v>
      </c>
      <c r="B55" s="505" t="str">
        <f>+VLOOKUP($A55,Master!$D$29:$G$225,4,FALSE)</f>
        <v>Otplata dugova</v>
      </c>
      <c r="C55" s="506"/>
      <c r="D55" s="506"/>
      <c r="E55" s="506"/>
      <c r="F55" s="506"/>
      <c r="G55" s="157">
        <f>'2021'!S55</f>
        <v>335505852.59000003</v>
      </c>
      <c r="H55" s="157">
        <f>'2021'!S129</f>
        <v>349776529.69</v>
      </c>
      <c r="I55" s="194">
        <f t="shared" si="0"/>
        <v>-14270677.099999964</v>
      </c>
      <c r="J55" s="196">
        <f t="shared" si="1"/>
        <v>-4.0799413021359032E-2</v>
      </c>
      <c r="K55" s="157">
        <f>SUM('2020'!G55:K55)</f>
        <v>450560638.77999997</v>
      </c>
      <c r="L55" s="194">
        <f t="shared" si="7"/>
        <v>-115054786.18999994</v>
      </c>
      <c r="M55" s="196">
        <f t="shared" si="2"/>
        <v>-0.25535915987143953</v>
      </c>
      <c r="N55" s="157">
        <f>'2021'!K55</f>
        <v>16282827.92</v>
      </c>
      <c r="O55" s="157">
        <f>'2021'!K129</f>
        <v>16454430.83</v>
      </c>
      <c r="P55" s="194">
        <f t="shared" si="6"/>
        <v>-171602.91000000015</v>
      </c>
      <c r="Q55" s="196">
        <f t="shared" si="3"/>
        <v>-1.042897878224569E-2</v>
      </c>
      <c r="R55" s="157">
        <f>'2020'!K55</f>
        <v>11395595.050000001</v>
      </c>
      <c r="S55" s="194">
        <f t="shared" si="4"/>
        <v>4887232.8699999992</v>
      </c>
      <c r="T55" s="196">
        <f t="shared" si="5"/>
        <v>0.42887035284743624</v>
      </c>
    </row>
    <row r="56" spans="1:23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163">
        <f>'2021'!S56</f>
        <v>62615970.520000003</v>
      </c>
      <c r="H56" s="163">
        <f>'2021'!S130</f>
        <v>62615970.519999996</v>
      </c>
      <c r="I56" s="212">
        <f t="shared" si="0"/>
        <v>0</v>
      </c>
      <c r="J56" s="214">
        <f t="shared" si="1"/>
        <v>2.2204460492503131E-16</v>
      </c>
      <c r="K56" s="163">
        <f>SUM('2020'!G56:K56)</f>
        <v>83232291.019999996</v>
      </c>
      <c r="L56" s="212">
        <f t="shared" si="7"/>
        <v>-20616320.499999993</v>
      </c>
      <c r="M56" s="214">
        <f t="shared" si="2"/>
        <v>-0.24769617953981427</v>
      </c>
      <c r="N56" s="163">
        <f>'2021'!K56</f>
        <v>7620463.75</v>
      </c>
      <c r="O56" s="163">
        <f>'2021'!K130</f>
        <v>7620463.75</v>
      </c>
      <c r="P56" s="212">
        <f t="shared" si="6"/>
        <v>0</v>
      </c>
      <c r="Q56" s="214">
        <f t="shared" si="3"/>
        <v>0</v>
      </c>
      <c r="R56" s="163">
        <f>'2020'!K56</f>
        <v>1842278.41</v>
      </c>
      <c r="S56" s="212">
        <f t="shared" si="4"/>
        <v>5778185.3399999999</v>
      </c>
      <c r="T56" s="214" t="str">
        <f t="shared" si="5"/>
        <v>...</v>
      </c>
    </row>
    <row r="57" spans="1:23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163">
        <f>'2021'!S57</f>
        <v>272889882.06999999</v>
      </c>
      <c r="H57" s="163">
        <f>'2021'!S131</f>
        <v>287160559.16999996</v>
      </c>
      <c r="I57" s="212">
        <f t="shared" si="0"/>
        <v>-14270677.099999964</v>
      </c>
      <c r="J57" s="214">
        <f t="shared" si="1"/>
        <v>-4.9695811782953347E-2</v>
      </c>
      <c r="K57" s="163">
        <f>SUM('2020'!G57:K57)</f>
        <v>367328347.75999999</v>
      </c>
      <c r="L57" s="212">
        <f t="shared" si="7"/>
        <v>-94438465.689999998</v>
      </c>
      <c r="M57" s="214">
        <f t="shared" si="2"/>
        <v>-0.25709550124811742</v>
      </c>
      <c r="N57" s="163">
        <f>'2021'!K57</f>
        <v>8662364.1699999999</v>
      </c>
      <c r="O57" s="163">
        <f>'2021'!K131</f>
        <v>8833967.0800000001</v>
      </c>
      <c r="P57" s="212">
        <f t="shared" si="6"/>
        <v>-171602.91000000015</v>
      </c>
      <c r="Q57" s="214">
        <f t="shared" si="3"/>
        <v>-1.9425350858337187E-2</v>
      </c>
      <c r="R57" s="163">
        <f>'2020'!K57</f>
        <v>9553316.6400000006</v>
      </c>
      <c r="S57" s="212">
        <f t="shared" si="4"/>
        <v>-890952.47000000067</v>
      </c>
      <c r="T57" s="214">
        <f t="shared" si="5"/>
        <v>-9.3261063521076881E-2</v>
      </c>
    </row>
    <row r="58" spans="1:23" ht="15.75" thickBot="1">
      <c r="A58" s="144">
        <v>4418</v>
      </c>
      <c r="B58" s="505" t="str">
        <f>+VLOOKUP($A58,Master!$D$29:$G$225,4,FALSE)</f>
        <v>Izdaci za kupovinu hartija od vrijednosti</v>
      </c>
      <c r="C58" s="506"/>
      <c r="D58" s="506"/>
      <c r="E58" s="506"/>
      <c r="F58" s="506"/>
      <c r="G58" s="336">
        <f>'2021'!S58</f>
        <v>0</v>
      </c>
      <c r="H58" s="336">
        <f>'2021'!S132</f>
        <v>550176</v>
      </c>
      <c r="I58" s="337">
        <f t="shared" ref="I58:I64" si="9">+G58-H58</f>
        <v>-550176</v>
      </c>
      <c r="J58" s="338">
        <f t="shared" si="1"/>
        <v>-1</v>
      </c>
      <c r="K58" s="336">
        <f>SUM('2020'!G58:K58)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'2021'!K58</f>
        <v>0</v>
      </c>
      <c r="O58" s="336">
        <f>'2021'!K132</f>
        <v>13392</v>
      </c>
      <c r="P58" s="337">
        <f t="shared" ref="P58:P64" si="11">+N58-O58</f>
        <v>-13392</v>
      </c>
      <c r="Q58" s="338">
        <f t="shared" si="3"/>
        <v>-1</v>
      </c>
      <c r="R58" s="336">
        <f>'2020'!K58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320">
        <f>'2021'!S59</f>
        <v>-499156795.59000003</v>
      </c>
      <c r="H59" s="320">
        <f>'2021'!S133</f>
        <v>-594985505.27004802</v>
      </c>
      <c r="I59" s="322">
        <f t="shared" si="9"/>
        <v>95828709.680047989</v>
      </c>
      <c r="J59" s="323">
        <f t="shared" si="1"/>
        <v>-0.16106057850359545</v>
      </c>
      <c r="K59" s="320">
        <f>SUM('2020'!G59:K59)</f>
        <v>-617673501.76999998</v>
      </c>
      <c r="L59" s="322">
        <f t="shared" si="10"/>
        <v>118516706.17999995</v>
      </c>
      <c r="M59" s="323">
        <f t="shared" si="2"/>
        <v>-0.19187597628905806</v>
      </c>
      <c r="N59" s="320">
        <f>'2021'!K59</f>
        <v>-36376499.430000052</v>
      </c>
      <c r="O59" s="320">
        <f>'2021'!K133</f>
        <v>-55247794.085619643</v>
      </c>
      <c r="P59" s="322">
        <f t="shared" si="11"/>
        <v>18871294.655619591</v>
      </c>
      <c r="Q59" s="323">
        <f t="shared" si="3"/>
        <v>-0.34157553198185642</v>
      </c>
      <c r="R59" s="320">
        <f>'2020'!K59</f>
        <v>-55878956.473999977</v>
      </c>
      <c r="S59" s="322">
        <f t="shared" si="12"/>
        <v>19502457.043999925</v>
      </c>
      <c r="T59" s="323">
        <f t="shared" si="5"/>
        <v>-0.34901254917088975</v>
      </c>
    </row>
    <row r="60" spans="1:23" ht="15.7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'2021'!S60</f>
        <v>499156795.59000003</v>
      </c>
      <c r="H60" s="151">
        <f>'2021'!S134</f>
        <v>594985505.27004802</v>
      </c>
      <c r="I60" s="321">
        <f t="shared" si="9"/>
        <v>-95828709.680047989</v>
      </c>
      <c r="J60" s="324">
        <f t="shared" si="1"/>
        <v>-0.16106057850359545</v>
      </c>
      <c r="K60" s="151">
        <f>SUM('2020'!G60:K60)</f>
        <v>617673501.76999998</v>
      </c>
      <c r="L60" s="321">
        <f t="shared" si="10"/>
        <v>-118516706.17999995</v>
      </c>
      <c r="M60" s="324">
        <f t="shared" si="2"/>
        <v>-0.19187597628905806</v>
      </c>
      <c r="N60" s="151">
        <f>'2021'!K60</f>
        <v>36376499.430000052</v>
      </c>
      <c r="O60" s="151">
        <f>'2021'!K134</f>
        <v>55247794.085619643</v>
      </c>
      <c r="P60" s="321">
        <f t="shared" si="11"/>
        <v>-18871294.655619591</v>
      </c>
      <c r="Q60" s="324">
        <f t="shared" si="3"/>
        <v>-0.34157553198185642</v>
      </c>
      <c r="R60" s="151">
        <f>'2020'!K60</f>
        <v>55878956.473999977</v>
      </c>
      <c r="S60" s="321">
        <f t="shared" si="12"/>
        <v>-19502457.043999925</v>
      </c>
      <c r="T60" s="324">
        <f t="shared" si="5"/>
        <v>-0.34901254917088975</v>
      </c>
    </row>
    <row r="61" spans="1:23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163">
        <f>SUM('2020'!G61:K61)</f>
        <v>67832059.129999995</v>
      </c>
      <c r="L61" s="212">
        <f t="shared" si="10"/>
        <v>-67832059.129999995</v>
      </c>
      <c r="M61" s="214">
        <f t="shared" si="2"/>
        <v>-1</v>
      </c>
      <c r="N61" s="484">
        <f>'2021'!K61</f>
        <v>0</v>
      </c>
      <c r="O61" s="484">
        <f>'2021'!K135</f>
        <v>0</v>
      </c>
      <c r="P61" s="212">
        <f t="shared" si="11"/>
        <v>0</v>
      </c>
      <c r="Q61" s="214" t="str">
        <f t="shared" si="3"/>
        <v>...</v>
      </c>
      <c r="R61" s="163">
        <f>'2020'!K61</f>
        <v>10000000</v>
      </c>
      <c r="S61" s="212">
        <f t="shared" si="12"/>
        <v>-10000000</v>
      </c>
      <c r="T61" s="214">
        <f t="shared" si="5"/>
        <v>-1</v>
      </c>
    </row>
    <row r="62" spans="1:23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163">
        <f>'2021'!S62</f>
        <v>22450253.350000001</v>
      </c>
      <c r="H62" s="163">
        <f>'2021'!S136</f>
        <v>18600000</v>
      </c>
      <c r="I62" s="212">
        <f t="shared" si="9"/>
        <v>3850253.3500000015</v>
      </c>
      <c r="J62" s="214">
        <f t="shared" si="1"/>
        <v>0.20700286827956993</v>
      </c>
      <c r="K62" s="163">
        <f>SUM('2020'!G62:K62)</f>
        <v>260463142.86000001</v>
      </c>
      <c r="L62" s="212">
        <f t="shared" si="10"/>
        <v>-238012889.51000002</v>
      </c>
      <c r="M62" s="214">
        <f t="shared" si="2"/>
        <v>-0.91380640998382212</v>
      </c>
      <c r="N62" s="163">
        <f>'2021'!K62</f>
        <v>1156634.1200000001</v>
      </c>
      <c r="O62" s="163">
        <f>'2021'!K136</f>
        <v>1000000</v>
      </c>
      <c r="P62" s="212">
        <f t="shared" si="11"/>
        <v>156634.12000000011</v>
      </c>
      <c r="Q62" s="214">
        <f t="shared" si="3"/>
        <v>0.1566341200000001</v>
      </c>
      <c r="R62" s="163">
        <f>'2020'!K62</f>
        <v>250307576.15000001</v>
      </c>
      <c r="S62" s="212">
        <f t="shared" si="12"/>
        <v>-249150942.03</v>
      </c>
      <c r="T62" s="214">
        <f t="shared" si="5"/>
        <v>-0.99537914857476439</v>
      </c>
    </row>
    <row r="63" spans="1:23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163">
        <f>'2021'!S63</f>
        <v>452884.87</v>
      </c>
      <c r="H63" s="163">
        <f>'2021'!S137</f>
        <v>502782.51</v>
      </c>
      <c r="I63" s="212">
        <f t="shared" si="9"/>
        <v>-49897.640000000014</v>
      </c>
      <c r="J63" s="214">
        <f t="shared" si="1"/>
        <v>-9.9242990771496786E-2</v>
      </c>
      <c r="K63" s="163">
        <f>SUM('2020'!G63:K63)</f>
        <v>1572916.4000000001</v>
      </c>
      <c r="L63" s="212">
        <f t="shared" si="10"/>
        <v>-1120031.5300000003</v>
      </c>
      <c r="M63" s="214">
        <f t="shared" si="2"/>
        <v>-0.71207314641769903</v>
      </c>
      <c r="N63" s="163">
        <f>'2021'!K63</f>
        <v>297151.57</v>
      </c>
      <c r="O63" s="163">
        <f>'2021'!K137</f>
        <v>300000</v>
      </c>
      <c r="P63" s="212">
        <f t="shared" si="11"/>
        <v>-2848.429999999993</v>
      </c>
      <c r="Q63" s="214">
        <f t="shared" si="3"/>
        <v>-9.4947666666665986E-3</v>
      </c>
      <c r="R63" s="163">
        <f>'2020'!K63</f>
        <v>270349.07</v>
      </c>
      <c r="S63" s="212">
        <f t="shared" si="12"/>
        <v>26802.5</v>
      </c>
      <c r="T63" s="214">
        <f t="shared" si="5"/>
        <v>9.9140344740227926E-2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476253657.37000006</v>
      </c>
      <c r="H64" s="318">
        <f>'2021'!S138</f>
        <v>575882722.76004803</v>
      </c>
      <c r="I64" s="226">
        <f t="shared" si="9"/>
        <v>-99629065.390047967</v>
      </c>
      <c r="J64" s="228">
        <f t="shared" si="1"/>
        <v>-0.17300235178536549</v>
      </c>
      <c r="K64" s="318">
        <f>SUM('2020'!G64:K64)</f>
        <v>287805383.38</v>
      </c>
      <c r="L64" s="226">
        <f t="shared" si="10"/>
        <v>188448273.99000007</v>
      </c>
      <c r="M64" s="228">
        <f t="shared" si="2"/>
        <v>0.65477675148690628</v>
      </c>
      <c r="N64" s="318">
        <f>'2021'!K64</f>
        <v>34922713.740000054</v>
      </c>
      <c r="O64" s="318">
        <f>'2021'!K138</f>
        <v>53947794.085619643</v>
      </c>
      <c r="P64" s="226">
        <f t="shared" si="11"/>
        <v>-19025080.345619589</v>
      </c>
      <c r="Q64" s="228">
        <f t="shared" si="3"/>
        <v>-0.35265724332352133</v>
      </c>
      <c r="R64" s="318">
        <f>'2020'!K64</f>
        <v>-204698968.74600002</v>
      </c>
      <c r="S64" s="226">
        <f t="shared" si="12"/>
        <v>239621682.48600006</v>
      </c>
      <c r="T64" s="228">
        <f t="shared" si="5"/>
        <v>-1.170605225585351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djx3numDUdpFB7trpa05iEQfkHPrlmrtb/2R2Xn+X0oHO4kJ91Bw6pzl2twj8SX9aFmYjN5VBVP+COfj3A85ig==" saltValue="DI2nKzPrj293FiBj4131lA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G20" sqref="G2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35" t="str">
        <f>+Master!G251</f>
        <v>Ostvarenje budžeta</v>
      </c>
      <c r="C7" s="518"/>
      <c r="D7" s="518"/>
      <c r="E7" s="518"/>
      <c r="F7" s="518"/>
      <c r="G7" s="526">
        <v>2021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tr">
        <f>+Master!G248</f>
        <v>BDP</v>
      </c>
      <c r="T7" s="236">
        <v>4636600000</v>
      </c>
    </row>
    <row r="8" spans="1:20" ht="16.5" customHeight="1">
      <c r="A8" s="144"/>
      <c r="B8" s="519"/>
      <c r="C8" s="520"/>
      <c r="D8" s="520"/>
      <c r="E8" s="520"/>
      <c r="F8" s="52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6" t="str">
        <f>+Master!G246</f>
        <v>Jan - Dec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f>+G11+G19+SUM(G24:G28)</f>
        <v>88645432.13000001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136077973.88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628598522.58000004</v>
      </c>
      <c r="T10" s="463">
        <f>+S10/$T$7*100</f>
        <v>13.557316192468621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404505174.12</v>
      </c>
      <c r="T11" s="464">
        <f t="shared" ref="T11:T64" si="3">+S11/$T$7*100</f>
        <v>8.7241766406418488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42105248.439999998</v>
      </c>
      <c r="T12" s="465">
        <f t="shared" si="3"/>
        <v>0.90810612172712757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52848820.409999996</v>
      </c>
      <c r="T13" s="465">
        <f t="shared" si="3"/>
        <v>1.1398184102575162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602256.56999999995</v>
      </c>
      <c r="T14" s="465">
        <f t="shared" si="3"/>
        <v>1.2989185394470085E-2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218788973.43000001</v>
      </c>
      <c r="T15" s="465">
        <f t="shared" si="3"/>
        <v>4.7187372952163225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76512499.549999997</v>
      </c>
      <c r="T16" s="465">
        <f t="shared" si="3"/>
        <v>1.6501854710348101</v>
      </c>
    </row>
    <row r="17" spans="1:23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9528185.4399999995</v>
      </c>
      <c r="T17" s="465">
        <f t="shared" si="3"/>
        <v>0.20549940559893023</v>
      </c>
    </row>
    <row r="18" spans="1:23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4119190.2800000003</v>
      </c>
      <c r="T18" s="465">
        <f t="shared" si="3"/>
        <v>8.8840751412673086E-2</v>
      </c>
    </row>
    <row r="19" spans="1:23">
      <c r="A19" s="150">
        <v>712</v>
      </c>
      <c r="B19" s="493" t="str">
        <f>+VLOOKUP($A19,Master!$D$29:$G$225,4,FALSE)</f>
        <v>Doprinosi</v>
      </c>
      <c r="C19" s="494"/>
      <c r="D19" s="494"/>
      <c r="E19" s="494"/>
      <c r="F19" s="494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187861901.63</v>
      </c>
      <c r="T19" s="466">
        <f t="shared" si="3"/>
        <v>4.051716810378295</v>
      </c>
    </row>
    <row r="20" spans="1:23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115839239.68000001</v>
      </c>
      <c r="T20" s="465">
        <f t="shared" si="3"/>
        <v>2.4983660371824183</v>
      </c>
    </row>
    <row r="21" spans="1:23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61772752.689999998</v>
      </c>
      <c r="T21" s="465">
        <f t="shared" si="3"/>
        <v>1.3322855689513868</v>
      </c>
    </row>
    <row r="22" spans="1:23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5642617.6400000006</v>
      </c>
      <c r="T22" s="465">
        <f t="shared" si="3"/>
        <v>0.12169731354872106</v>
      </c>
    </row>
    <row r="23" spans="1:23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4607291.62</v>
      </c>
      <c r="T23" s="465">
        <f t="shared" si="3"/>
        <v>9.9367890695768457E-2</v>
      </c>
      <c r="W23" s="305"/>
    </row>
    <row r="24" spans="1:23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898901.07000000007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3770209.540000001</v>
      </c>
      <c r="T24" s="466">
        <f t="shared" si="3"/>
        <v>8.1314099555708938E-2</v>
      </c>
      <c r="W24" s="305"/>
    </row>
    <row r="25" spans="1:23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13777655.859999999</v>
      </c>
      <c r="T25" s="466">
        <f t="shared" si="3"/>
        <v>0.29714997756977096</v>
      </c>
    </row>
    <row r="26" spans="1:23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v>1525774.85</v>
      </c>
      <c r="H26" s="175">
        <v>1791757.35</v>
      </c>
      <c r="I26" s="175">
        <v>1695243.19</v>
      </c>
      <c r="J26" s="175">
        <v>1359110.1400000001</v>
      </c>
      <c r="K26" s="175">
        <v>3299638.81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9671524.3400000017</v>
      </c>
      <c r="T26" s="466">
        <f t="shared" si="3"/>
        <v>0.2085908713281284</v>
      </c>
    </row>
    <row r="27" spans="1:23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3374713.05</v>
      </c>
      <c r="T27" s="466">
        <f t="shared" si="3"/>
        <v>7.2784217961437261E-2</v>
      </c>
    </row>
    <row r="28" spans="1:23" ht="13.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5637344.040000001</v>
      </c>
      <c r="T28" s="467">
        <f t="shared" si="3"/>
        <v>0.12158357503342969</v>
      </c>
    </row>
    <row r="29" spans="1:23" ht="13.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>+G30+G40+G46+SUM(G47:G51)</f>
        <v>127396828.25</v>
      </c>
      <c r="H29" s="151">
        <f t="shared" ref="H29:R29" si="6">+H30+H40+H46+SUM(H47:H51)</f>
        <v>159900252.53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156171645.39000005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792249465.57999992</v>
      </c>
      <c r="T29" s="468">
        <f t="shared" si="3"/>
        <v>17.086862476383555</v>
      </c>
    </row>
    <row r="30" spans="1:23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68135759.570000023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347752014.04000008</v>
      </c>
      <c r="T30" s="464">
        <f t="shared" si="3"/>
        <v>7.5001512755036037</v>
      </c>
      <c r="U30" s="242"/>
    </row>
    <row r="31" spans="1:23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46327095.700000003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227008984.50999999</v>
      </c>
      <c r="T31" s="465">
        <f t="shared" si="3"/>
        <v>4.8960226137687091</v>
      </c>
    </row>
    <row r="32" spans="1:23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847955.01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3804299.54</v>
      </c>
      <c r="T32" s="465">
        <f t="shared" si="3"/>
        <v>8.2049336582840873E-2</v>
      </c>
      <c r="U32" s="458"/>
    </row>
    <row r="33" spans="1:21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10510244.48</v>
      </c>
      <c r="T33" s="465">
        <f t="shared" si="3"/>
        <v>0.22667999137298886</v>
      </c>
      <c r="U33" s="458"/>
    </row>
    <row r="34" spans="1:21" s="362" customFormat="1">
      <c r="A34" s="361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5020178.45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18208214.940000001</v>
      </c>
      <c r="T34" s="465">
        <f t="shared" si="3"/>
        <v>0.39270618427295867</v>
      </c>
      <c r="U34" s="458"/>
    </row>
    <row r="35" spans="1:21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6944106.7400000002</v>
      </c>
      <c r="T35" s="465">
        <f t="shared" si="3"/>
        <v>0.1497672160634948</v>
      </c>
      <c r="U35" s="458"/>
    </row>
    <row r="36" spans="1:21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53798470.820000008</v>
      </c>
      <c r="T36" s="465">
        <f t="shared" si="3"/>
        <v>1.1603000219988786</v>
      </c>
      <c r="U36" s="458"/>
    </row>
    <row r="37" spans="1:21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3241184.3600000003</v>
      </c>
      <c r="T37" s="465">
        <f t="shared" si="3"/>
        <v>6.9904334210412811E-2</v>
      </c>
      <c r="U37" s="458"/>
    </row>
    <row r="38" spans="1:21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12387268.859999999</v>
      </c>
      <c r="T38" s="465">
        <f t="shared" si="3"/>
        <v>0.26716276711383341</v>
      </c>
      <c r="U38" s="458"/>
    </row>
    <row r="39" spans="1:21" s="362" customFormat="1">
      <c r="A39" s="361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11849239.789999999</v>
      </c>
      <c r="T39" s="465">
        <f t="shared" si="3"/>
        <v>0.25555881011948406</v>
      </c>
      <c r="U39" s="458"/>
    </row>
    <row r="40" spans="1:21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47454391.899999991</v>
      </c>
      <c r="K40" s="193">
        <f t="shared" si="8"/>
        <v>47582478.649999999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232261081.12999997</v>
      </c>
      <c r="T40" s="466">
        <f t="shared" si="3"/>
        <v>5.0092973543113484</v>
      </c>
      <c r="U40" s="242"/>
    </row>
    <row r="41" spans="1:21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33041116.32</v>
      </c>
      <c r="T41" s="465">
        <f t="shared" si="3"/>
        <v>0.71261519906828286</v>
      </c>
      <c r="U41" s="458"/>
    </row>
    <row r="42" spans="1:21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7756649.2899999991</v>
      </c>
      <c r="T42" s="465">
        <f t="shared" si="3"/>
        <v>0.16729175020489148</v>
      </c>
      <c r="U42" s="458"/>
    </row>
    <row r="43" spans="1:21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180606532.31</v>
      </c>
      <c r="T43" s="465">
        <f t="shared" si="3"/>
        <v>3.8952364299271021</v>
      </c>
      <c r="U43" s="458"/>
    </row>
    <row r="44" spans="1:21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6827299.2199999997</v>
      </c>
      <c r="T44" s="465">
        <f t="shared" si="3"/>
        <v>0.14724796661346676</v>
      </c>
      <c r="U44" s="458"/>
    </row>
    <row r="45" spans="1:21" s="362" customFormat="1">
      <c r="A45" s="361">
        <v>425</v>
      </c>
      <c r="B45" s="538" t="str">
        <f>+VLOOKUP($A45,Master!$D$29:$G$225,4,FALSE)</f>
        <v>Ostala prava iz zdravstvenog osiguranja</v>
      </c>
      <c r="C45" s="539"/>
      <c r="D45" s="539"/>
      <c r="E45" s="539"/>
      <c r="F45" s="539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4029483.99</v>
      </c>
      <c r="T45" s="465">
        <f t="shared" si="3"/>
        <v>8.6906008497606005E-2</v>
      </c>
      <c r="U45" s="458"/>
    </row>
    <row r="46" spans="1:21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94368923.719999999</v>
      </c>
      <c r="T46" s="466">
        <f t="shared" si="3"/>
        <v>2.0353043980502954</v>
      </c>
      <c r="U46" s="482"/>
    </row>
    <row r="47" spans="1:21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v>11603510.130000001</v>
      </c>
      <c r="H47" s="175">
        <v>7242535.6100000003</v>
      </c>
      <c r="I47" s="175">
        <v>8279888.46</v>
      </c>
      <c r="J47" s="175">
        <v>16938740.100000001</v>
      </c>
      <c r="K47" s="175">
        <v>6491669.8099999996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50556344.110000007</v>
      </c>
      <c r="T47" s="466">
        <f t="shared" si="3"/>
        <v>1.0903753636285212</v>
      </c>
      <c r="U47" s="482"/>
    </row>
    <row r="48" spans="1:21">
      <c r="A48" s="150">
        <v>451</v>
      </c>
      <c r="B48" s="540" t="str">
        <f>+VLOOKUP($A48,Master!$D$29:$G$225,4,FALSE)</f>
        <v>Pozajmice i krediti</v>
      </c>
      <c r="C48" s="541"/>
      <c r="D48" s="541"/>
      <c r="E48" s="541"/>
      <c r="F48" s="541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552118</v>
      </c>
      <c r="T48" s="465">
        <f t="shared" si="3"/>
        <v>1.1907820385627399E-2</v>
      </c>
      <c r="U48" s="482"/>
    </row>
    <row r="49" spans="1:21" s="362" customFormat="1">
      <c r="A49" s="361">
        <v>47</v>
      </c>
      <c r="B49" s="547" t="str">
        <f>+VLOOKUP($A49,Master!$D$29:$G$225,4,FALSE)</f>
        <v>Rezerve</v>
      </c>
      <c r="C49" s="548"/>
      <c r="D49" s="548"/>
      <c r="E49" s="548"/>
      <c r="F49" s="548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46271892.199999996</v>
      </c>
      <c r="T49" s="465">
        <f t="shared" si="3"/>
        <v>0.99797032739507385</v>
      </c>
      <c r="U49" s="482"/>
    </row>
    <row r="50" spans="1:21" ht="13.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3831496.4</v>
      </c>
      <c r="T50" s="465">
        <f t="shared" si="3"/>
        <v>8.2635905620497774E-2</v>
      </c>
      <c r="U50" s="482"/>
    </row>
    <row r="51" spans="1:21" ht="13.5" thickBot="1">
      <c r="A51" s="144">
        <v>4630</v>
      </c>
      <c r="B51" s="549" t="str">
        <f>+VLOOKUP($A51,Master!$D$29:$G$225,4,TRUE)</f>
        <v>Otplata obaveza iz prethodnog perioda</v>
      </c>
      <c r="C51" s="550"/>
      <c r="D51" s="550"/>
      <c r="E51" s="550"/>
      <c r="F51" s="550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16655595.98</v>
      </c>
      <c r="T51" s="469">
        <f t="shared" si="3"/>
        <v>0.35922003148859077</v>
      </c>
      <c r="U51" s="482"/>
    </row>
    <row r="52" spans="1:21" ht="13.5" thickBot="1">
      <c r="A52" s="70">
        <v>1005</v>
      </c>
      <c r="B52" s="551" t="str">
        <f>+VLOOKUP($A52,Master!$D$29:$G$227,4,FALSE)</f>
        <v>Neto povećanje obaveza</v>
      </c>
      <c r="C52" s="552"/>
      <c r="D52" s="552"/>
      <c r="E52" s="552"/>
      <c r="F52" s="552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9">+G10-G29</f>
        <v>-38751396.11999999</v>
      </c>
      <c r="H53" s="151">
        <f t="shared" si="9"/>
        <v>-54298199.260000005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-20093671.51000005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-163650943.00000003</v>
      </c>
      <c r="T53" s="471">
        <f t="shared" si="3"/>
        <v>-3.5295462839149381</v>
      </c>
    </row>
    <row r="54" spans="1:21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10">+G53+G36</f>
        <v>-31173911.04999999</v>
      </c>
      <c r="H54" s="205">
        <f t="shared" si="10"/>
        <v>-52334008.880000003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-13393370.67000005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-109852472.18000001</v>
      </c>
      <c r="T54" s="471">
        <f t="shared" si="3"/>
        <v>-2.369246261916059</v>
      </c>
    </row>
    <row r="55" spans="1:21">
      <c r="A55" s="144">
        <v>46</v>
      </c>
      <c r="B55" s="545" t="str">
        <f>+VLOOKUP($A55,Master!$D$29:$G$225,4,FALSE)</f>
        <v>Otplata dugova</v>
      </c>
      <c r="C55" s="546"/>
      <c r="D55" s="546"/>
      <c r="E55" s="546"/>
      <c r="F55" s="546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335505852.59000003</v>
      </c>
      <c r="T55" s="472">
        <f t="shared" si="3"/>
        <v>7.2360318463960667</v>
      </c>
    </row>
    <row r="56" spans="1:21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62615970.520000003</v>
      </c>
      <c r="T56" s="473">
        <f t="shared" si="3"/>
        <v>1.3504716930509426</v>
      </c>
    </row>
    <row r="57" spans="1:21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272889882.06999999</v>
      </c>
      <c r="T57" s="473">
        <f t="shared" si="3"/>
        <v>5.8855601533451232</v>
      </c>
    </row>
    <row r="58" spans="1:21" ht="13.5" thickBot="1">
      <c r="A58" s="144">
        <v>4418</v>
      </c>
      <c r="B58" s="499" t="str">
        <f>+VLOOKUP($A58,Master!$D$29:$G$225,4,FALSE)</f>
        <v>Izdaci za kupovinu hartija od vrijednosti</v>
      </c>
      <c r="C58" s="500"/>
      <c r="D58" s="500"/>
      <c r="E58" s="500"/>
      <c r="F58" s="500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-62082164.93999999</v>
      </c>
      <c r="H59" s="217">
        <f t="shared" ref="H59:R59" si="12">+H53-H55-H58</f>
        <v>-78553220.610000014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-36376499.430000052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-499156795.59000003</v>
      </c>
      <c r="T59" s="475">
        <f t="shared" si="3"/>
        <v>-10.765578130311004</v>
      </c>
    </row>
    <row r="60" spans="1:21" ht="13.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+SUM(G61:G64)</f>
        <v>62082164.93999999</v>
      </c>
      <c r="H60" s="151">
        <f t="shared" ref="H60:R60" si="13">+SUM(H61:H64)</f>
        <v>78553220.610000014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36376499.430000052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499156795.59000003</v>
      </c>
      <c r="T60" s="476">
        <f t="shared" si="3"/>
        <v>10.765578130311004</v>
      </c>
    </row>
    <row r="61" spans="1:21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v>7388647.9800000004</v>
      </c>
      <c r="H62" s="211">
        <v>2794027.91</v>
      </c>
      <c r="I62" s="211">
        <v>392627.11</v>
      </c>
      <c r="J62" s="211">
        <v>10718316.23</v>
      </c>
      <c r="K62" s="211">
        <v>1156634.1200000001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22450253.350000001</v>
      </c>
      <c r="T62" s="473">
        <f t="shared" si="3"/>
        <v>0.48419646616054873</v>
      </c>
    </row>
    <row r="63" spans="1:21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452884.87</v>
      </c>
      <c r="T63" s="473">
        <f t="shared" si="3"/>
        <v>9.7676070827761724E-3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54658768.349999987</v>
      </c>
      <c r="H64" s="225">
        <f t="shared" ref="H64:R64" si="14">-H59-SUM(H61:H63)</f>
        <v>75729624.37000002</v>
      </c>
      <c r="I64" s="225">
        <f t="shared" si="14"/>
        <v>248708618.60000002</v>
      </c>
      <c r="J64" s="225">
        <f t="shared" si="14"/>
        <v>62233932.309999958</v>
      </c>
      <c r="K64" s="225">
        <f t="shared" si="14"/>
        <v>34922713.740000054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476253657.37000006</v>
      </c>
      <c r="T64" s="477">
        <f t="shared" si="3"/>
        <v>10.271614057067682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59" t="str">
        <f>+Master!G252</f>
        <v>Plan ostvarenja budžeta</v>
      </c>
      <c r="C81" s="560"/>
      <c r="D81" s="560"/>
      <c r="E81" s="560"/>
      <c r="F81" s="560"/>
      <c r="G81" s="542">
        <v>2021</v>
      </c>
      <c r="H81" s="543"/>
      <c r="I81" s="543"/>
      <c r="J81" s="543"/>
      <c r="K81" s="543"/>
      <c r="L81" s="543"/>
      <c r="M81" s="543"/>
      <c r="N81" s="543"/>
      <c r="O81" s="543"/>
      <c r="P81" s="543"/>
      <c r="Q81" s="543"/>
      <c r="R81" s="544"/>
      <c r="S81" s="107" t="str">
        <f>+S7</f>
        <v>BDP</v>
      </c>
      <c r="T81" s="108">
        <v>4636600000</v>
      </c>
    </row>
    <row r="82" spans="1:21" ht="15.75" customHeight="1">
      <c r="B82" s="561"/>
      <c r="C82" s="562"/>
      <c r="D82" s="562"/>
      <c r="E82" s="562"/>
      <c r="F82" s="563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42" t="str">
        <f>+Master!G246</f>
        <v>Jan - Dec</v>
      </c>
      <c r="T82" s="544">
        <f>+T8</f>
        <v>0</v>
      </c>
    </row>
    <row r="83" spans="1:21" ht="13.5" thickBot="1">
      <c r="B83" s="564"/>
      <c r="C83" s="565"/>
      <c r="D83" s="565"/>
      <c r="E83" s="565"/>
      <c r="F83" s="566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53" t="str">
        <f>+VLOOKUP(LEFT($A84,LEN(A84)-1)*1,Master!$D$29:$G$225,4,FALSE)</f>
        <v>Prihodi budžeta</v>
      </c>
      <c r="C84" s="554"/>
      <c r="D84" s="554"/>
      <c r="E84" s="554"/>
      <c r="F84" s="554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629242944.27435207</v>
      </c>
      <c r="T84" s="478">
        <f>+S84/$T$81*100</f>
        <v>13.571214775360222</v>
      </c>
    </row>
    <row r="85" spans="1:21">
      <c r="A85" s="116" t="str">
        <f t="shared" si="17"/>
        <v>711p</v>
      </c>
      <c r="B85" s="555" t="str">
        <f>+VLOOKUP(LEFT($A85,LEN(A85)-1)*1,Master!$D$29:$G$225,4,FALSE)</f>
        <v>Porezi</v>
      </c>
      <c r="C85" s="556"/>
      <c r="D85" s="556"/>
      <c r="E85" s="556"/>
      <c r="F85" s="556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391475135.81472647</v>
      </c>
      <c r="T85" s="464">
        <f t="shared" ref="T85:T138" si="21">+S85/$T$81*100</f>
        <v>8.4431509255645611</v>
      </c>
      <c r="U85" s="257"/>
    </row>
    <row r="86" spans="1:21">
      <c r="A86" s="116" t="str">
        <f t="shared" si="17"/>
        <v>7111p</v>
      </c>
      <c r="B86" s="557" t="str">
        <f>+VLOOKUP(LEFT($A86,LEN(A86)-1)*1,Master!$D$29:$G$228,4,FALSE)</f>
        <v>Porez na dohodak fizičkih lica</v>
      </c>
      <c r="C86" s="558"/>
      <c r="D86" s="558"/>
      <c r="E86" s="558"/>
      <c r="F86" s="558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44974612.645816356</v>
      </c>
      <c r="T86" s="465">
        <f t="shared" si="21"/>
        <v>0.96999121437726687</v>
      </c>
    </row>
    <row r="87" spans="1:21">
      <c r="A87" s="116" t="str">
        <f t="shared" si="17"/>
        <v>7112p</v>
      </c>
      <c r="B87" s="557" t="str">
        <f>+VLOOKUP(LEFT($A87,LEN(A87)-1)*1,Master!$D$29:$G$228,4,FALSE)</f>
        <v>Porez na dobit pravnih lica</v>
      </c>
      <c r="C87" s="558"/>
      <c r="D87" s="558"/>
      <c r="E87" s="558"/>
      <c r="F87" s="558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39512865.342239209</v>
      </c>
      <c r="T87" s="465">
        <f t="shared" si="21"/>
        <v>0.85219482686104497</v>
      </c>
    </row>
    <row r="88" spans="1:21">
      <c r="A88" s="116" t="str">
        <f t="shared" si="17"/>
        <v>7113p</v>
      </c>
      <c r="B88" s="557" t="str">
        <f>+VLOOKUP(LEFT($A88,LEN(A88)-1)*1,Master!$D$29:$G$228,4,FALSE)</f>
        <v>Porez na promet nepokretnosti</v>
      </c>
      <c r="C88" s="558"/>
      <c r="D88" s="558"/>
      <c r="E88" s="558"/>
      <c r="F88" s="558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663020.94989653386</v>
      </c>
      <c r="T88" s="465">
        <f t="shared" si="21"/>
        <v>1.4299722855034593E-2</v>
      </c>
    </row>
    <row r="89" spans="1:21">
      <c r="A89" s="116" t="str">
        <f t="shared" si="17"/>
        <v>7114p</v>
      </c>
      <c r="B89" s="557" t="str">
        <f>+VLOOKUP(LEFT($A89,LEN(A89)-1)*1,Master!$D$29:$G$228,4,FALSE)</f>
        <v>Porez na dodatu vrijednost</v>
      </c>
      <c r="C89" s="558"/>
      <c r="D89" s="558"/>
      <c r="E89" s="558"/>
      <c r="F89" s="558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219335194.77898976</v>
      </c>
      <c r="T89" s="465">
        <f t="shared" si="21"/>
        <v>4.7305179394165933</v>
      </c>
    </row>
    <row r="90" spans="1:21">
      <c r="A90" s="116" t="str">
        <f t="shared" si="17"/>
        <v>7115p</v>
      </c>
      <c r="B90" s="557" t="str">
        <f>+VLOOKUP(LEFT($A90,LEN(A90)-1)*1,Master!$D$29:$G$228,4,FALSE)</f>
        <v>Akcize</v>
      </c>
      <c r="C90" s="558"/>
      <c r="D90" s="558"/>
      <c r="E90" s="558"/>
      <c r="F90" s="558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73389935.903757095</v>
      </c>
      <c r="T90" s="465">
        <f t="shared" si="21"/>
        <v>1.582839492381424</v>
      </c>
    </row>
    <row r="91" spans="1:21">
      <c r="A91" s="116" t="str">
        <f t="shared" si="17"/>
        <v>7116p</v>
      </c>
      <c r="B91" s="557" t="str">
        <f>+VLOOKUP(LEFT($A91,LEN(A91)-1)*1,Master!$D$29:$G$228,4,FALSE)</f>
        <v>Porez na međunarodnu trgovinu i transakcije</v>
      </c>
      <c r="C91" s="558"/>
      <c r="D91" s="558"/>
      <c r="E91" s="558"/>
      <c r="F91" s="558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9475331.4208385162</v>
      </c>
      <c r="T91" s="465">
        <f t="shared" si="21"/>
        <v>0.20435947506445493</v>
      </c>
    </row>
    <row r="92" spans="1:21">
      <c r="A92" s="116" t="str">
        <f t="shared" si="17"/>
        <v>7118p</v>
      </c>
      <c r="B92" s="557" t="str">
        <f>+VLOOKUP(LEFT($A92,LEN(A92)-1)*1,Master!$D$29:$G$228,4,FALSE)</f>
        <v>Ostali državni porezi</v>
      </c>
      <c r="C92" s="558"/>
      <c r="D92" s="558"/>
      <c r="E92" s="558"/>
      <c r="F92" s="558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4124174.7731890278</v>
      </c>
      <c r="T92" s="465">
        <f t="shared" si="21"/>
        <v>8.8948254608744073E-2</v>
      </c>
    </row>
    <row r="93" spans="1:21">
      <c r="A93" s="116" t="str">
        <f t="shared" si="17"/>
        <v>712p</v>
      </c>
      <c r="B93" s="569" t="str">
        <f>+VLOOKUP(LEFT($A93,LEN(A93)-1)*1,Master!$D$29:$G$228,4,FALSE)</f>
        <v>Doprinosi</v>
      </c>
      <c r="C93" s="570"/>
      <c r="D93" s="570"/>
      <c r="E93" s="570"/>
      <c r="F93" s="57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194168846.42206749</v>
      </c>
      <c r="T93" s="466">
        <f t="shared" si="21"/>
        <v>4.1877420183338545</v>
      </c>
    </row>
    <row r="94" spans="1:21">
      <c r="A94" s="116" t="str">
        <f t="shared" si="17"/>
        <v>7121p</v>
      </c>
      <c r="B94" s="557" t="str">
        <f>+VLOOKUP(LEFT($A94,LEN(A94)-1)*1,Master!$D$29:$G$228,4,FALSE)</f>
        <v>Doprinosi za penzijsko i invalidsko osiguranje</v>
      </c>
      <c r="C94" s="558"/>
      <c r="D94" s="558"/>
      <c r="E94" s="558"/>
      <c r="F94" s="558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117954455.24166393</v>
      </c>
      <c r="T94" s="465">
        <f t="shared" si="21"/>
        <v>2.5439860078864669</v>
      </c>
    </row>
    <row r="95" spans="1:21">
      <c r="A95" s="116" t="str">
        <f t="shared" si="17"/>
        <v>7122p</v>
      </c>
      <c r="B95" s="557" t="str">
        <f>+VLOOKUP(LEFT($A95,LEN(A95)-1)*1,Master!$D$29:$G$228,4,FALSE)</f>
        <v>Doprinosi za zdravstveno osiguranje</v>
      </c>
      <c r="C95" s="558"/>
      <c r="D95" s="558"/>
      <c r="E95" s="558"/>
      <c r="F95" s="558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65175978.793432847</v>
      </c>
      <c r="T95" s="465">
        <f t="shared" si="21"/>
        <v>1.4056847429891051</v>
      </c>
    </row>
    <row r="96" spans="1:21">
      <c r="A96" s="116" t="str">
        <f t="shared" si="17"/>
        <v>7123p</v>
      </c>
      <c r="B96" s="557" t="str">
        <f>+VLOOKUP(LEFT($A96,LEN(A96)-1)*1,Master!$D$29:$G$228,4,FALSE)</f>
        <v>Doprinosi za osiguranje od nezaposlenosti</v>
      </c>
      <c r="C96" s="558"/>
      <c r="D96" s="558"/>
      <c r="E96" s="558"/>
      <c r="F96" s="558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5839854.3052008618</v>
      </c>
      <c r="T96" s="465">
        <f t="shared" si="21"/>
        <v>0.12595122083425059</v>
      </c>
    </row>
    <row r="97" spans="1:20">
      <c r="A97" s="116" t="str">
        <f t="shared" si="17"/>
        <v>7124p</v>
      </c>
      <c r="B97" s="557" t="str">
        <f>+VLOOKUP(LEFT($A97,LEN(A97)-1)*1,Master!$D$29:$G$228,4,FALSE)</f>
        <v>Ostali doprinosi</v>
      </c>
      <c r="C97" s="558"/>
      <c r="D97" s="558"/>
      <c r="E97" s="558"/>
      <c r="F97" s="558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5198558.0817698743</v>
      </c>
      <c r="T97" s="465">
        <f t="shared" si="21"/>
        <v>0.11212004662403215</v>
      </c>
    </row>
    <row r="98" spans="1:20">
      <c r="A98" s="116" t="str">
        <f t="shared" si="17"/>
        <v>713p</v>
      </c>
      <c r="B98" s="567" t="str">
        <f>+VLOOKUP(LEFT($A98,LEN(A98)-1)*1,Master!$D$29:$G$228,4,FALSE)</f>
        <v>Takse</v>
      </c>
      <c r="C98" s="568"/>
      <c r="D98" s="568"/>
      <c r="E98" s="568"/>
      <c r="F98" s="56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4569067.6100950679</v>
      </c>
      <c r="T98" s="466">
        <f t="shared" si="21"/>
        <v>9.85434932945492E-2</v>
      </c>
    </row>
    <row r="99" spans="1:20">
      <c r="A99" s="116" t="str">
        <f t="shared" si="17"/>
        <v>714p</v>
      </c>
      <c r="B99" s="567" t="str">
        <f>+VLOOKUP(LEFT($A99,LEN(A99)-1)*1,Master!$D$29:$G$228,4,FALSE)</f>
        <v>Naknade</v>
      </c>
      <c r="C99" s="568"/>
      <c r="D99" s="568"/>
      <c r="E99" s="568"/>
      <c r="F99" s="56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11990112.085633118</v>
      </c>
      <c r="T99" s="466">
        <f t="shared" si="21"/>
        <v>0.25859707729010734</v>
      </c>
    </row>
    <row r="100" spans="1:20">
      <c r="A100" s="116" t="str">
        <f t="shared" si="17"/>
        <v>715p</v>
      </c>
      <c r="B100" s="567" t="str">
        <f>+VLOOKUP(LEFT($A100,LEN(A100)-1)*1,Master!$D$29:$G$228,4,FALSE)</f>
        <v>Ostali prihodi</v>
      </c>
      <c r="C100" s="568"/>
      <c r="D100" s="568"/>
      <c r="E100" s="568"/>
      <c r="F100" s="56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11194090.28335987</v>
      </c>
      <c r="T100" s="466">
        <f t="shared" si="21"/>
        <v>0.24142885483673099</v>
      </c>
    </row>
    <row r="101" spans="1:20">
      <c r="A101" s="116" t="str">
        <f t="shared" si="17"/>
        <v>73p</v>
      </c>
      <c r="B101" s="567" t="str">
        <f>+VLOOKUP(LEFT($A101,LEN(A101)-1)*1,Master!$D$29:$G$228,4,FALSE)</f>
        <v>Primici od otplate kredita i sredstva prenesena iz prethodne godine</v>
      </c>
      <c r="C101" s="568"/>
      <c r="D101" s="568"/>
      <c r="E101" s="568"/>
      <c r="F101" s="56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2029866.6510017659</v>
      </c>
      <c r="T101" s="466">
        <f t="shared" si="21"/>
        <v>4.3779205689551952E-2</v>
      </c>
    </row>
    <row r="102" spans="1:20" ht="13.5" thickBot="1">
      <c r="A102" s="116" t="str">
        <f t="shared" si="17"/>
        <v>74p</v>
      </c>
      <c r="B102" s="571" t="str">
        <f>+VLOOKUP(LEFT($A102,LEN(A102)-1)*1,Master!$D$29:$G$228,4,FALSE)</f>
        <v>Donacije i transferi</v>
      </c>
      <c r="C102" s="572"/>
      <c r="D102" s="572"/>
      <c r="E102" s="572"/>
      <c r="F102" s="572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13815825.407468211</v>
      </c>
      <c r="T102" s="467">
        <f t="shared" si="21"/>
        <v>0.29797320035086511</v>
      </c>
    </row>
    <row r="103" spans="1:20" ht="13.5" thickBot="1">
      <c r="A103" s="116" t="str">
        <f t="shared" si="17"/>
        <v>4p</v>
      </c>
      <c r="B103" s="573" t="str">
        <f>+VLOOKUP(LEFT($A103,LEN(A103)-1)*1,Master!$D$29:$G$228,4,FALSE)</f>
        <v>Izdaci budžeta</v>
      </c>
      <c r="C103" s="574"/>
      <c r="D103" s="574"/>
      <c r="E103" s="574"/>
      <c r="F103" s="574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164798207.99250004</v>
      </c>
      <c r="K103" s="93">
        <f t="shared" si="23"/>
        <v>179716035.72759998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873901743.85440004</v>
      </c>
      <c r="T103" s="479">
        <f t="shared" si="21"/>
        <v>18.847900268610619</v>
      </c>
    </row>
    <row r="104" spans="1:20">
      <c r="A104" s="116" t="str">
        <f t="shared" si="17"/>
        <v>41p</v>
      </c>
      <c r="B104" s="575" t="str">
        <f>+VLOOKUP(LEFT($A104,LEN(A104)-1)*1,Master!$D$29:$G$228,4,FALSE)</f>
        <v>Tekući izdaci</v>
      </c>
      <c r="C104" s="576"/>
      <c r="D104" s="576"/>
      <c r="E104" s="576"/>
      <c r="F104" s="57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381317278.76480007</v>
      </c>
      <c r="T104" s="464">
        <f t="shared" si="21"/>
        <v>8.2240710599318483</v>
      </c>
    </row>
    <row r="105" spans="1:20">
      <c r="A105" s="116" t="str">
        <f t="shared" si="17"/>
        <v>411p</v>
      </c>
      <c r="B105" s="557" t="str">
        <f>+VLOOKUP(LEFT($A105,LEN(A105)-1)*1,Master!$D$29:$G$228,4,FALSE)</f>
        <v>Bruto zarade i doprinosi na teret poslodavca</v>
      </c>
      <c r="C105" s="558"/>
      <c r="D105" s="558"/>
      <c r="E105" s="558"/>
      <c r="F105" s="558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225823463.34920001</v>
      </c>
      <c r="T105" s="465">
        <f t="shared" si="21"/>
        <v>4.8704538530216102</v>
      </c>
    </row>
    <row r="106" spans="1:20">
      <c r="A106" s="116" t="str">
        <f t="shared" si="17"/>
        <v>412p</v>
      </c>
      <c r="B106" s="557" t="str">
        <f>+VLOOKUP(LEFT($A106,LEN(A106)-1)*1,Master!$D$29:$G$228,4,FALSE)</f>
        <v>Ostala lična primanja</v>
      </c>
      <c r="C106" s="558"/>
      <c r="D106" s="558"/>
      <c r="E106" s="558"/>
      <c r="F106" s="558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5448312.5239999974</v>
      </c>
      <c r="T106" s="465">
        <f t="shared" si="21"/>
        <v>0.11750663253245908</v>
      </c>
    </row>
    <row r="107" spans="1:20">
      <c r="A107" s="116" t="str">
        <f t="shared" si="17"/>
        <v>413p</v>
      </c>
      <c r="B107" s="557" t="str">
        <f>+VLOOKUP(LEFT($A107,LEN(A107)-1)*1,Master!$D$29:$G$228,4,FALSE)</f>
        <v>Rashodi za materijal</v>
      </c>
      <c r="C107" s="558"/>
      <c r="D107" s="558"/>
      <c r="E107" s="558"/>
      <c r="F107" s="558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15813924.862099994</v>
      </c>
      <c r="T107" s="465">
        <f t="shared" si="21"/>
        <v>0.34106726614545124</v>
      </c>
    </row>
    <row r="108" spans="1:20">
      <c r="A108" s="116" t="str">
        <f t="shared" si="17"/>
        <v>414p</v>
      </c>
      <c r="B108" s="557" t="str">
        <f>+VLOOKUP(LEFT($A108,LEN(A108)-1)*1,Master!$D$29:$G$228,4,FALSE)</f>
        <v>Rashodi za usluge</v>
      </c>
      <c r="C108" s="558"/>
      <c r="D108" s="558"/>
      <c r="E108" s="558"/>
      <c r="F108" s="558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30030079.864</v>
      </c>
      <c r="T108" s="465">
        <f t="shared" si="21"/>
        <v>0.64767458620540908</v>
      </c>
    </row>
    <row r="109" spans="1:20">
      <c r="A109" s="116" t="str">
        <f t="shared" si="17"/>
        <v>415p</v>
      </c>
      <c r="B109" s="557" t="str">
        <f>+VLOOKUP(LEFT($A109,LEN(A109)-1)*1,Master!$D$29:$G$228,4,FALSE)</f>
        <v>Rashodi za tekuće održavanje</v>
      </c>
      <c r="C109" s="558"/>
      <c r="D109" s="558"/>
      <c r="E109" s="558"/>
      <c r="F109" s="558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8771105.4200999998</v>
      </c>
      <c r="T109" s="465">
        <f t="shared" si="21"/>
        <v>0.18917106112453089</v>
      </c>
    </row>
    <row r="110" spans="1:20">
      <c r="A110" s="116" t="str">
        <f t="shared" si="17"/>
        <v>416p</v>
      </c>
      <c r="B110" s="557" t="str">
        <f>+VLOOKUP(LEFT($A110,LEN(A110)-1)*1,Master!$D$29:$G$228,4,FALSE)</f>
        <v>Kamate</v>
      </c>
      <c r="C110" s="558"/>
      <c r="D110" s="558"/>
      <c r="E110" s="558"/>
      <c r="F110" s="558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54080175.118200019</v>
      </c>
      <c r="T110" s="465">
        <f t="shared" si="21"/>
        <v>1.166375687318294</v>
      </c>
    </row>
    <row r="111" spans="1:20">
      <c r="A111" s="116" t="str">
        <f t="shared" si="17"/>
        <v>417p</v>
      </c>
      <c r="B111" s="557" t="str">
        <f>+VLOOKUP(LEFT($A111,LEN(A111)-1)*1,Master!$D$29:$G$228,4,FALSE)</f>
        <v>Renta</v>
      </c>
      <c r="C111" s="558"/>
      <c r="D111" s="558"/>
      <c r="E111" s="558"/>
      <c r="F111" s="558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4284411.4242000002</v>
      </c>
      <c r="T111" s="465">
        <f t="shared" si="21"/>
        <v>9.240416305482467E-2</v>
      </c>
    </row>
    <row r="112" spans="1:20">
      <c r="A112" s="116" t="str">
        <f t="shared" si="17"/>
        <v>418p</v>
      </c>
      <c r="B112" s="557" t="str">
        <f>+VLOOKUP(LEFT($A112,LEN(A112)-1)*1,Master!$D$29:$G$228,4,FALSE)</f>
        <v>Subvencije</v>
      </c>
      <c r="C112" s="558"/>
      <c r="D112" s="558"/>
      <c r="E112" s="558"/>
      <c r="F112" s="558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18871519.694800001</v>
      </c>
      <c r="T112" s="465">
        <f t="shared" si="21"/>
        <v>0.40701202809817544</v>
      </c>
    </row>
    <row r="113" spans="1:20">
      <c r="A113" s="116" t="str">
        <f t="shared" si="17"/>
        <v>419p</v>
      </c>
      <c r="B113" s="557" t="str">
        <f>+VLOOKUP(LEFT($A113,LEN(A113)-1)*1,Master!$D$29:$G$228,4,FALSE)</f>
        <v>Ostali izdaci</v>
      </c>
      <c r="C113" s="558"/>
      <c r="D113" s="558"/>
      <c r="E113" s="558"/>
      <c r="F113" s="558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18194286.508199997</v>
      </c>
      <c r="T113" s="465">
        <f t="shared" si="21"/>
        <v>0.3924057824310917</v>
      </c>
    </row>
    <row r="114" spans="1:20">
      <c r="A114" s="116" t="str">
        <f t="shared" si="17"/>
        <v>42p</v>
      </c>
      <c r="B114" s="581" t="str">
        <f>+VLOOKUP(LEFT($A114,LEN(A114)-1)*1,Master!$D$29:$G$228,4,FALSE)</f>
        <v>Transferi za socijalnu zaštitu</v>
      </c>
      <c r="C114" s="582"/>
      <c r="D114" s="582"/>
      <c r="E114" s="582"/>
      <c r="F114" s="582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235177011.89899999</v>
      </c>
      <c r="T114" s="466">
        <f t="shared" si="21"/>
        <v>5.072186772613553</v>
      </c>
    </row>
    <row r="115" spans="1:20">
      <c r="A115" s="116" t="str">
        <f t="shared" si="17"/>
        <v>421p</v>
      </c>
      <c r="B115" s="557" t="str">
        <f>+VLOOKUP(LEFT($A115,LEN(A115)-1)*1,Master!$D$29:$G$228,4,FALSE)</f>
        <v>Prava iz oblasti socijalne zaštite</v>
      </c>
      <c r="C115" s="558"/>
      <c r="D115" s="558"/>
      <c r="E115" s="558"/>
      <c r="F115" s="558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33887140.640000001</v>
      </c>
      <c r="T115" s="465">
        <f t="shared" si="21"/>
        <v>0.73086185221929867</v>
      </c>
    </row>
    <row r="116" spans="1:20">
      <c r="A116" s="116" t="str">
        <f t="shared" ref="A116:A138" si="26">+CONCATENATE(A42,"p")</f>
        <v>422p</v>
      </c>
      <c r="B116" s="557" t="str">
        <f>+VLOOKUP(LEFT($A116,LEN(A116)-1)*1,Master!$D$29:$G$228,4,FALSE)</f>
        <v>Sredstva za tehnološke viškove</v>
      </c>
      <c r="C116" s="558"/>
      <c r="D116" s="558"/>
      <c r="E116" s="558"/>
      <c r="F116" s="558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8362984.8082999997</v>
      </c>
      <c r="T116" s="465">
        <f t="shared" si="21"/>
        <v>0.18036890843074666</v>
      </c>
    </row>
    <row r="117" spans="1:20">
      <c r="A117" s="116" t="str">
        <f t="shared" si="26"/>
        <v>423p</v>
      </c>
      <c r="B117" s="557" t="str">
        <f>+VLOOKUP(LEFT($A117,LEN(A117)-1)*1,Master!$D$29:$G$228,4,FALSE)</f>
        <v>Prava iz oblasti penzijskog i invalidskog osiguranja</v>
      </c>
      <c r="C117" s="558"/>
      <c r="D117" s="558"/>
      <c r="E117" s="558"/>
      <c r="F117" s="558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181342020.50589997</v>
      </c>
      <c r="T117" s="465">
        <f t="shared" si="21"/>
        <v>3.9110990921343216</v>
      </c>
    </row>
    <row r="118" spans="1:20">
      <c r="A118" s="116" t="str">
        <f t="shared" si="26"/>
        <v>424p</v>
      </c>
      <c r="B118" s="557" t="str">
        <f>+VLOOKUP(LEFT($A118,LEN(A118)-1)*1,Master!$D$29:$G$228,4,FALSE)</f>
        <v>Ostala prava iz oblasti zdravstvene zaštite</v>
      </c>
      <c r="C118" s="558"/>
      <c r="D118" s="558"/>
      <c r="E118" s="558"/>
      <c r="F118" s="558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7328529.6173999999</v>
      </c>
      <c r="T118" s="465">
        <f t="shared" si="21"/>
        <v>0.15805826720873054</v>
      </c>
    </row>
    <row r="119" spans="1:20">
      <c r="A119" s="116" t="str">
        <f t="shared" si="26"/>
        <v>425p</v>
      </c>
      <c r="B119" s="557" t="str">
        <f>+VLOOKUP(LEFT($A119,LEN(A119)-1)*1,Master!$D$29:$G$228,4,FALSE)</f>
        <v>Ostala prava iz zdravstvenog osiguranja</v>
      </c>
      <c r="C119" s="558"/>
      <c r="D119" s="558"/>
      <c r="E119" s="558"/>
      <c r="F119" s="558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4256336.3273999998</v>
      </c>
      <c r="T119" s="465">
        <f t="shared" si="21"/>
        <v>9.179865262045464E-2</v>
      </c>
    </row>
    <row r="120" spans="1:20">
      <c r="A120" s="116" t="str">
        <f t="shared" si="26"/>
        <v>43p</v>
      </c>
      <c r="B120" s="577" t="str">
        <f>+VLOOKUP(LEFT($A120,LEN(A120)-1)*1,Master!$D$29:$G$228,4,FALSE)</f>
        <v xml:space="preserve">Transferi institucijama, pojedincima, nevladinom i javnom sektoru </v>
      </c>
      <c r="C120" s="578"/>
      <c r="D120" s="578"/>
      <c r="E120" s="578"/>
      <c r="F120" s="578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110950265.05010001</v>
      </c>
      <c r="T120" s="466">
        <f t="shared" si="21"/>
        <v>2.3929229403032397</v>
      </c>
    </row>
    <row r="121" spans="1:20">
      <c r="A121" s="116" t="str">
        <f t="shared" si="26"/>
        <v>44p</v>
      </c>
      <c r="B121" s="577" t="str">
        <f>+VLOOKUP(LEFT($A121,LEN(A121)-1)*1,Master!$D$29:$G$228,4,FALSE)</f>
        <v>Kapitalni izdaci</v>
      </c>
      <c r="C121" s="578"/>
      <c r="D121" s="578"/>
      <c r="E121" s="578"/>
      <c r="F121" s="578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78610323.787599996</v>
      </c>
      <c r="T121" s="466">
        <f t="shared" si="21"/>
        <v>1.6954303538713713</v>
      </c>
    </row>
    <row r="122" spans="1:20">
      <c r="A122" s="116" t="str">
        <f t="shared" si="26"/>
        <v>451p</v>
      </c>
      <c r="B122" s="579" t="str">
        <f>+VLOOKUP(LEFT($A122,LEN(A122)-1)*1,Master!$D$29:$G$228,4,FALSE)</f>
        <v>Pozajmice i krediti</v>
      </c>
      <c r="C122" s="580"/>
      <c r="D122" s="580"/>
      <c r="E122" s="580"/>
      <c r="F122" s="580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767400.5022000001</v>
      </c>
      <c r="T122" s="465">
        <f t="shared" si="21"/>
        <v>1.6550931764655139E-2</v>
      </c>
    </row>
    <row r="123" spans="1:20">
      <c r="A123" s="116" t="str">
        <f t="shared" si="26"/>
        <v>47p</v>
      </c>
      <c r="B123" s="579" t="str">
        <f>+VLOOKUP(LEFT($A123,LEN(A123)-1)*1,Master!$D$29:$G$228,4,FALSE)</f>
        <v>Rezerve</v>
      </c>
      <c r="C123" s="580"/>
      <c r="D123" s="580"/>
      <c r="E123" s="580"/>
      <c r="F123" s="580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50961814.020000003</v>
      </c>
      <c r="T123" s="465">
        <f t="shared" si="21"/>
        <v>1.0991203472371998</v>
      </c>
    </row>
    <row r="124" spans="1:20">
      <c r="A124" s="116" t="str">
        <f t="shared" si="26"/>
        <v>462p</v>
      </c>
      <c r="B124" s="579" t="str">
        <f>+VLOOKUP(LEFT($A124,LEN(A124)-1)*1,Master!$D$29:$G$228,4,FALSE)</f>
        <v>Otplata garancija</v>
      </c>
      <c r="C124" s="580"/>
      <c r="D124" s="580"/>
      <c r="E124" s="580"/>
      <c r="F124" s="580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79" t="str">
        <f>+VLOOKUP(LEFT($A125,LEN(A125)-1)*1,Master!$D$29:$G$228,4,FALSE)</f>
        <v>Otplata obaveza iz prethodnog perioda</v>
      </c>
      <c r="C125" s="580"/>
      <c r="D125" s="580"/>
      <c r="E125" s="580"/>
      <c r="F125" s="580"/>
      <c r="G125" s="96">
        <v>1590076.06</v>
      </c>
      <c r="H125" s="87">
        <v>2656778.3092999929</v>
      </c>
      <c r="I125" s="87">
        <v>2677062.2602999979</v>
      </c>
      <c r="J125" s="87">
        <v>2665179.0145999948</v>
      </c>
      <c r="K125" s="87">
        <v>2652188.0464999946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12241283.69069998</v>
      </c>
      <c r="T125" s="473">
        <f t="shared" si="21"/>
        <v>0.26401422789759693</v>
      </c>
    </row>
    <row r="126" spans="1:20" ht="13.5" thickBot="1">
      <c r="A126" s="116" t="str">
        <f t="shared" si="26"/>
        <v>1005p</v>
      </c>
      <c r="B126" s="579" t="str">
        <f>+VLOOKUP(LEFT($A126,LEN(A126)-1)*1,Master!$D$29:$G$228,4,FALSE)</f>
        <v>Neto povećanje obaveza</v>
      </c>
      <c r="C126" s="580"/>
      <c r="D126" s="580"/>
      <c r="E126" s="580"/>
      <c r="F126" s="580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87" t="str">
        <f>+VLOOKUP(LEFT($A127,LEN(A127)-1)*1,Master!$D$29:$G$225,4,FALSE)</f>
        <v>Suficit / deficit</v>
      </c>
      <c r="C127" s="588"/>
      <c r="D127" s="588"/>
      <c r="E127" s="588"/>
      <c r="F127" s="588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-8960368.1709368229</v>
      </c>
      <c r="K127" s="93">
        <f t="shared" si="27"/>
        <v>-38779971.255619645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-244658799.58004797</v>
      </c>
      <c r="T127" s="471">
        <f t="shared" si="21"/>
        <v>-5.2766854932503984</v>
      </c>
    </row>
    <row r="128" spans="1:20" ht="13.5" thickBot="1">
      <c r="A128" s="117" t="str">
        <f t="shared" si="26"/>
        <v>1001p</v>
      </c>
      <c r="B128" s="589" t="str">
        <f>+VLOOKUP(LEFT($A128,LEN(A128)-1)*1,Master!$D$29:$G$225,4,FALSE)</f>
        <v>Primarni suficit/deficit</v>
      </c>
      <c r="C128" s="590"/>
      <c r="D128" s="590"/>
      <c r="E128" s="590"/>
      <c r="F128" s="590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13527529.667463187</v>
      </c>
      <c r="K128" s="94">
        <f t="shared" si="28"/>
        <v>-31853472.920919642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-190578624.46184796</v>
      </c>
      <c r="T128" s="471">
        <f t="shared" si="21"/>
        <v>-4.1103098059321042</v>
      </c>
    </row>
    <row r="129" spans="1:20">
      <c r="A129" s="117" t="str">
        <f t="shared" si="26"/>
        <v>46p</v>
      </c>
      <c r="B129" s="581" t="str">
        <f>+VLOOKUP(LEFT($A129,LEN(A129)-1)*1,Master!$D$29:$G$225,4,FALSE)</f>
        <v>Otplata dugova</v>
      </c>
      <c r="C129" s="582"/>
      <c r="D129" s="582"/>
      <c r="E129" s="582"/>
      <c r="F129" s="582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349776529.69</v>
      </c>
      <c r="T129" s="472">
        <f t="shared" si="21"/>
        <v>7.5438150733295943</v>
      </c>
    </row>
    <row r="130" spans="1:20">
      <c r="A130" s="117" t="str">
        <f t="shared" si="26"/>
        <v>4611p</v>
      </c>
      <c r="B130" s="585" t="str">
        <f>+VLOOKUP(LEFT($A130,LEN(A130)-1)*1,Master!$D$29:$G$225,4,FALSE)</f>
        <v>Otplata hartija od vrijednosti i kredita rezidentima</v>
      </c>
      <c r="C130" s="586"/>
      <c r="D130" s="586"/>
      <c r="E130" s="586"/>
      <c r="F130" s="586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62615970.519999996</v>
      </c>
      <c r="T130" s="473">
        <f t="shared" si="21"/>
        <v>1.3504716930509424</v>
      </c>
    </row>
    <row r="131" spans="1:20" ht="13.5" thickBot="1">
      <c r="A131" s="117" t="str">
        <f t="shared" si="26"/>
        <v>4612p</v>
      </c>
      <c r="B131" s="579" t="str">
        <f>+VLOOKUP(LEFT($A131,LEN(A131)-1)*1,Master!$D$29:$G$225,4,FALSE)</f>
        <v>Otplata hartija od vrijednosti i kredita nerezidentima</v>
      </c>
      <c r="C131" s="580"/>
      <c r="D131" s="580"/>
      <c r="E131" s="580"/>
      <c r="F131" s="580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287160559.16999996</v>
      </c>
      <c r="T131" s="473">
        <f t="shared" si="21"/>
        <v>6.1933433802786517</v>
      </c>
    </row>
    <row r="132" spans="1:20" ht="13.5" thickBot="1">
      <c r="A132" s="117" t="str">
        <f t="shared" si="26"/>
        <v>4418p</v>
      </c>
      <c r="B132" s="573" t="str">
        <f>+VLOOKUP(LEFT($A132,LEN(A132)-1)*1,Master!$D$29:$G$225,4,FALSE)</f>
        <v>Izdaci za kupovinu hartija od vrijednosti</v>
      </c>
      <c r="C132" s="574"/>
      <c r="D132" s="574"/>
      <c r="E132" s="574"/>
      <c r="F132" s="574"/>
      <c r="G132" s="93">
        <v>523392</v>
      </c>
      <c r="H132" s="93">
        <v>13392</v>
      </c>
      <c r="I132" s="93">
        <v>0</v>
      </c>
      <c r="J132" s="93">
        <v>0</v>
      </c>
      <c r="K132" s="93">
        <v>13392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550176</v>
      </c>
      <c r="T132" s="480">
        <f t="shared" si="21"/>
        <v>1.1865936246387439E-2</v>
      </c>
    </row>
    <row r="133" spans="1:20" ht="13.5" thickBot="1">
      <c r="A133" s="117" t="str">
        <f t="shared" si="26"/>
        <v>1002p</v>
      </c>
      <c r="B133" s="583" t="str">
        <f>+VLOOKUP(LEFT($A133,LEN(A133)-1)*1,Master!$D$29:$G$225,4,FALSE)</f>
        <v>Nedostajuća sredstva</v>
      </c>
      <c r="C133" s="584"/>
      <c r="D133" s="584"/>
      <c r="E133" s="584"/>
      <c r="F133" s="584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-41871087.030936822</v>
      </c>
      <c r="K133" s="77">
        <f t="shared" si="30"/>
        <v>-55247794.085619643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-594985505.27004802</v>
      </c>
      <c r="T133" s="475">
        <f t="shared" si="21"/>
        <v>-12.832366502826382</v>
      </c>
    </row>
    <row r="134" spans="1:20" ht="13.5" thickBot="1">
      <c r="A134" s="117" t="str">
        <f t="shared" si="26"/>
        <v>1003p</v>
      </c>
      <c r="B134" s="573" t="str">
        <f>+VLOOKUP(LEFT($A134,LEN(A134)-1)*1,Master!$D$29:$G$225,4,FALSE)</f>
        <v>Finansiranje</v>
      </c>
      <c r="C134" s="574"/>
      <c r="D134" s="574"/>
      <c r="E134" s="574"/>
      <c r="F134" s="574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41871087.030936822</v>
      </c>
      <c r="K134" s="93">
        <f t="shared" si="31"/>
        <v>55247794.085619643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594985505.27004802</v>
      </c>
      <c r="T134" s="476">
        <f t="shared" si="21"/>
        <v>12.832366502826382</v>
      </c>
    </row>
    <row r="135" spans="1:20">
      <c r="A135" s="117" t="str">
        <f t="shared" si="26"/>
        <v>7511p</v>
      </c>
      <c r="B135" s="585" t="str">
        <f>+VLOOKUP(LEFT($A135,LEN(A135)-1)*1,Master!$D$29:$G$225,4,FALSE)</f>
        <v>Pozajmice i krediti od domaćih izvora</v>
      </c>
      <c r="C135" s="586"/>
      <c r="D135" s="586"/>
      <c r="E135" s="586"/>
      <c r="F135" s="586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79" t="str">
        <f>+VLOOKUP(LEFT($A136,LEN(A136)-1)*1,Master!$D$29:$G$225,4,FALSE)</f>
        <v>Pozajmice i krediti od inostranih izvora</v>
      </c>
      <c r="C136" s="580"/>
      <c r="D136" s="580"/>
      <c r="E136" s="580"/>
      <c r="F136" s="580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18600000</v>
      </c>
      <c r="T136" s="473">
        <f t="shared" si="21"/>
        <v>0.40115601949704521</v>
      </c>
    </row>
    <row r="137" spans="1:20">
      <c r="A137" s="117" t="str">
        <f t="shared" si="26"/>
        <v>72p</v>
      </c>
      <c r="B137" s="579" t="str">
        <f>+VLOOKUP(LEFT($A137,LEN(A137)-1)*1,Master!$D$29:$G$225,4,FALSE)</f>
        <v>Primici od prodaje imovine</v>
      </c>
      <c r="C137" s="580"/>
      <c r="D137" s="580"/>
      <c r="E137" s="580"/>
      <c r="F137" s="580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502782.51</v>
      </c>
      <c r="T137" s="473">
        <f t="shared" si="21"/>
        <v>1.0843775827114696E-2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31831087.030936822</v>
      </c>
      <c r="K138" s="97">
        <f t="shared" si="32"/>
        <v>53947794.085619643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575882722.76004803</v>
      </c>
      <c r="T138" s="477">
        <f t="shared" si="21"/>
        <v>12.420366707502223</v>
      </c>
    </row>
  </sheetData>
  <sheetProtection algorithmName="SHA-512" hashValue="Pq8KcP8SPP7xPA98lQ3Vlj1BSk+s5k4YTV2ZY5mpprC/PrQb41Ki7DeQxnIhOXDLTYuvsyaKcYCchsrrIWL/Dg==" saltValue="XkTz5WvyeXiypvr0YhUGtw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K12" sqref="K1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35" t="str">
        <f>+Master!G251</f>
        <v>Ostvarenje budžeta</v>
      </c>
      <c r="C7" s="518"/>
      <c r="D7" s="518"/>
      <c r="E7" s="518"/>
      <c r="F7" s="518"/>
      <c r="G7" s="526">
        <v>2020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tr">
        <f>+Master!G248</f>
        <v>BDP</v>
      </c>
      <c r="T7" s="236">
        <v>4193200000</v>
      </c>
    </row>
    <row r="8" spans="1:20" ht="16.5" customHeight="1">
      <c r="A8" s="144"/>
      <c r="B8" s="519"/>
      <c r="C8" s="520"/>
      <c r="D8" s="520"/>
      <c r="E8" s="520"/>
      <c r="F8" s="52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6" t="str">
        <f>+Master!G246</f>
        <v>Jan - Dec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5" t="str">
        <f>+VLOOKUP($A10,Master!$D$29:$G$225,4,FALSE)</f>
        <v>Prihodi budžeta</v>
      </c>
      <c r="C10" s="486"/>
      <c r="D10" s="486"/>
      <c r="E10" s="486"/>
      <c r="F10" s="486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487" t="str">
        <f>+VLOOKUP($A11,Master!$D$29:$G$225,4,FALSE)</f>
        <v>Porezi</v>
      </c>
      <c r="C11" s="488"/>
      <c r="D11" s="488"/>
      <c r="E11" s="488"/>
      <c r="F11" s="488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489" t="str">
        <f>+VLOOKUP($A12,Master!$D$29:$G$225,4,FALSE)</f>
        <v>Porez na dohodak fizičkih lica</v>
      </c>
      <c r="C12" s="490"/>
      <c r="D12" s="490"/>
      <c r="E12" s="490"/>
      <c r="F12" s="49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489" t="str">
        <f>+VLOOKUP($A13,Master!$D$29:$G$225,4,FALSE)</f>
        <v>Porez na dobit pravnih lica</v>
      </c>
      <c r="C13" s="490"/>
      <c r="D13" s="490"/>
      <c r="E13" s="490"/>
      <c r="F13" s="49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489" t="str">
        <f>+VLOOKUP($A14,Master!$D$29:$G$225,4,FALSE)</f>
        <v>Porez na promet nepokretnosti</v>
      </c>
      <c r="C14" s="490"/>
      <c r="D14" s="490"/>
      <c r="E14" s="490"/>
      <c r="F14" s="49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489" t="str">
        <f>+VLOOKUP($A15,Master!$D$29:$G$225,4,FALSE)</f>
        <v>Porez na dodatu vrijednost</v>
      </c>
      <c r="C15" s="490"/>
      <c r="D15" s="490"/>
      <c r="E15" s="490"/>
      <c r="F15" s="49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489" t="str">
        <f>+VLOOKUP($A16,Master!$D$29:$G$225,4,FALSE)</f>
        <v>Akcize</v>
      </c>
      <c r="C16" s="490"/>
      <c r="D16" s="490"/>
      <c r="E16" s="490"/>
      <c r="F16" s="49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489" t="str">
        <f>+VLOOKUP($A17,Master!$D$29:$G$225,4,FALSE)</f>
        <v>Porez na međunarodnu trgovinu i transakcije</v>
      </c>
      <c r="C17" s="490"/>
      <c r="D17" s="490"/>
      <c r="E17" s="490"/>
      <c r="F17" s="49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489" t="str">
        <f>+VLOOKUP($A18,Master!$D$29:$G$225,4,FALSE)</f>
        <v>Ostali državni porezi</v>
      </c>
      <c r="C18" s="490"/>
      <c r="D18" s="490"/>
      <c r="E18" s="490"/>
      <c r="F18" s="49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493" t="str">
        <f>+VLOOKUP($A19,Master!$D$29:$G$225,4,FALSE)</f>
        <v>Doprinosi</v>
      </c>
      <c r="C19" s="494"/>
      <c r="D19" s="494"/>
      <c r="E19" s="494"/>
      <c r="F19" s="494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489" t="str">
        <f>+VLOOKUP($A20,Master!$D$29:$G$225,4,FALSE)</f>
        <v>Doprinosi za penzijsko i invalidsko osiguranje</v>
      </c>
      <c r="C20" s="490"/>
      <c r="D20" s="490"/>
      <c r="E20" s="490"/>
      <c r="F20" s="49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489" t="str">
        <f>+VLOOKUP($A21,Master!$D$29:$G$225,4,FALSE)</f>
        <v>Doprinosi za zdravstveno osiguranje</v>
      </c>
      <c r="C21" s="490"/>
      <c r="D21" s="490"/>
      <c r="E21" s="490"/>
      <c r="F21" s="49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489" t="str">
        <f>+VLOOKUP($A22,Master!$D$29:$G$225,4,FALSE)</f>
        <v>Doprinosi za osiguranje od nezaposlenosti</v>
      </c>
      <c r="C22" s="490"/>
      <c r="D22" s="490"/>
      <c r="E22" s="490"/>
      <c r="F22" s="49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489" t="str">
        <f>+VLOOKUP($A23,Master!$D$29:$G$225,4,FALSE)</f>
        <v>Ostali doprinosi</v>
      </c>
      <c r="C23" s="490"/>
      <c r="D23" s="490"/>
      <c r="E23" s="490"/>
      <c r="F23" s="49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491" t="str">
        <f>+VLOOKUP($A24,Master!$D$29:$G$225,4,FALSE)</f>
        <v>Takse</v>
      </c>
      <c r="C24" s="492"/>
      <c r="D24" s="492"/>
      <c r="E24" s="492"/>
      <c r="F24" s="49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491" t="str">
        <f>+VLOOKUP($A25,Master!$D$29:$G$225,4,FALSE)</f>
        <v>Naknade</v>
      </c>
      <c r="C25" s="492"/>
      <c r="D25" s="492"/>
      <c r="E25" s="492"/>
      <c r="F25" s="49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491" t="str">
        <f>+VLOOKUP($A26,Master!$D$29:$G$225,4,FALSE)</f>
        <v>Ostali prihodi</v>
      </c>
      <c r="C26" s="492"/>
      <c r="D26" s="492"/>
      <c r="E26" s="492"/>
      <c r="F26" s="49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491" t="str">
        <f>+VLOOKUP($A27,Master!$D$29:$G$225,4,FALSE)</f>
        <v>Primici od otplate kredita i sredstva prenesena iz prethodne godine</v>
      </c>
      <c r="C27" s="492"/>
      <c r="D27" s="492"/>
      <c r="E27" s="492"/>
      <c r="F27" s="49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495" t="str">
        <f>+VLOOKUP($A28,Master!$D$29:$G$225,4,FALSE)</f>
        <v>Donacije i transferi</v>
      </c>
      <c r="C28" s="496"/>
      <c r="D28" s="496"/>
      <c r="E28" s="496"/>
      <c r="F28" s="496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497" t="str">
        <f>+VLOOKUP($A29,Master!$D$29:$G$225,4,FALSE)</f>
        <v>Izdaci budžeta</v>
      </c>
      <c r="C29" s="498"/>
      <c r="D29" s="498"/>
      <c r="E29" s="498"/>
      <c r="F29" s="498"/>
      <c r="G29" s="151">
        <f t="shared" ref="G29:R29" si="5">+G30+G40+G46+SUM(G47:G51)</f>
        <v>128597238.24400002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164193652.48000002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2064687266.0799997</v>
      </c>
      <c r="T29" s="440">
        <f t="shared" si="4"/>
        <v>49.238940810836581</v>
      </c>
    </row>
    <row r="30" spans="1:25">
      <c r="A30" s="150">
        <v>41</v>
      </c>
      <c r="B30" s="501" t="str">
        <f>+VLOOKUP($A30,Master!$D$29:$G$225,4,FALSE)</f>
        <v>Tekući izdaci</v>
      </c>
      <c r="C30" s="502"/>
      <c r="D30" s="502"/>
      <c r="E30" s="502"/>
      <c r="F30" s="502"/>
      <c r="G30" s="187">
        <f t="shared" ref="G30:R30" si="6">+SUM(G31:G39)</f>
        <v>53655716.330000006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858021278.61999989</v>
      </c>
      <c r="T30" s="436">
        <f t="shared" si="4"/>
        <v>20.462207350472188</v>
      </c>
    </row>
    <row r="31" spans="1:25">
      <c r="A31" s="150">
        <v>411</v>
      </c>
      <c r="B31" s="489" t="str">
        <f>+VLOOKUP($A31,Master!$D$29:$G$225,4,FALSE)</f>
        <v>Bruto zarade i doprinosi na teret poslodavca</v>
      </c>
      <c r="C31" s="490"/>
      <c r="D31" s="490"/>
      <c r="E31" s="490"/>
      <c r="F31" s="490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11.903853451063627</v>
      </c>
    </row>
    <row r="32" spans="1:25">
      <c r="A32" s="150">
        <v>412</v>
      </c>
      <c r="B32" s="489" t="str">
        <f>+VLOOKUP($A32,Master!$D$29:$G$225,4,FALSE)</f>
        <v>Ostala lična primanja</v>
      </c>
      <c r="C32" s="490"/>
      <c r="D32" s="490"/>
      <c r="E32" s="490"/>
      <c r="F32" s="49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489" t="str">
        <f>+VLOOKUP($A33,Master!$D$29:$G$225,4,FALSE)</f>
        <v>Rashodi za materijal</v>
      </c>
      <c r="C33" s="490"/>
      <c r="D33" s="490"/>
      <c r="E33" s="490"/>
      <c r="F33" s="49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489" t="str">
        <f>+VLOOKUP($A35,Master!$D$29:$G$225,4,FALSE)</f>
        <v>Rashodi za tekuće održavanje</v>
      </c>
      <c r="C35" s="490"/>
      <c r="D35" s="490"/>
      <c r="E35" s="490"/>
      <c r="F35" s="49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489" t="str">
        <f>+VLOOKUP($A36,Master!$D$29:$G$225,4,FALSE)</f>
        <v>Kamate</v>
      </c>
      <c r="C36" s="490"/>
      <c r="D36" s="490"/>
      <c r="E36" s="490"/>
      <c r="F36" s="49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489" t="str">
        <f>+VLOOKUP($A37,Master!$D$29:$G$225,4,FALSE)</f>
        <v>Renta</v>
      </c>
      <c r="C37" s="490"/>
      <c r="D37" s="490"/>
      <c r="E37" s="490"/>
      <c r="F37" s="49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489" t="str">
        <f>+VLOOKUP($A38,Master!$D$29:$G$225,4,FALSE)</f>
        <v>Subvencije</v>
      </c>
      <c r="C38" s="490"/>
      <c r="D38" s="490"/>
      <c r="E38" s="490"/>
      <c r="F38" s="49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05" t="str">
        <f>+VLOOKUP($A40,Master!$D$29:$G$225,4,FALSE)</f>
        <v>Transferi za socijalnu zaštitu</v>
      </c>
      <c r="C40" s="506"/>
      <c r="D40" s="506"/>
      <c r="E40" s="506"/>
      <c r="F40" s="50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489" t="str">
        <f>+VLOOKUP($A41,Master!$D$29:$G$225,4,FALSE)</f>
        <v>Prava iz oblasti socijalne zaštite</v>
      </c>
      <c r="C41" s="490"/>
      <c r="D41" s="490"/>
      <c r="E41" s="490"/>
      <c r="F41" s="49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489" t="str">
        <f>+VLOOKUP($A42,Master!$D$29:$G$225,4,FALSE)</f>
        <v>Sredstva za tehnološke viškove</v>
      </c>
      <c r="C42" s="490"/>
      <c r="D42" s="490"/>
      <c r="E42" s="490"/>
      <c r="F42" s="49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489" t="str">
        <f>+VLOOKUP($A43,Master!$D$29:$G$225,4,FALSE)</f>
        <v>Prava iz oblasti penzijskog i invalidskog osiguranja</v>
      </c>
      <c r="C43" s="490"/>
      <c r="D43" s="490"/>
      <c r="E43" s="490"/>
      <c r="F43" s="49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489" t="str">
        <f>+VLOOKUP($A44,Master!$D$29:$G$225,4,FALSE)</f>
        <v>Ostala prava iz oblasti zdravstvene zaštite</v>
      </c>
      <c r="C44" s="490"/>
      <c r="D44" s="490"/>
      <c r="E44" s="490"/>
      <c r="F44" s="49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38" t="str">
        <f>+VLOOKUP($A45,Master!$D$29:$G$225,4,FALSE)</f>
        <v>Ostala prava iz zdravstvenog osiguranja</v>
      </c>
      <c r="C45" s="539"/>
      <c r="D45" s="539"/>
      <c r="E45" s="539"/>
      <c r="F45" s="539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03" t="str">
        <f>+VLOOKUP($A46,Master!$D$29:$G$225,4,FALSE)</f>
        <v xml:space="preserve">Transferi institucijama, pojedincima, nevladinom i javnom sektoru </v>
      </c>
      <c r="C46" s="504"/>
      <c r="D46" s="504"/>
      <c r="E46" s="504"/>
      <c r="F46" s="50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03" t="str">
        <f>+VLOOKUP($A47,Master!$D$29:$G$225,4,FALSE)</f>
        <v>Kapitalni izdaci</v>
      </c>
      <c r="C47" s="504"/>
      <c r="D47" s="504"/>
      <c r="E47" s="504"/>
      <c r="F47" s="50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229937455.56</v>
      </c>
      <c r="T47" s="438">
        <f t="shared" si="4"/>
        <v>5.4835794991891635</v>
      </c>
      <c r="U47" s="242"/>
    </row>
    <row r="48" spans="1:23">
      <c r="A48" s="150">
        <v>451</v>
      </c>
      <c r="B48" s="540" t="str">
        <f>+VLOOKUP($A48,Master!$D$29:$G$225,4,FALSE)</f>
        <v>Pozajmice i krediti</v>
      </c>
      <c r="C48" s="541"/>
      <c r="D48" s="541"/>
      <c r="E48" s="541"/>
      <c r="F48" s="541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47" t="str">
        <f>+VLOOKUP($A49,Master!$D$29:$G$225,4,FALSE)</f>
        <v>Rezerve</v>
      </c>
      <c r="C49" s="548"/>
      <c r="D49" s="548"/>
      <c r="E49" s="548"/>
      <c r="F49" s="548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9" t="str">
        <f>+VLOOKUP($A50,Master!$D$29:$G$225,4,FALSE)</f>
        <v>Otplata garancija</v>
      </c>
      <c r="C50" s="510"/>
      <c r="D50" s="510"/>
      <c r="E50" s="510"/>
      <c r="F50" s="510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49" t="str">
        <f>+VLOOKUP($A51,Master!$D$29:$G$225,4,TRUE)</f>
        <v>Otplata obaveza iz prethodnog perioda</v>
      </c>
      <c r="C51" s="550"/>
      <c r="D51" s="550"/>
      <c r="E51" s="550"/>
      <c r="F51" s="550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51" t="str">
        <f>+VLOOKUP($A52,Master!$D$29:$G$227,4,FALSE)</f>
        <v>Neto povećanje obaveza</v>
      </c>
      <c r="C52" s="552"/>
      <c r="D52" s="552"/>
      <c r="E52" s="552"/>
      <c r="F52" s="552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8">+G10-G29</f>
        <v>-34274992.30400002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-21620426.810000032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-426158225.49000001</v>
      </c>
      <c r="T53" s="443">
        <f t="shared" si="4"/>
        <v>-10.163078925164552</v>
      </c>
    </row>
    <row r="54" spans="1:22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9">+G53+G36</f>
        <v>-26620146.914000019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-20067991.520000033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-315049317.13999999</v>
      </c>
      <c r="T54" s="443">
        <f t="shared" si="4"/>
        <v>-7.5133386707049503</v>
      </c>
    </row>
    <row r="55" spans="1:22">
      <c r="A55" s="144">
        <v>46</v>
      </c>
      <c r="B55" s="545" t="str">
        <f>+VLOOKUP($A55,Master!$D$29:$G$225,4,FALSE)</f>
        <v>Otplata dugova</v>
      </c>
      <c r="C55" s="546"/>
      <c r="D55" s="546"/>
      <c r="E55" s="546"/>
      <c r="F55" s="546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31" t="str">
        <f>+VLOOKUP($A56,Master!$D$29:$G$225,4,FALSE)</f>
        <v>Otplata hartija od vrijednosti i kredita rezidentima</v>
      </c>
      <c r="C56" s="532"/>
      <c r="D56" s="532"/>
      <c r="E56" s="532"/>
      <c r="F56" s="532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45" t="str">
        <f>+VLOOKUP($A58,Master!$D$29:$G$225,4,FALSE)</f>
        <v>Izdaci za kupovinu hartija od vrijednosti</v>
      </c>
      <c r="C58" s="546"/>
      <c r="D58" s="546"/>
      <c r="E58" s="546"/>
      <c r="F58" s="546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33" t="str">
        <f>+VLOOKUP($A59,Master!$D$29:$G$225,4,FALSE)</f>
        <v>Nedostajuća sredstva</v>
      </c>
      <c r="C59" s="534"/>
      <c r="D59" s="534"/>
      <c r="E59" s="534"/>
      <c r="F59" s="534"/>
      <c r="G59" s="217">
        <f>+G53-G55-G58</f>
        <v>-58801185.584000021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-32382261.980000034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-1092945024.73</v>
      </c>
      <c r="T59" s="447">
        <f t="shared" si="4"/>
        <v>-26.064700580225125</v>
      </c>
    </row>
    <row r="60" spans="1:22" ht="13.5" thickBot="1">
      <c r="A60" s="144">
        <v>1003</v>
      </c>
      <c r="B60" s="497" t="str">
        <f>+VLOOKUP($A60,Master!$D$29:$G$225,4,FALSE)</f>
        <v>Finansiranje</v>
      </c>
      <c r="C60" s="498"/>
      <c r="D60" s="498"/>
      <c r="E60" s="498"/>
      <c r="F60" s="498"/>
      <c r="G60" s="151">
        <f>+SUM(G61:G64)</f>
        <v>58801185.584000021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32382261.980000034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1092945024.73</v>
      </c>
      <c r="T60" s="448">
        <f t="shared" si="4"/>
        <v>26.064700580225125</v>
      </c>
    </row>
    <row r="61" spans="1:22">
      <c r="A61" s="144">
        <v>7511</v>
      </c>
      <c r="B61" s="531" t="str">
        <f>+VLOOKUP($A61,Master!$D$29:$G$225,4,FALSE)</f>
        <v>Pozajmice i krediti od domaćih izvora</v>
      </c>
      <c r="C61" s="532"/>
      <c r="D61" s="532"/>
      <c r="E61" s="532"/>
      <c r="F61" s="532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43521838.23400002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28257134.440000035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-268879139.17999995</v>
      </c>
      <c r="T64" s="449">
        <f t="shared" si="4"/>
        <v>-6.4122660302394348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59" t="str">
        <f>+Master!G252</f>
        <v>Plan ostvarenja budžeta</v>
      </c>
      <c r="C100" s="560"/>
      <c r="D100" s="560"/>
      <c r="E100" s="560"/>
      <c r="F100" s="560"/>
      <c r="G100" s="542">
        <v>2020</v>
      </c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4"/>
      <c r="S100" s="107" t="str">
        <f>+S7</f>
        <v>BDP</v>
      </c>
      <c r="T100" s="108">
        <v>4607300000</v>
      </c>
    </row>
    <row r="101" spans="1:21" ht="15.75" customHeight="1">
      <c r="B101" s="561"/>
      <c r="C101" s="562"/>
      <c r="D101" s="562"/>
      <c r="E101" s="562"/>
      <c r="F101" s="563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2" t="str">
        <f>+Master!G246</f>
        <v>Jan - Dec</v>
      </c>
      <c r="T101" s="544">
        <f>+T8</f>
        <v>0</v>
      </c>
    </row>
    <row r="102" spans="1:21" ht="13.5" thickBot="1">
      <c r="B102" s="564"/>
      <c r="C102" s="565"/>
      <c r="D102" s="565"/>
      <c r="E102" s="565"/>
      <c r="F102" s="56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3" t="str">
        <f>+VLOOKUP(LEFT($A103,LEN(A103)-1)*1,Master!$D$29:$G$225,4,FALSE)</f>
        <v>Prihodi budžeta</v>
      </c>
      <c r="C103" s="554"/>
      <c r="D103" s="554"/>
      <c r="E103" s="554"/>
      <c r="F103" s="554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55" t="str">
        <f>+VLOOKUP(LEFT($A104,LEN(A104)-1)*1,Master!$D$29:$G$225,4,FALSE)</f>
        <v>Porezi</v>
      </c>
      <c r="C104" s="556"/>
      <c r="D104" s="556"/>
      <c r="E104" s="556"/>
      <c r="F104" s="556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7" t="str">
        <f>+VLOOKUP(LEFT($A105,LEN(A105)-1)*1,Master!$D$29:$G$228,4,FALSE)</f>
        <v>Porez na dohodak fizičkih lica</v>
      </c>
      <c r="C105" s="558"/>
      <c r="D105" s="558"/>
      <c r="E105" s="558"/>
      <c r="F105" s="558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7" t="str">
        <f>+VLOOKUP(LEFT($A106,LEN(A106)-1)*1,Master!$D$29:$G$228,4,FALSE)</f>
        <v>Porez na dobit pravnih lica</v>
      </c>
      <c r="C106" s="558"/>
      <c r="D106" s="558"/>
      <c r="E106" s="558"/>
      <c r="F106" s="558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7" t="str">
        <f>+VLOOKUP(LEFT($A107,LEN(A107)-1)*1,Master!$D$29:$G$228,4,FALSE)</f>
        <v>Porez na promet nepokretnosti</v>
      </c>
      <c r="C107" s="558"/>
      <c r="D107" s="558"/>
      <c r="E107" s="558"/>
      <c r="F107" s="558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7" t="str">
        <f>+VLOOKUP(LEFT($A108,LEN(A108)-1)*1,Master!$D$29:$G$228,4,FALSE)</f>
        <v>Porez na dodatu vrijednost</v>
      </c>
      <c r="C108" s="558"/>
      <c r="D108" s="558"/>
      <c r="E108" s="558"/>
      <c r="F108" s="558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7" t="str">
        <f>+VLOOKUP(LEFT($A109,LEN(A109)-1)*1,Master!$D$29:$G$228,4,FALSE)</f>
        <v>Akcize</v>
      </c>
      <c r="C109" s="558"/>
      <c r="D109" s="558"/>
      <c r="E109" s="558"/>
      <c r="F109" s="558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7" t="str">
        <f>+VLOOKUP(LEFT($A110,LEN(A110)-1)*1,Master!$D$29:$G$228,4,FALSE)</f>
        <v>Porez na međunarodnu trgovinu i transakcije</v>
      </c>
      <c r="C110" s="558"/>
      <c r="D110" s="558"/>
      <c r="E110" s="558"/>
      <c r="F110" s="558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7" t="str">
        <f>+VLOOKUP(LEFT($A111,LEN(A111)-1)*1,Master!$D$29:$G$228,4,FALSE)</f>
        <v>Ostali državni porezi</v>
      </c>
      <c r="C111" s="558"/>
      <c r="D111" s="558"/>
      <c r="E111" s="558"/>
      <c r="F111" s="558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69" t="str">
        <f>+VLOOKUP(LEFT($A112,LEN(A112)-1)*1,Master!$D$29:$G$228,4,FALSE)</f>
        <v>Doprinosi</v>
      </c>
      <c r="C112" s="570"/>
      <c r="D112" s="570"/>
      <c r="E112" s="570"/>
      <c r="F112" s="57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7" t="str">
        <f>+VLOOKUP(LEFT($A113,LEN(A113)-1)*1,Master!$D$29:$G$228,4,FALSE)</f>
        <v>Doprinosi za penzijsko i invalidsko osiguranje</v>
      </c>
      <c r="C113" s="558"/>
      <c r="D113" s="558"/>
      <c r="E113" s="558"/>
      <c r="F113" s="558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7" t="str">
        <f>+VLOOKUP(LEFT($A114,LEN(A114)-1)*1,Master!$D$29:$G$228,4,FALSE)</f>
        <v>Doprinosi za zdravstveno osiguranje</v>
      </c>
      <c r="C114" s="558"/>
      <c r="D114" s="558"/>
      <c r="E114" s="558"/>
      <c r="F114" s="558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7" t="str">
        <f>+VLOOKUP(LEFT($A115,LEN(A115)-1)*1,Master!$D$29:$G$228,4,FALSE)</f>
        <v>Doprinosi za osiguranje od nezaposlenosti</v>
      </c>
      <c r="C115" s="558"/>
      <c r="D115" s="558"/>
      <c r="E115" s="558"/>
      <c r="F115" s="558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7" t="str">
        <f>+VLOOKUP(LEFT($A116,LEN(A116)-1)*1,Master!$D$29:$G$228,4,FALSE)</f>
        <v>Ostali doprinosi</v>
      </c>
      <c r="C116" s="558"/>
      <c r="D116" s="558"/>
      <c r="E116" s="558"/>
      <c r="F116" s="558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67" t="str">
        <f>+VLOOKUP(LEFT($A117,LEN(A117)-1)*1,Master!$D$29:$G$228,4,FALSE)</f>
        <v>Takse</v>
      </c>
      <c r="C117" s="568"/>
      <c r="D117" s="568"/>
      <c r="E117" s="568"/>
      <c r="F117" s="56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67" t="str">
        <f>+VLOOKUP(LEFT($A118,LEN(A118)-1)*1,Master!$D$29:$G$228,4,FALSE)</f>
        <v>Naknade</v>
      </c>
      <c r="C118" s="568"/>
      <c r="D118" s="568"/>
      <c r="E118" s="568"/>
      <c r="F118" s="56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67" t="str">
        <f>+VLOOKUP(LEFT($A119,LEN(A119)-1)*1,Master!$D$29:$G$228,4,FALSE)</f>
        <v>Ostali prihodi</v>
      </c>
      <c r="C119" s="568"/>
      <c r="D119" s="568"/>
      <c r="E119" s="568"/>
      <c r="F119" s="56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67" t="str">
        <f>+VLOOKUP(LEFT($A120,LEN(A120)-1)*1,Master!$D$29:$G$228,4,FALSE)</f>
        <v>Primici od otplate kredita i sredstva prenesena iz prethodne godine</v>
      </c>
      <c r="C120" s="568"/>
      <c r="D120" s="568"/>
      <c r="E120" s="568"/>
      <c r="F120" s="56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1" t="str">
        <f>+VLOOKUP(LEFT($A121,LEN(A121)-1)*1,Master!$D$29:$G$228,4,FALSE)</f>
        <v>Donacije i transferi</v>
      </c>
      <c r="C121" s="572"/>
      <c r="D121" s="572"/>
      <c r="E121" s="572"/>
      <c r="F121" s="57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73" t="str">
        <f>+VLOOKUP(LEFT($A122,LEN(A122)-1)*1,Master!$D$29:$G$228,4,FALSE)</f>
        <v>Izdaci budžeta</v>
      </c>
      <c r="C122" s="574"/>
      <c r="D122" s="574"/>
      <c r="E122" s="574"/>
      <c r="F122" s="57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5" t="str">
        <f>+VLOOKUP(LEFT($A123,LEN(A123)-1)*1,Master!$D$29:$G$228,4,FALSE)</f>
        <v>Tekući izdaci</v>
      </c>
      <c r="C123" s="576"/>
      <c r="D123" s="576"/>
      <c r="E123" s="576"/>
      <c r="F123" s="57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7" t="str">
        <f>+VLOOKUP(LEFT($A124,LEN(A124)-1)*1,Master!$D$29:$G$228,4,FALSE)</f>
        <v>Bruto zarade i doprinosi na teret poslodavca</v>
      </c>
      <c r="C124" s="558"/>
      <c r="D124" s="558"/>
      <c r="E124" s="558"/>
      <c r="F124" s="558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7" t="str">
        <f>+VLOOKUP(LEFT($A125,LEN(A125)-1)*1,Master!$D$29:$G$228,4,FALSE)</f>
        <v>Ostala lična primanja</v>
      </c>
      <c r="C125" s="558"/>
      <c r="D125" s="558"/>
      <c r="E125" s="558"/>
      <c r="F125" s="558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7" t="str">
        <f>+VLOOKUP(LEFT($A126,LEN(A126)-1)*1,Master!$D$29:$G$228,4,FALSE)</f>
        <v>Rashodi za materijal</v>
      </c>
      <c r="C126" s="558"/>
      <c r="D126" s="558"/>
      <c r="E126" s="558"/>
      <c r="F126" s="558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7" t="str">
        <f>+VLOOKUP(LEFT($A127,LEN(A127)-1)*1,Master!$D$29:$G$228,4,FALSE)</f>
        <v>Rashodi za usluge</v>
      </c>
      <c r="C127" s="558"/>
      <c r="D127" s="558"/>
      <c r="E127" s="558"/>
      <c r="F127" s="558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7" t="str">
        <f>+VLOOKUP(LEFT($A128,LEN(A128)-1)*1,Master!$D$29:$G$228,4,FALSE)</f>
        <v>Rashodi za tekuće održavanje</v>
      </c>
      <c r="C128" s="558"/>
      <c r="D128" s="558"/>
      <c r="E128" s="558"/>
      <c r="F128" s="558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7" t="str">
        <f>+VLOOKUP(LEFT($A129,LEN(A129)-1)*1,Master!$D$29:$G$228,4,FALSE)</f>
        <v>Kamate</v>
      </c>
      <c r="C129" s="558"/>
      <c r="D129" s="558"/>
      <c r="E129" s="558"/>
      <c r="F129" s="558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7" t="str">
        <f>+VLOOKUP(LEFT($A130,LEN(A130)-1)*1,Master!$D$29:$G$228,4,FALSE)</f>
        <v>Renta</v>
      </c>
      <c r="C130" s="558"/>
      <c r="D130" s="558"/>
      <c r="E130" s="558"/>
      <c r="F130" s="558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7" t="str">
        <f>+VLOOKUP(LEFT($A131,LEN(A131)-1)*1,Master!$D$29:$G$228,4,FALSE)</f>
        <v>Subvencije</v>
      </c>
      <c r="C131" s="558"/>
      <c r="D131" s="558"/>
      <c r="E131" s="558"/>
      <c r="F131" s="558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7" t="str">
        <f>+VLOOKUP(LEFT($A132,LEN(A132)-1)*1,Master!$D$29:$G$228,4,FALSE)</f>
        <v>Ostali izdaci</v>
      </c>
      <c r="C132" s="558"/>
      <c r="D132" s="558"/>
      <c r="E132" s="558"/>
      <c r="F132" s="558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81" t="str">
        <f>+VLOOKUP(LEFT($A133,LEN(A133)-1)*1,Master!$D$29:$G$228,4,FALSE)</f>
        <v>Transferi za socijalnu zaštitu</v>
      </c>
      <c r="C133" s="582"/>
      <c r="D133" s="582"/>
      <c r="E133" s="582"/>
      <c r="F133" s="582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7" t="str">
        <f>+VLOOKUP(LEFT($A134,LEN(A134)-1)*1,Master!$D$29:$G$228,4,FALSE)</f>
        <v>Prava iz oblasti socijalne zaštite</v>
      </c>
      <c r="C134" s="558"/>
      <c r="D134" s="558"/>
      <c r="E134" s="558"/>
      <c r="F134" s="558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7" t="str">
        <f>+VLOOKUP(LEFT($A135,LEN(A135)-1)*1,Master!$D$29:$G$228,4,FALSE)</f>
        <v>Sredstva za tehnološke viškove</v>
      </c>
      <c r="C135" s="558"/>
      <c r="D135" s="558"/>
      <c r="E135" s="558"/>
      <c r="F135" s="558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7" t="str">
        <f>+VLOOKUP(LEFT($A136,LEN(A136)-1)*1,Master!$D$29:$G$228,4,FALSE)</f>
        <v>Prava iz oblasti penzijskog i invalidskog osiguranja</v>
      </c>
      <c r="C136" s="558"/>
      <c r="D136" s="558"/>
      <c r="E136" s="558"/>
      <c r="F136" s="558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7" t="str">
        <f>+VLOOKUP(LEFT($A137,LEN(A137)-1)*1,Master!$D$29:$G$228,4,FALSE)</f>
        <v>Ostala prava iz oblasti zdravstvene zaštite</v>
      </c>
      <c r="C137" s="558"/>
      <c r="D137" s="558"/>
      <c r="E137" s="558"/>
      <c r="F137" s="558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7" t="str">
        <f>+VLOOKUP(LEFT($A138,LEN(A138)-1)*1,Master!$D$29:$G$228,4,FALSE)</f>
        <v>Ostala prava iz zdravstvenog osiguranja</v>
      </c>
      <c r="C138" s="558"/>
      <c r="D138" s="558"/>
      <c r="E138" s="558"/>
      <c r="F138" s="558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77" t="str">
        <f>+VLOOKUP(LEFT($A139,LEN(A139)-1)*1,Master!$D$29:$G$228,4,FALSE)</f>
        <v xml:space="preserve">Transferi institucijama, pojedincima, nevladinom i javnom sektoru </v>
      </c>
      <c r="C139" s="578"/>
      <c r="D139" s="578"/>
      <c r="E139" s="578"/>
      <c r="F139" s="578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77" t="str">
        <f>+VLOOKUP(LEFT($A140,LEN(A140)-1)*1,Master!$D$29:$G$228,4,FALSE)</f>
        <v>Kapitalni izdaci</v>
      </c>
      <c r="C140" s="578"/>
      <c r="D140" s="578"/>
      <c r="E140" s="578"/>
      <c r="F140" s="578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79" t="str">
        <f>+VLOOKUP(LEFT($A141,LEN(A141)-1)*1,Master!$D$29:$G$228,4,FALSE)</f>
        <v>Pozajmice i krediti</v>
      </c>
      <c r="C141" s="580"/>
      <c r="D141" s="580"/>
      <c r="E141" s="580"/>
      <c r="F141" s="580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79" t="str">
        <f>+VLOOKUP(LEFT($A142,LEN(A142)-1)*1,Master!$D$29:$G$228,4,FALSE)</f>
        <v>Rezerve</v>
      </c>
      <c r="C142" s="580"/>
      <c r="D142" s="580"/>
      <c r="E142" s="580"/>
      <c r="F142" s="580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79" t="str">
        <f>+VLOOKUP(LEFT($A143,LEN(A143)-1)*1,Master!$D$29:$G$228,4,FALSE)</f>
        <v>Otplata garancija</v>
      </c>
      <c r="C143" s="580"/>
      <c r="D143" s="580"/>
      <c r="E143" s="580"/>
      <c r="F143" s="580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79" t="str">
        <f>+VLOOKUP(LEFT($A144,LEN(A144)-1)*1,Master!$D$29:$G$228,4,FALSE)</f>
        <v>Otplata obaveza iz prethodnog perioda</v>
      </c>
      <c r="C144" s="580"/>
      <c r="D144" s="580"/>
      <c r="E144" s="580"/>
      <c r="F144" s="580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9" t="str">
        <f>+VLOOKUP(LEFT($A145,LEN(A145)-1)*1,Master!$D$29:$G$228,4,FALSE)</f>
        <v>Neto povećanje obaveza</v>
      </c>
      <c r="C145" s="580"/>
      <c r="D145" s="580"/>
      <c r="E145" s="580"/>
      <c r="F145" s="580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87" t="str">
        <f>+VLOOKUP(LEFT($A146,LEN(A146)-1)*1,Master!$D$29:$G$225,4,FALSE)</f>
        <v>Suficit / deficit</v>
      </c>
      <c r="C146" s="588"/>
      <c r="D146" s="588"/>
      <c r="E146" s="588"/>
      <c r="F146" s="588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9" t="str">
        <f>+VLOOKUP(LEFT($A147,LEN(A147)-1)*1,Master!$D$29:$G$225,4,FALSE)</f>
        <v>Primarni suficit/deficit</v>
      </c>
      <c r="C147" s="590"/>
      <c r="D147" s="590"/>
      <c r="E147" s="590"/>
      <c r="F147" s="590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81" t="str">
        <f>+VLOOKUP(LEFT($A148,LEN(A148)-1)*1,Master!$D$29:$G$225,4,FALSE)</f>
        <v>Otplata dugova</v>
      </c>
      <c r="C148" s="582"/>
      <c r="D148" s="582"/>
      <c r="E148" s="582"/>
      <c r="F148" s="582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85" t="str">
        <f>+VLOOKUP(LEFT($A149,LEN(A149)-1)*1,Master!$D$29:$G$225,4,FALSE)</f>
        <v>Otplata hartija od vrijednosti i kredita rezidentima</v>
      </c>
      <c r="C149" s="586"/>
      <c r="D149" s="586"/>
      <c r="E149" s="586"/>
      <c r="F149" s="586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79" t="str">
        <f>+VLOOKUP(LEFT($A150,LEN(A150)-1)*1,Master!$D$29:$G$225,4,FALSE)</f>
        <v>Otplata hartija od vrijednosti i kredita nerezidentima</v>
      </c>
      <c r="C150" s="580"/>
      <c r="D150" s="580"/>
      <c r="E150" s="580"/>
      <c r="F150" s="580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73" t="str">
        <f>+VLOOKUP(LEFT($A151,LEN(A151)-1)*1,Master!$D$29:$G$225,4,FALSE)</f>
        <v>Izdaci za kupovinu hartija od vrijednosti</v>
      </c>
      <c r="C151" s="574"/>
      <c r="D151" s="574"/>
      <c r="E151" s="574"/>
      <c r="F151" s="57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83" t="str">
        <f>+VLOOKUP(LEFT($A152,LEN(A152)-1)*1,Master!$D$29:$G$225,4,FALSE)</f>
        <v>Nedostajuća sredstva</v>
      </c>
      <c r="C152" s="584"/>
      <c r="D152" s="584"/>
      <c r="E152" s="584"/>
      <c r="F152" s="584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73" t="str">
        <f>+VLOOKUP(LEFT($A153,LEN(A153)-1)*1,Master!$D$29:$G$225,4,FALSE)</f>
        <v>Finansiranje</v>
      </c>
      <c r="C153" s="574"/>
      <c r="D153" s="574"/>
      <c r="E153" s="574"/>
      <c r="F153" s="57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85" t="str">
        <f>+VLOOKUP(LEFT($A154,LEN(A154)-1)*1,Master!$D$29:$G$225,4,FALSE)</f>
        <v>Pozajmice i krediti od domaćih izvora</v>
      </c>
      <c r="C154" s="586"/>
      <c r="D154" s="586"/>
      <c r="E154" s="586"/>
      <c r="F154" s="586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79" t="str">
        <f>+VLOOKUP(LEFT($A155,LEN(A155)-1)*1,Master!$D$29:$G$225,4,FALSE)</f>
        <v>Pozajmice i krediti od inostranih izvora</v>
      </c>
      <c r="C155" s="580"/>
      <c r="D155" s="580"/>
      <c r="E155" s="580"/>
      <c r="F155" s="580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79" t="str">
        <f>+VLOOKUP(LEFT($A156,LEN(A156)-1)*1,Master!$D$29:$G$225,4,FALSE)</f>
        <v>Primici od prodaje imovine</v>
      </c>
      <c r="C156" s="580"/>
      <c r="D156" s="580"/>
      <c r="E156" s="580"/>
      <c r="F156" s="580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K1" sqref="K1:K1048576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35" t="s">
        <v>554</v>
      </c>
      <c r="C7" s="518"/>
      <c r="D7" s="518"/>
      <c r="E7" s="518"/>
      <c r="F7" s="518"/>
      <c r="G7" s="526">
        <v>2019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">
        <v>419</v>
      </c>
      <c r="T7" s="236">
        <v>4951000000</v>
      </c>
    </row>
    <row r="8" spans="1:20" ht="16.5" customHeight="1">
      <c r="A8" s="144"/>
      <c r="B8" s="519"/>
      <c r="C8" s="520"/>
      <c r="D8" s="520"/>
      <c r="E8" s="520"/>
      <c r="F8" s="52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6" t="s">
        <v>809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97" t="s">
        <v>681</v>
      </c>
      <c r="C10" s="498"/>
      <c r="D10" s="498"/>
      <c r="E10" s="498"/>
      <c r="F10" s="498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487" t="s">
        <v>21</v>
      </c>
      <c r="C11" s="488"/>
      <c r="D11" s="488"/>
      <c r="E11" s="488"/>
      <c r="F11" s="488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489" t="s">
        <v>23</v>
      </c>
      <c r="C12" s="490"/>
      <c r="D12" s="490"/>
      <c r="E12" s="490"/>
      <c r="F12" s="49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489" t="s">
        <v>25</v>
      </c>
      <c r="C13" s="490"/>
      <c r="D13" s="490"/>
      <c r="E13" s="490"/>
      <c r="F13" s="49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489" t="s">
        <v>27</v>
      </c>
      <c r="C14" s="490"/>
      <c r="D14" s="490"/>
      <c r="E14" s="490"/>
      <c r="F14" s="49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489" t="s">
        <v>29</v>
      </c>
      <c r="C15" s="490"/>
      <c r="D15" s="490"/>
      <c r="E15" s="490"/>
      <c r="F15" s="49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489" t="s">
        <v>31</v>
      </c>
      <c r="C16" s="490"/>
      <c r="D16" s="490"/>
      <c r="E16" s="490"/>
      <c r="F16" s="49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489" t="s">
        <v>33</v>
      </c>
      <c r="C17" s="490"/>
      <c r="D17" s="490"/>
      <c r="E17" s="490"/>
      <c r="F17" s="49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489" t="s">
        <v>722</v>
      </c>
      <c r="C18" s="490"/>
      <c r="D18" s="490"/>
      <c r="E18" s="490"/>
      <c r="F18" s="49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493" t="s">
        <v>37</v>
      </c>
      <c r="C19" s="494"/>
      <c r="D19" s="494"/>
      <c r="E19" s="494"/>
      <c r="F19" s="494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489" t="s">
        <v>39</v>
      </c>
      <c r="C20" s="490"/>
      <c r="D20" s="490"/>
      <c r="E20" s="490"/>
      <c r="F20" s="49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489" t="s">
        <v>41</v>
      </c>
      <c r="C21" s="490"/>
      <c r="D21" s="490"/>
      <c r="E21" s="490"/>
      <c r="F21" s="49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489" t="s">
        <v>43</v>
      </c>
      <c r="C22" s="490"/>
      <c r="D22" s="490"/>
      <c r="E22" s="490"/>
      <c r="F22" s="49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489" t="s">
        <v>45</v>
      </c>
      <c r="C23" s="490"/>
      <c r="D23" s="490"/>
      <c r="E23" s="490"/>
      <c r="F23" s="49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491" t="s">
        <v>47</v>
      </c>
      <c r="C24" s="492"/>
      <c r="D24" s="492"/>
      <c r="E24" s="492"/>
      <c r="F24" s="49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491" t="s">
        <v>61</v>
      </c>
      <c r="C25" s="492"/>
      <c r="D25" s="492"/>
      <c r="E25" s="492"/>
      <c r="F25" s="49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491" t="s">
        <v>81</v>
      </c>
      <c r="C26" s="492"/>
      <c r="D26" s="492"/>
      <c r="E26" s="492"/>
      <c r="F26" s="49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491" t="s">
        <v>99</v>
      </c>
      <c r="C27" s="492"/>
      <c r="D27" s="492"/>
      <c r="E27" s="492"/>
      <c r="F27" s="49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495" t="s">
        <v>105</v>
      </c>
      <c r="C28" s="496"/>
      <c r="D28" s="496"/>
      <c r="E28" s="496"/>
      <c r="F28" s="496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497" t="s">
        <v>802</v>
      </c>
      <c r="C29" s="498"/>
      <c r="D29" s="498"/>
      <c r="E29" s="498"/>
      <c r="F29" s="498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499" t="s">
        <v>120</v>
      </c>
      <c r="C30" s="500"/>
      <c r="D30" s="500"/>
      <c r="E30" s="500"/>
      <c r="F30" s="500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489" t="s">
        <v>122</v>
      </c>
      <c r="C31" s="490"/>
      <c r="D31" s="490"/>
      <c r="E31" s="490"/>
      <c r="F31" s="49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489" t="s">
        <v>133</v>
      </c>
      <c r="C32" s="490"/>
      <c r="D32" s="490"/>
      <c r="E32" s="490"/>
      <c r="F32" s="49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489" t="s">
        <v>148</v>
      </c>
      <c r="C33" s="490"/>
      <c r="D33" s="490"/>
      <c r="E33" s="490"/>
      <c r="F33" s="49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489" t="s">
        <v>162</v>
      </c>
      <c r="C34" s="490"/>
      <c r="D34" s="490"/>
      <c r="E34" s="490"/>
      <c r="F34" s="49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36" t="s">
        <v>182</v>
      </c>
      <c r="C35" s="537"/>
      <c r="D35" s="537"/>
      <c r="E35" s="537"/>
      <c r="F35" s="537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489" t="s">
        <v>190</v>
      </c>
      <c r="C36" s="490"/>
      <c r="D36" s="490"/>
      <c r="E36" s="490"/>
      <c r="F36" s="49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489" t="s">
        <v>196</v>
      </c>
      <c r="C37" s="490"/>
      <c r="D37" s="490"/>
      <c r="E37" s="490"/>
      <c r="F37" s="49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489" t="s">
        <v>204</v>
      </c>
      <c r="C38" s="490"/>
      <c r="D38" s="490"/>
      <c r="E38" s="490"/>
      <c r="F38" s="49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489" t="s">
        <v>212</v>
      </c>
      <c r="C39" s="490"/>
      <c r="D39" s="490"/>
      <c r="E39" s="490"/>
      <c r="F39" s="49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05" t="s">
        <v>230</v>
      </c>
      <c r="C40" s="506"/>
      <c r="D40" s="506"/>
      <c r="E40" s="506"/>
      <c r="F40" s="50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489" t="s">
        <v>232</v>
      </c>
      <c r="C41" s="490"/>
      <c r="D41" s="490"/>
      <c r="E41" s="490"/>
      <c r="F41" s="49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489" t="s">
        <v>248</v>
      </c>
      <c r="C42" s="490"/>
      <c r="D42" s="490"/>
      <c r="E42" s="490"/>
      <c r="F42" s="49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489" t="s">
        <v>259</v>
      </c>
      <c r="C43" s="490"/>
      <c r="D43" s="490"/>
      <c r="E43" s="490"/>
      <c r="F43" s="49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489" t="s">
        <v>274</v>
      </c>
      <c r="C44" s="490"/>
      <c r="D44" s="490"/>
      <c r="E44" s="490"/>
      <c r="F44" s="49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489" t="s">
        <v>278</v>
      </c>
      <c r="C45" s="490"/>
      <c r="D45" s="490"/>
      <c r="E45" s="490"/>
      <c r="F45" s="49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03" t="s">
        <v>286</v>
      </c>
      <c r="C46" s="504"/>
      <c r="D46" s="504"/>
      <c r="E46" s="504"/>
      <c r="F46" s="50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03" t="s">
        <v>320</v>
      </c>
      <c r="C47" s="504"/>
      <c r="D47" s="504"/>
      <c r="E47" s="504"/>
      <c r="F47" s="50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40" t="s">
        <v>113</v>
      </c>
      <c r="C48" s="541"/>
      <c r="D48" s="541"/>
      <c r="E48" s="541"/>
      <c r="F48" s="541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47" t="s">
        <v>366</v>
      </c>
      <c r="C49" s="548"/>
      <c r="D49" s="548"/>
      <c r="E49" s="548"/>
      <c r="F49" s="548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9" t="s">
        <v>359</v>
      </c>
      <c r="C50" s="510"/>
      <c r="D50" s="510"/>
      <c r="E50" s="510"/>
      <c r="F50" s="510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49" t="s">
        <v>795</v>
      </c>
      <c r="C51" s="550"/>
      <c r="D51" s="550"/>
      <c r="E51" s="550"/>
      <c r="F51" s="550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51" t="s">
        <v>685</v>
      </c>
      <c r="C52" s="552"/>
      <c r="D52" s="552"/>
      <c r="E52" s="552"/>
      <c r="F52" s="552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45" t="s">
        <v>352</v>
      </c>
      <c r="C55" s="546"/>
      <c r="D55" s="546"/>
      <c r="E55" s="546"/>
      <c r="F55" s="546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31" t="s">
        <v>355</v>
      </c>
      <c r="C56" s="532"/>
      <c r="D56" s="532"/>
      <c r="E56" s="532"/>
      <c r="F56" s="532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507" t="s">
        <v>357</v>
      </c>
      <c r="C57" s="508"/>
      <c r="D57" s="508"/>
      <c r="E57" s="508"/>
      <c r="F57" s="50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1" t="s">
        <v>336</v>
      </c>
      <c r="C58" s="592"/>
      <c r="D58" s="592"/>
      <c r="E58" s="592"/>
      <c r="F58" s="592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33" t="s">
        <v>543</v>
      </c>
      <c r="C59" s="534"/>
      <c r="D59" s="534"/>
      <c r="E59" s="534"/>
      <c r="F59" s="534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497" t="s">
        <v>544</v>
      </c>
      <c r="C60" s="498"/>
      <c r="D60" s="498"/>
      <c r="E60" s="498"/>
      <c r="F60" s="498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31" t="s">
        <v>114</v>
      </c>
      <c r="C61" s="532"/>
      <c r="D61" s="532"/>
      <c r="E61" s="532"/>
      <c r="F61" s="532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7" t="s">
        <v>116</v>
      </c>
      <c r="C62" s="508"/>
      <c r="D62" s="508"/>
      <c r="E62" s="508"/>
      <c r="F62" s="50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7" t="s">
        <v>93</v>
      </c>
      <c r="C63" s="508"/>
      <c r="D63" s="508"/>
      <c r="E63" s="508"/>
      <c r="F63" s="50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59" t="s">
        <v>552</v>
      </c>
      <c r="C100" s="560"/>
      <c r="D100" s="560"/>
      <c r="E100" s="560"/>
      <c r="F100" s="560"/>
      <c r="G100" s="542">
        <v>2019</v>
      </c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4"/>
      <c r="S100" s="107" t="str">
        <f>+S7</f>
        <v>BDP</v>
      </c>
      <c r="T100" s="108">
        <f>+T7</f>
        <v>4951000000</v>
      </c>
    </row>
    <row r="101" spans="1:21" ht="15.75" customHeight="1">
      <c r="B101" s="561"/>
      <c r="C101" s="562"/>
      <c r="D101" s="562"/>
      <c r="E101" s="562"/>
      <c r="F101" s="563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42" t="s">
        <v>809</v>
      </c>
      <c r="T101" s="544">
        <f>+T8</f>
        <v>0</v>
      </c>
    </row>
    <row r="102" spans="1:21" ht="13.5" thickBot="1">
      <c r="B102" s="564"/>
      <c r="C102" s="565"/>
      <c r="D102" s="565"/>
      <c r="E102" s="565"/>
      <c r="F102" s="56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3" t="s">
        <v>681</v>
      </c>
      <c r="C103" s="554"/>
      <c r="D103" s="554"/>
      <c r="E103" s="554"/>
      <c r="F103" s="554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55" t="s">
        <v>21</v>
      </c>
      <c r="C104" s="556"/>
      <c r="D104" s="556"/>
      <c r="E104" s="556"/>
      <c r="F104" s="556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7" t="s">
        <v>23</v>
      </c>
      <c r="C105" s="558"/>
      <c r="D105" s="558"/>
      <c r="E105" s="558"/>
      <c r="F105" s="558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7" t="s">
        <v>25</v>
      </c>
      <c r="C106" s="558"/>
      <c r="D106" s="558"/>
      <c r="E106" s="558"/>
      <c r="F106" s="558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7" t="s">
        <v>27</v>
      </c>
      <c r="C107" s="558"/>
      <c r="D107" s="558"/>
      <c r="E107" s="558"/>
      <c r="F107" s="558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7" t="s">
        <v>29</v>
      </c>
      <c r="C108" s="558"/>
      <c r="D108" s="558"/>
      <c r="E108" s="558"/>
      <c r="F108" s="558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7" t="s">
        <v>31</v>
      </c>
      <c r="C109" s="558"/>
      <c r="D109" s="558"/>
      <c r="E109" s="558"/>
      <c r="F109" s="558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7" t="s">
        <v>33</v>
      </c>
      <c r="C110" s="558"/>
      <c r="D110" s="558"/>
      <c r="E110" s="558"/>
      <c r="F110" s="558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7" t="s">
        <v>722</v>
      </c>
      <c r="C111" s="558"/>
      <c r="D111" s="558"/>
      <c r="E111" s="558"/>
      <c r="F111" s="558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69" t="s">
        <v>37</v>
      </c>
      <c r="C112" s="570"/>
      <c r="D112" s="570"/>
      <c r="E112" s="570"/>
      <c r="F112" s="57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7" t="s">
        <v>39</v>
      </c>
      <c r="C113" s="558"/>
      <c r="D113" s="558"/>
      <c r="E113" s="558"/>
      <c r="F113" s="558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7" t="s">
        <v>41</v>
      </c>
      <c r="C114" s="558"/>
      <c r="D114" s="558"/>
      <c r="E114" s="558"/>
      <c r="F114" s="558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7" t="s">
        <v>43</v>
      </c>
      <c r="C115" s="558"/>
      <c r="D115" s="558"/>
      <c r="E115" s="558"/>
      <c r="F115" s="558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7" t="s">
        <v>45</v>
      </c>
      <c r="C116" s="558"/>
      <c r="D116" s="558"/>
      <c r="E116" s="558"/>
      <c r="F116" s="558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67" t="s">
        <v>47</v>
      </c>
      <c r="C117" s="568"/>
      <c r="D117" s="568"/>
      <c r="E117" s="568"/>
      <c r="F117" s="56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67" t="s">
        <v>61</v>
      </c>
      <c r="C118" s="568"/>
      <c r="D118" s="568"/>
      <c r="E118" s="568"/>
      <c r="F118" s="56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67" t="s">
        <v>81</v>
      </c>
      <c r="C119" s="568"/>
      <c r="D119" s="568"/>
      <c r="E119" s="568"/>
      <c r="F119" s="56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67" t="s">
        <v>99</v>
      </c>
      <c r="C120" s="568"/>
      <c r="D120" s="568"/>
      <c r="E120" s="568"/>
      <c r="F120" s="56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1" t="s">
        <v>105</v>
      </c>
      <c r="C121" s="572"/>
      <c r="D121" s="572"/>
      <c r="E121" s="572"/>
      <c r="F121" s="57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73" t="s">
        <v>811</v>
      </c>
      <c r="C122" s="574"/>
      <c r="D122" s="574"/>
      <c r="E122" s="574"/>
      <c r="F122" s="574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5" t="e">
        <v>#REF!</v>
      </c>
      <c r="C124" s="576"/>
      <c r="D124" s="576"/>
      <c r="E124" s="576"/>
      <c r="F124" s="57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7" t="s">
        <v>122</v>
      </c>
      <c r="C125" s="558"/>
      <c r="D125" s="558"/>
      <c r="E125" s="558"/>
      <c r="F125" s="558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7" t="s">
        <v>133</v>
      </c>
      <c r="C126" s="558"/>
      <c r="D126" s="558"/>
      <c r="E126" s="558"/>
      <c r="F126" s="558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7" t="s">
        <v>148</v>
      </c>
      <c r="C127" s="558"/>
      <c r="D127" s="558"/>
      <c r="E127" s="558"/>
      <c r="F127" s="558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7" t="s">
        <v>162</v>
      </c>
      <c r="C128" s="558"/>
      <c r="D128" s="558"/>
      <c r="E128" s="558"/>
      <c r="F128" s="558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7" t="s">
        <v>182</v>
      </c>
      <c r="C129" s="558"/>
      <c r="D129" s="558"/>
      <c r="E129" s="558"/>
      <c r="F129" s="558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7" t="s">
        <v>190</v>
      </c>
      <c r="C130" s="558"/>
      <c r="D130" s="558"/>
      <c r="E130" s="558"/>
      <c r="F130" s="558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7" t="s">
        <v>196</v>
      </c>
      <c r="C131" s="558"/>
      <c r="D131" s="558"/>
      <c r="E131" s="558"/>
      <c r="F131" s="558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7" t="s">
        <v>204</v>
      </c>
      <c r="C132" s="558"/>
      <c r="D132" s="558"/>
      <c r="E132" s="558"/>
      <c r="F132" s="558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7" t="s">
        <v>212</v>
      </c>
      <c r="C133" s="558"/>
      <c r="D133" s="558"/>
      <c r="E133" s="558"/>
      <c r="F133" s="558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7" t="e">
        <v>#REF!</v>
      </c>
      <c r="C134" s="558"/>
      <c r="D134" s="558"/>
      <c r="E134" s="558"/>
      <c r="F134" s="558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81" t="s">
        <v>230</v>
      </c>
      <c r="C135" s="582"/>
      <c r="D135" s="582"/>
      <c r="E135" s="582"/>
      <c r="F135" s="582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7" t="s">
        <v>232</v>
      </c>
      <c r="C136" s="558"/>
      <c r="D136" s="558"/>
      <c r="E136" s="558"/>
      <c r="F136" s="558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7" t="s">
        <v>248</v>
      </c>
      <c r="C137" s="558"/>
      <c r="D137" s="558"/>
      <c r="E137" s="558"/>
      <c r="F137" s="558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7" t="s">
        <v>259</v>
      </c>
      <c r="C138" s="558"/>
      <c r="D138" s="558"/>
      <c r="E138" s="558"/>
      <c r="F138" s="558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7" t="s">
        <v>274</v>
      </c>
      <c r="C139" s="558"/>
      <c r="D139" s="558"/>
      <c r="E139" s="558"/>
      <c r="F139" s="558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7" t="s">
        <v>278</v>
      </c>
      <c r="C140" s="558"/>
      <c r="D140" s="558"/>
      <c r="E140" s="558"/>
      <c r="F140" s="558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77" t="s">
        <v>286</v>
      </c>
      <c r="C141" s="578"/>
      <c r="D141" s="578"/>
      <c r="E141" s="578"/>
      <c r="F141" s="578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77" t="s">
        <v>812</v>
      </c>
      <c r="C142" s="578"/>
      <c r="D142" s="578"/>
      <c r="E142" s="578"/>
      <c r="F142" s="578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79" t="s">
        <v>113</v>
      </c>
      <c r="C143" s="580"/>
      <c r="D143" s="580"/>
      <c r="E143" s="580"/>
      <c r="F143" s="580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79" t="s">
        <v>366</v>
      </c>
      <c r="C144" s="580"/>
      <c r="D144" s="580"/>
      <c r="E144" s="580"/>
      <c r="F144" s="580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79" t="s">
        <v>359</v>
      </c>
      <c r="C145" s="580"/>
      <c r="D145" s="580"/>
      <c r="E145" s="580"/>
      <c r="F145" s="580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79" t="s">
        <v>365</v>
      </c>
      <c r="C146" s="580"/>
      <c r="D146" s="580"/>
      <c r="E146" s="580"/>
      <c r="F146" s="580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5" t="s">
        <v>686</v>
      </c>
      <c r="C147" s="596"/>
      <c r="D147" s="596"/>
      <c r="E147" s="596"/>
      <c r="F147" s="596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87" t="s">
        <v>545</v>
      </c>
      <c r="C148" s="588"/>
      <c r="D148" s="588"/>
      <c r="E148" s="588"/>
      <c r="F148" s="588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89" t="s">
        <v>813</v>
      </c>
      <c r="C149" s="590"/>
      <c r="D149" s="590"/>
      <c r="E149" s="590"/>
      <c r="F149" s="590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81" t="s">
        <v>352</v>
      </c>
      <c r="C150" s="582"/>
      <c r="D150" s="582"/>
      <c r="E150" s="582"/>
      <c r="F150" s="582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85" t="s">
        <v>355</v>
      </c>
      <c r="C151" s="586"/>
      <c r="D151" s="586"/>
      <c r="E151" s="586"/>
      <c r="F151" s="586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79" t="s">
        <v>357</v>
      </c>
      <c r="C152" s="580"/>
      <c r="D152" s="580"/>
      <c r="E152" s="580"/>
      <c r="F152" s="580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495" t="s">
        <v>770</v>
      </c>
      <c r="C153" s="496"/>
      <c r="D153" s="496"/>
      <c r="E153" s="496"/>
      <c r="F153" s="496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83" t="s">
        <v>543</v>
      </c>
      <c r="C154" s="584"/>
      <c r="D154" s="584"/>
      <c r="E154" s="584"/>
      <c r="F154" s="584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73" t="s">
        <v>544</v>
      </c>
      <c r="C155" s="574"/>
      <c r="D155" s="574"/>
      <c r="E155" s="574"/>
      <c r="F155" s="574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85" t="s">
        <v>114</v>
      </c>
      <c r="C156" s="586"/>
      <c r="D156" s="586"/>
      <c r="E156" s="586"/>
      <c r="F156" s="586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79" t="s">
        <v>116</v>
      </c>
      <c r="C157" s="580"/>
      <c r="D157" s="580"/>
      <c r="E157" s="580"/>
      <c r="F157" s="580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79" t="s">
        <v>93</v>
      </c>
      <c r="C158" s="580"/>
      <c r="D158" s="580"/>
      <c r="E158" s="580"/>
      <c r="F158" s="580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35" t="s">
        <v>554</v>
      </c>
      <c r="C7" s="518"/>
      <c r="D7" s="518"/>
      <c r="E7" s="518"/>
      <c r="F7" s="518"/>
      <c r="G7" s="526">
        <v>2018</v>
      </c>
      <c r="H7" s="527"/>
      <c r="I7" s="527"/>
      <c r="J7" s="527"/>
      <c r="K7" s="527"/>
      <c r="L7" s="527"/>
      <c r="M7" s="527"/>
      <c r="N7" s="527"/>
      <c r="O7" s="527"/>
      <c r="P7" s="527"/>
      <c r="Q7" s="527"/>
      <c r="R7" s="530"/>
      <c r="S7" s="235" t="s">
        <v>419</v>
      </c>
      <c r="T7" s="236">
        <v>4663130000</v>
      </c>
    </row>
    <row r="8" spans="1:20" ht="16.5" customHeight="1">
      <c r="A8" s="144"/>
      <c r="B8" s="519"/>
      <c r="C8" s="520"/>
      <c r="D8" s="520"/>
      <c r="E8" s="520"/>
      <c r="F8" s="52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6" t="s">
        <v>809</v>
      </c>
      <c r="T8" s="530"/>
    </row>
    <row r="9" spans="1:20" ht="13.5" thickBot="1">
      <c r="A9" s="144"/>
      <c r="B9" s="522"/>
      <c r="C9" s="523"/>
      <c r="D9" s="523"/>
      <c r="E9" s="523"/>
      <c r="F9" s="52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85" t="s">
        <v>681</v>
      </c>
      <c r="C10" s="486"/>
      <c r="D10" s="486"/>
      <c r="E10" s="486"/>
      <c r="F10" s="486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487" t="s">
        <v>21</v>
      </c>
      <c r="C11" s="488"/>
      <c r="D11" s="488"/>
      <c r="E11" s="488"/>
      <c r="F11" s="488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489" t="s">
        <v>23</v>
      </c>
      <c r="C12" s="490"/>
      <c r="D12" s="490"/>
      <c r="E12" s="490"/>
      <c r="F12" s="49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489" t="s">
        <v>25</v>
      </c>
      <c r="C13" s="490"/>
      <c r="D13" s="490"/>
      <c r="E13" s="490"/>
      <c r="F13" s="49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489" t="s">
        <v>27</v>
      </c>
      <c r="C14" s="490"/>
      <c r="D14" s="490"/>
      <c r="E14" s="490"/>
      <c r="F14" s="49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489" t="s">
        <v>29</v>
      </c>
      <c r="C15" s="490"/>
      <c r="D15" s="490"/>
      <c r="E15" s="490"/>
      <c r="F15" s="49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489" t="s">
        <v>31</v>
      </c>
      <c r="C16" s="490"/>
      <c r="D16" s="490"/>
      <c r="E16" s="490"/>
      <c r="F16" s="49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489" t="s">
        <v>33</v>
      </c>
      <c r="C17" s="490"/>
      <c r="D17" s="490"/>
      <c r="E17" s="490"/>
      <c r="F17" s="49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489" t="s">
        <v>722</v>
      </c>
      <c r="C18" s="490"/>
      <c r="D18" s="490"/>
      <c r="E18" s="490"/>
      <c r="F18" s="49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493" t="s">
        <v>37</v>
      </c>
      <c r="C19" s="494"/>
      <c r="D19" s="494"/>
      <c r="E19" s="494"/>
      <c r="F19" s="494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489" t="s">
        <v>39</v>
      </c>
      <c r="C20" s="490"/>
      <c r="D20" s="490"/>
      <c r="E20" s="490"/>
      <c r="F20" s="49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489" t="s">
        <v>41</v>
      </c>
      <c r="C21" s="490"/>
      <c r="D21" s="490"/>
      <c r="E21" s="490"/>
      <c r="F21" s="49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489" t="s">
        <v>43</v>
      </c>
      <c r="C22" s="490"/>
      <c r="D22" s="490"/>
      <c r="E22" s="490"/>
      <c r="F22" s="49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489" t="s">
        <v>45</v>
      </c>
      <c r="C23" s="490"/>
      <c r="D23" s="490"/>
      <c r="E23" s="490"/>
      <c r="F23" s="49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491" t="s">
        <v>47</v>
      </c>
      <c r="C24" s="492"/>
      <c r="D24" s="492"/>
      <c r="E24" s="492"/>
      <c r="F24" s="49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491" t="s">
        <v>61</v>
      </c>
      <c r="C25" s="492"/>
      <c r="D25" s="492"/>
      <c r="E25" s="492"/>
      <c r="F25" s="49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491" t="s">
        <v>81</v>
      </c>
      <c r="C26" s="492"/>
      <c r="D26" s="492"/>
      <c r="E26" s="492"/>
      <c r="F26" s="49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491" t="s">
        <v>99</v>
      </c>
      <c r="C27" s="492"/>
      <c r="D27" s="492"/>
      <c r="E27" s="492"/>
      <c r="F27" s="49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495" t="s">
        <v>105</v>
      </c>
      <c r="C28" s="496"/>
      <c r="D28" s="496"/>
      <c r="E28" s="496"/>
      <c r="F28" s="496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497" t="s">
        <v>802</v>
      </c>
      <c r="C29" s="498"/>
      <c r="D29" s="498"/>
      <c r="E29" s="498"/>
      <c r="F29" s="498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499" t="s">
        <v>774</v>
      </c>
      <c r="C30" s="500"/>
      <c r="D30" s="500"/>
      <c r="E30" s="500"/>
      <c r="F30" s="500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01" t="s">
        <v>120</v>
      </c>
      <c r="C31" s="502"/>
      <c r="D31" s="502"/>
      <c r="E31" s="502"/>
      <c r="F31" s="502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489" t="s">
        <v>122</v>
      </c>
      <c r="C32" s="490"/>
      <c r="D32" s="490"/>
      <c r="E32" s="490"/>
      <c r="F32" s="49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489" t="s">
        <v>133</v>
      </c>
      <c r="C33" s="490"/>
      <c r="D33" s="490"/>
      <c r="E33" s="490"/>
      <c r="F33" s="49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489" t="s">
        <v>148</v>
      </c>
      <c r="C34" s="490"/>
      <c r="D34" s="490"/>
      <c r="E34" s="490"/>
      <c r="F34" s="49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489" t="s">
        <v>162</v>
      </c>
      <c r="C35" s="490"/>
      <c r="D35" s="490"/>
      <c r="E35" s="490"/>
      <c r="F35" s="49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489" t="s">
        <v>182</v>
      </c>
      <c r="C36" s="490"/>
      <c r="D36" s="490"/>
      <c r="E36" s="490"/>
      <c r="F36" s="49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489" t="s">
        <v>190</v>
      </c>
      <c r="C37" s="490"/>
      <c r="D37" s="490"/>
      <c r="E37" s="490"/>
      <c r="F37" s="49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489" t="s">
        <v>196</v>
      </c>
      <c r="C38" s="490"/>
      <c r="D38" s="490"/>
      <c r="E38" s="490"/>
      <c r="F38" s="49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489" t="s">
        <v>204</v>
      </c>
      <c r="C39" s="490"/>
      <c r="D39" s="490"/>
      <c r="E39" s="490"/>
      <c r="F39" s="49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489" t="s">
        <v>212</v>
      </c>
      <c r="C40" s="490"/>
      <c r="D40" s="490"/>
      <c r="E40" s="490"/>
      <c r="F40" s="49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489" t="s">
        <v>803</v>
      </c>
      <c r="C41" s="490"/>
      <c r="D41" s="490"/>
      <c r="E41" s="490"/>
      <c r="F41" s="49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05" t="s">
        <v>230</v>
      </c>
      <c r="C42" s="506"/>
      <c r="D42" s="506"/>
      <c r="E42" s="506"/>
      <c r="F42" s="50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489" t="s">
        <v>232</v>
      </c>
      <c r="C43" s="490"/>
      <c r="D43" s="490"/>
      <c r="E43" s="490"/>
      <c r="F43" s="49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489" t="s">
        <v>248</v>
      </c>
      <c r="C44" s="490"/>
      <c r="D44" s="490"/>
      <c r="E44" s="490"/>
      <c r="F44" s="49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489" t="s">
        <v>259</v>
      </c>
      <c r="C45" s="490"/>
      <c r="D45" s="490"/>
      <c r="E45" s="490"/>
      <c r="F45" s="49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489" t="s">
        <v>274</v>
      </c>
      <c r="C46" s="490"/>
      <c r="D46" s="490"/>
      <c r="E46" s="490"/>
      <c r="F46" s="49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03" t="s">
        <v>286</v>
      </c>
      <c r="C48" s="504"/>
      <c r="D48" s="504"/>
      <c r="E48" s="504"/>
      <c r="F48" s="50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03" t="s">
        <v>320</v>
      </c>
      <c r="C49" s="504"/>
      <c r="D49" s="504"/>
      <c r="E49" s="504"/>
      <c r="F49" s="50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40" t="s">
        <v>113</v>
      </c>
      <c r="C50" s="541"/>
      <c r="D50" s="541"/>
      <c r="E50" s="541"/>
      <c r="F50" s="541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7" t="s">
        <v>366</v>
      </c>
      <c r="C51" s="508"/>
      <c r="D51" s="508"/>
      <c r="E51" s="508"/>
      <c r="F51" s="50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9" t="s">
        <v>359</v>
      </c>
      <c r="C52" s="510"/>
      <c r="D52" s="510"/>
      <c r="E52" s="510"/>
      <c r="F52" s="510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49" t="s">
        <v>795</v>
      </c>
      <c r="C53" s="550"/>
      <c r="D53" s="550"/>
      <c r="E53" s="550"/>
      <c r="F53" s="550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51" t="s">
        <v>685</v>
      </c>
      <c r="C54" s="552"/>
      <c r="D54" s="552"/>
      <c r="E54" s="552"/>
      <c r="F54" s="552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45" t="s">
        <v>352</v>
      </c>
      <c r="C58" s="546"/>
      <c r="D58" s="546"/>
      <c r="E58" s="546"/>
      <c r="F58" s="546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31" t="s">
        <v>355</v>
      </c>
      <c r="C59" s="532"/>
      <c r="D59" s="532"/>
      <c r="E59" s="532"/>
      <c r="F59" s="532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7" t="s">
        <v>357</v>
      </c>
      <c r="C60" s="508"/>
      <c r="D60" s="508"/>
      <c r="E60" s="508"/>
      <c r="F60" s="50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1" t="s">
        <v>336</v>
      </c>
      <c r="C61" s="592"/>
      <c r="D61" s="592"/>
      <c r="E61" s="592"/>
      <c r="F61" s="592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33" t="s">
        <v>543</v>
      </c>
      <c r="C62" s="534"/>
      <c r="D62" s="534"/>
      <c r="E62" s="534"/>
      <c r="F62" s="53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497" t="s">
        <v>544</v>
      </c>
      <c r="C63" s="498"/>
      <c r="D63" s="498"/>
      <c r="E63" s="498"/>
      <c r="F63" s="498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31" t="s">
        <v>114</v>
      </c>
      <c r="C64" s="532"/>
      <c r="D64" s="532"/>
      <c r="E64" s="532"/>
      <c r="F64" s="532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7" t="s">
        <v>116</v>
      </c>
      <c r="C65" s="508"/>
      <c r="D65" s="508"/>
      <c r="E65" s="508"/>
      <c r="F65" s="50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7" t="s">
        <v>93</v>
      </c>
      <c r="C66" s="508"/>
      <c r="D66" s="508"/>
      <c r="E66" s="508"/>
      <c r="F66" s="50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59" t="s">
        <v>552</v>
      </c>
      <c r="C103" s="560"/>
      <c r="D103" s="560"/>
      <c r="E103" s="560"/>
      <c r="F103" s="560"/>
      <c r="G103" s="542">
        <v>2018</v>
      </c>
      <c r="H103" s="543"/>
      <c r="I103" s="543"/>
      <c r="J103" s="543"/>
      <c r="K103" s="543"/>
      <c r="L103" s="543"/>
      <c r="M103" s="543"/>
      <c r="N103" s="543"/>
      <c r="O103" s="543"/>
      <c r="P103" s="543"/>
      <c r="Q103" s="543"/>
      <c r="R103" s="544"/>
      <c r="S103" s="107" t="str">
        <f>+S7</f>
        <v>BDP</v>
      </c>
      <c r="T103" s="108">
        <f>+T7</f>
        <v>4663130000</v>
      </c>
    </row>
    <row r="104" spans="1:21" ht="15.75" customHeight="1">
      <c r="B104" s="561"/>
      <c r="C104" s="562"/>
      <c r="D104" s="562"/>
      <c r="E104" s="562"/>
      <c r="F104" s="563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42" t="s">
        <v>809</v>
      </c>
      <c r="T104" s="544">
        <f>+T8</f>
        <v>0</v>
      </c>
    </row>
    <row r="105" spans="1:21" ht="13.5" thickBot="1">
      <c r="B105" s="564"/>
      <c r="C105" s="565"/>
      <c r="D105" s="565"/>
      <c r="E105" s="565"/>
      <c r="F105" s="566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3" t="s">
        <v>681</v>
      </c>
      <c r="C106" s="554"/>
      <c r="D106" s="554"/>
      <c r="E106" s="554"/>
      <c r="F106" s="554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55" t="s">
        <v>21</v>
      </c>
      <c r="C107" s="556"/>
      <c r="D107" s="556"/>
      <c r="E107" s="556"/>
      <c r="F107" s="556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7" t="s">
        <v>23</v>
      </c>
      <c r="C108" s="558"/>
      <c r="D108" s="558"/>
      <c r="E108" s="558"/>
      <c r="F108" s="558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7" t="s">
        <v>25</v>
      </c>
      <c r="C109" s="558"/>
      <c r="D109" s="558"/>
      <c r="E109" s="558"/>
      <c r="F109" s="558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7" t="s">
        <v>27</v>
      </c>
      <c r="C110" s="558"/>
      <c r="D110" s="558"/>
      <c r="E110" s="558"/>
      <c r="F110" s="558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7" t="s">
        <v>29</v>
      </c>
      <c r="C111" s="558"/>
      <c r="D111" s="558"/>
      <c r="E111" s="558"/>
      <c r="F111" s="558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7" t="s">
        <v>31</v>
      </c>
      <c r="C112" s="558"/>
      <c r="D112" s="558"/>
      <c r="E112" s="558"/>
      <c r="F112" s="558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7" t="s">
        <v>33</v>
      </c>
      <c r="C113" s="558"/>
      <c r="D113" s="558"/>
      <c r="E113" s="558"/>
      <c r="F113" s="558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7" t="s">
        <v>722</v>
      </c>
      <c r="C114" s="558"/>
      <c r="D114" s="558"/>
      <c r="E114" s="558"/>
      <c r="F114" s="558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69" t="s">
        <v>37</v>
      </c>
      <c r="C115" s="570"/>
      <c r="D115" s="570"/>
      <c r="E115" s="570"/>
      <c r="F115" s="57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7" t="s">
        <v>39</v>
      </c>
      <c r="C116" s="558"/>
      <c r="D116" s="558"/>
      <c r="E116" s="558"/>
      <c r="F116" s="558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7" t="s">
        <v>41</v>
      </c>
      <c r="C117" s="558"/>
      <c r="D117" s="558"/>
      <c r="E117" s="558"/>
      <c r="F117" s="558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7" t="s">
        <v>43</v>
      </c>
      <c r="C118" s="558"/>
      <c r="D118" s="558"/>
      <c r="E118" s="558"/>
      <c r="F118" s="558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7" t="s">
        <v>45</v>
      </c>
      <c r="C119" s="558"/>
      <c r="D119" s="558"/>
      <c r="E119" s="558"/>
      <c r="F119" s="558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67" t="s">
        <v>47</v>
      </c>
      <c r="C120" s="568"/>
      <c r="D120" s="568"/>
      <c r="E120" s="568"/>
      <c r="F120" s="56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67" t="s">
        <v>61</v>
      </c>
      <c r="C121" s="568"/>
      <c r="D121" s="568"/>
      <c r="E121" s="568"/>
      <c r="F121" s="56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67" t="s">
        <v>81</v>
      </c>
      <c r="C122" s="568"/>
      <c r="D122" s="568"/>
      <c r="E122" s="568"/>
      <c r="F122" s="56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67" t="s">
        <v>99</v>
      </c>
      <c r="C123" s="568"/>
      <c r="D123" s="568"/>
      <c r="E123" s="568"/>
      <c r="F123" s="56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1" t="s">
        <v>105</v>
      </c>
      <c r="C124" s="572"/>
      <c r="D124" s="572"/>
      <c r="E124" s="572"/>
      <c r="F124" s="57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73" t="s">
        <v>811</v>
      </c>
      <c r="C125" s="574"/>
      <c r="D125" s="574"/>
      <c r="E125" s="574"/>
      <c r="F125" s="57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5" t="s">
        <v>120</v>
      </c>
      <c r="C127" s="576"/>
      <c r="D127" s="576"/>
      <c r="E127" s="576"/>
      <c r="F127" s="57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7" t="s">
        <v>122</v>
      </c>
      <c r="C128" s="558"/>
      <c r="D128" s="558"/>
      <c r="E128" s="558"/>
      <c r="F128" s="558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7" t="s">
        <v>133</v>
      </c>
      <c r="C129" s="558"/>
      <c r="D129" s="558"/>
      <c r="E129" s="558"/>
      <c r="F129" s="558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7" t="s">
        <v>148</v>
      </c>
      <c r="C130" s="558"/>
      <c r="D130" s="558"/>
      <c r="E130" s="558"/>
      <c r="F130" s="558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7" t="s">
        <v>162</v>
      </c>
      <c r="C131" s="558"/>
      <c r="D131" s="558"/>
      <c r="E131" s="558"/>
      <c r="F131" s="558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7" t="s">
        <v>182</v>
      </c>
      <c r="C132" s="558"/>
      <c r="D132" s="558"/>
      <c r="E132" s="558"/>
      <c r="F132" s="558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7" t="s">
        <v>190</v>
      </c>
      <c r="C133" s="558"/>
      <c r="D133" s="558"/>
      <c r="E133" s="558"/>
      <c r="F133" s="558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7" t="s">
        <v>196</v>
      </c>
      <c r="C134" s="558"/>
      <c r="D134" s="558"/>
      <c r="E134" s="558"/>
      <c r="F134" s="558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7" t="s">
        <v>204</v>
      </c>
      <c r="C135" s="558"/>
      <c r="D135" s="558"/>
      <c r="E135" s="558"/>
      <c r="F135" s="558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7" t="s">
        <v>212</v>
      </c>
      <c r="C136" s="558"/>
      <c r="D136" s="558"/>
      <c r="E136" s="558"/>
      <c r="F136" s="558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7" t="s">
        <v>803</v>
      </c>
      <c r="C137" s="558"/>
      <c r="D137" s="558"/>
      <c r="E137" s="558"/>
      <c r="F137" s="558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81" t="s">
        <v>230</v>
      </c>
      <c r="C138" s="582"/>
      <c r="D138" s="582"/>
      <c r="E138" s="582"/>
      <c r="F138" s="582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7" t="s">
        <v>232</v>
      </c>
      <c r="C139" s="558"/>
      <c r="D139" s="558"/>
      <c r="E139" s="558"/>
      <c r="F139" s="558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7" t="s">
        <v>248</v>
      </c>
      <c r="C140" s="558"/>
      <c r="D140" s="558"/>
      <c r="E140" s="558"/>
      <c r="F140" s="558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7" t="s">
        <v>259</v>
      </c>
      <c r="C141" s="558"/>
      <c r="D141" s="558"/>
      <c r="E141" s="558"/>
      <c r="F141" s="558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7" t="s">
        <v>274</v>
      </c>
      <c r="C142" s="558"/>
      <c r="D142" s="558"/>
      <c r="E142" s="558"/>
      <c r="F142" s="558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7" t="s">
        <v>278</v>
      </c>
      <c r="C143" s="558"/>
      <c r="D143" s="558"/>
      <c r="E143" s="558"/>
      <c r="F143" s="558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77" t="s">
        <v>286</v>
      </c>
      <c r="C144" s="578"/>
      <c r="D144" s="578"/>
      <c r="E144" s="578"/>
      <c r="F144" s="578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77" t="s">
        <v>812</v>
      </c>
      <c r="C145" s="578"/>
      <c r="D145" s="578"/>
      <c r="E145" s="578"/>
      <c r="F145" s="578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79" t="s">
        <v>113</v>
      </c>
      <c r="C146" s="580"/>
      <c r="D146" s="580"/>
      <c r="E146" s="580"/>
      <c r="F146" s="580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79" t="s">
        <v>366</v>
      </c>
      <c r="C147" s="580"/>
      <c r="D147" s="580"/>
      <c r="E147" s="580"/>
      <c r="F147" s="580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79" t="s">
        <v>359</v>
      </c>
      <c r="C148" s="580"/>
      <c r="D148" s="580"/>
      <c r="E148" s="580"/>
      <c r="F148" s="580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87" t="s">
        <v>545</v>
      </c>
      <c r="C150" s="588"/>
      <c r="D150" s="588"/>
      <c r="E150" s="588"/>
      <c r="F150" s="588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89" t="s">
        <v>813</v>
      </c>
      <c r="C151" s="590"/>
      <c r="D151" s="590"/>
      <c r="E151" s="590"/>
      <c r="F151" s="590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81" t="s">
        <v>352</v>
      </c>
      <c r="C152" s="582"/>
      <c r="D152" s="582"/>
      <c r="E152" s="582"/>
      <c r="F152" s="582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85" t="s">
        <v>355</v>
      </c>
      <c r="C153" s="586"/>
      <c r="D153" s="586"/>
      <c r="E153" s="586"/>
      <c r="F153" s="586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79" t="s">
        <v>357</v>
      </c>
      <c r="C154" s="580"/>
      <c r="D154" s="580"/>
      <c r="E154" s="580"/>
      <c r="F154" s="580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79" t="s">
        <v>365</v>
      </c>
      <c r="C155" s="580"/>
      <c r="D155" s="580"/>
      <c r="E155" s="580"/>
      <c r="F155" s="580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3" t="s">
        <v>543</v>
      </c>
      <c r="C157" s="584"/>
      <c r="D157" s="584"/>
      <c r="E157" s="584"/>
      <c r="F157" s="584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73" t="s">
        <v>544</v>
      </c>
      <c r="C158" s="574"/>
      <c r="D158" s="574"/>
      <c r="E158" s="574"/>
      <c r="F158" s="57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85" t="s">
        <v>114</v>
      </c>
      <c r="C159" s="586"/>
      <c r="D159" s="586"/>
      <c r="E159" s="586"/>
      <c r="F159" s="586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79" t="s">
        <v>116</v>
      </c>
      <c r="C160" s="580"/>
      <c r="D160" s="580"/>
      <c r="E160" s="580"/>
      <c r="F160" s="580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79" t="s">
        <v>93</v>
      </c>
      <c r="C161" s="580"/>
      <c r="D161" s="580"/>
      <c r="E161" s="580"/>
      <c r="F161" s="580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48" activePane="bottomRight" state="frozen"/>
      <selection pane="topRight" activeCell="F1" sqref="F1"/>
      <selection pane="bottomLeft" activeCell="A8" sqref="A8"/>
      <selection pane="bottomRight" activeCell="FR55" sqref="FR55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600">
        <v>2006</v>
      </c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601"/>
      <c r="R6" s="600">
        <v>2007</v>
      </c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601"/>
      <c r="AD6" s="600">
        <v>2008</v>
      </c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601"/>
      <c r="AP6" s="600">
        <v>2009</v>
      </c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601"/>
      <c r="BB6" s="600">
        <v>2010</v>
      </c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601"/>
      <c r="BN6" s="600">
        <v>2011</v>
      </c>
      <c r="BO6" s="599"/>
      <c r="BP6" s="599"/>
      <c r="BQ6" s="599"/>
      <c r="BR6" s="599"/>
      <c r="BS6" s="599"/>
      <c r="BT6" s="599"/>
      <c r="BU6" s="599"/>
      <c r="BV6" s="599"/>
      <c r="BW6" s="599"/>
      <c r="BX6" s="599"/>
      <c r="BY6" s="601"/>
      <c r="BZ6" s="599">
        <v>2012</v>
      </c>
      <c r="CA6" s="599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600">
        <v>2013</v>
      </c>
      <c r="CM6" s="599"/>
      <c r="CN6" s="599"/>
      <c r="CO6" s="599"/>
      <c r="CP6" s="599"/>
      <c r="CQ6" s="599"/>
      <c r="CR6" s="599"/>
      <c r="CS6" s="599"/>
      <c r="CT6" s="599"/>
      <c r="CU6" s="599"/>
      <c r="CV6" s="599"/>
      <c r="CW6" s="601"/>
      <c r="CX6" s="600">
        <v>2014</v>
      </c>
      <c r="CY6" s="599"/>
      <c r="CZ6" s="599"/>
      <c r="DA6" s="599"/>
      <c r="DB6" s="599"/>
      <c r="DC6" s="599"/>
      <c r="DD6" s="599"/>
      <c r="DE6" s="599"/>
      <c r="DF6" s="599"/>
      <c r="DG6" s="599"/>
      <c r="DH6" s="599"/>
      <c r="DI6" s="601"/>
      <c r="DJ6" s="600">
        <v>2015</v>
      </c>
      <c r="DK6" s="599"/>
      <c r="DL6" s="599"/>
      <c r="DM6" s="599"/>
      <c r="DN6" s="599"/>
      <c r="DO6" s="599"/>
      <c r="DP6" s="599"/>
      <c r="DQ6" s="599"/>
      <c r="DR6" s="599"/>
      <c r="DS6" s="599"/>
      <c r="DT6" s="599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600">
        <v>2006</v>
      </c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601"/>
      <c r="R214" s="600">
        <v>2007</v>
      </c>
      <c r="S214" s="599"/>
      <c r="T214" s="599"/>
      <c r="U214" s="599"/>
      <c r="V214" s="599"/>
      <c r="W214" s="599"/>
      <c r="X214" s="599"/>
      <c r="Y214" s="599"/>
      <c r="Z214" s="599"/>
      <c r="AA214" s="599"/>
      <c r="AB214" s="599"/>
      <c r="AC214" s="601"/>
      <c r="AD214" s="600">
        <v>2008</v>
      </c>
      <c r="AE214" s="599"/>
      <c r="AF214" s="599"/>
      <c r="AG214" s="599"/>
      <c r="AH214" s="599"/>
      <c r="AI214" s="599"/>
      <c r="AJ214" s="599"/>
      <c r="AK214" s="599"/>
      <c r="AL214" s="599"/>
      <c r="AM214" s="599"/>
      <c r="AN214" s="599"/>
      <c r="AO214" s="601"/>
      <c r="AP214" s="600">
        <v>2009</v>
      </c>
      <c r="AQ214" s="599"/>
      <c r="AR214" s="599"/>
      <c r="AS214" s="599"/>
      <c r="AT214" s="599"/>
      <c r="AU214" s="599"/>
      <c r="AV214" s="599"/>
      <c r="AW214" s="599"/>
      <c r="AX214" s="599"/>
      <c r="AY214" s="599"/>
      <c r="AZ214" s="599"/>
      <c r="BA214" s="601"/>
      <c r="BB214" s="600">
        <v>2010</v>
      </c>
      <c r="BC214" s="599"/>
      <c r="BD214" s="599"/>
      <c r="BE214" s="599"/>
      <c r="BF214" s="599"/>
      <c r="BG214" s="599"/>
      <c r="BH214" s="599"/>
      <c r="BI214" s="599"/>
      <c r="BJ214" s="599"/>
      <c r="BK214" s="599"/>
      <c r="BL214" s="599"/>
      <c r="BM214" s="601"/>
      <c r="BN214" s="600">
        <v>2011</v>
      </c>
      <c r="BO214" s="599"/>
      <c r="BP214" s="599"/>
      <c r="BQ214" s="599"/>
      <c r="BR214" s="599"/>
      <c r="BS214" s="599"/>
      <c r="BT214" s="599"/>
      <c r="BU214" s="599"/>
      <c r="BV214" s="599"/>
      <c r="BW214" s="599"/>
      <c r="BX214" s="599"/>
      <c r="BY214" s="601"/>
      <c r="BZ214" s="599">
        <v>2012</v>
      </c>
      <c r="CA214" s="599"/>
      <c r="CB214" s="599"/>
      <c r="CC214" s="599"/>
      <c r="CD214" s="599"/>
      <c r="CE214" s="599"/>
      <c r="CF214" s="599"/>
      <c r="CG214" s="599"/>
      <c r="CH214" s="599"/>
      <c r="CI214" s="599"/>
      <c r="CJ214" s="599"/>
      <c r="CK214" s="599"/>
      <c r="CL214" s="600">
        <v>2013</v>
      </c>
      <c r="CM214" s="599"/>
      <c r="CN214" s="599"/>
      <c r="CO214" s="599"/>
      <c r="CP214" s="599"/>
      <c r="CQ214" s="599"/>
      <c r="CR214" s="599"/>
      <c r="CS214" s="599"/>
      <c r="CT214" s="599"/>
      <c r="CU214" s="599"/>
      <c r="CV214" s="599"/>
      <c r="CW214" s="601"/>
      <c r="CX214" s="600">
        <v>2014</v>
      </c>
      <c r="CY214" s="599"/>
      <c r="CZ214" s="599"/>
      <c r="DA214" s="599"/>
      <c r="DB214" s="599"/>
      <c r="DC214" s="599"/>
      <c r="DD214" s="599"/>
      <c r="DE214" s="599"/>
      <c r="DF214" s="599"/>
      <c r="DG214" s="599"/>
      <c r="DH214" s="599"/>
      <c r="DI214" s="601"/>
      <c r="DJ214" s="600">
        <v>2015</v>
      </c>
      <c r="DK214" s="599"/>
      <c r="DL214" s="599"/>
      <c r="DM214" s="599"/>
      <c r="DN214" s="599"/>
      <c r="DO214" s="599"/>
      <c r="DP214" s="599"/>
      <c r="DQ214" s="599"/>
      <c r="DR214" s="599"/>
      <c r="DS214" s="599"/>
      <c r="DT214" s="599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Maj</v>
      </c>
    </row>
    <row r="245" spans="4:7">
      <c r="D245" s="49"/>
      <c r="E245" s="9"/>
      <c r="F245" s="10"/>
      <c r="G245" s="52" t="str">
        <f>+CONCATENATE("Jan - ",LEFT(G244,3))</f>
        <v>Jan - Maj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Maj</v>
      </c>
      <c r="F253" s="10" t="str">
        <f>+CONCATENATE("Analytics for period ",G245)</f>
        <v>Analytics for period Jan - Maj</v>
      </c>
      <c r="G253" s="52" t="str">
        <f>+IF(ISBLANK(IF($B$2=1,E253,F253)),"",IF($B$2=1,E253,F253))</f>
        <v>Analitika za period Jan - Maj</v>
      </c>
    </row>
    <row r="254" spans="4:7">
      <c r="D254" s="46"/>
      <c r="E254" s="9" t="str">
        <f>+CONCATENATE("Analitika za period ",G244)</f>
        <v>Analitika za period Maj</v>
      </c>
      <c r="F254" s="10" t="str">
        <f>+CONCATENATE("Analytics for period ",G244)</f>
        <v>Analytics for period Maj</v>
      </c>
      <c r="G254" s="52" t="str">
        <f>+IF(ISBLANK(IF($B$2=1,E254,F254)),"",IF($B$2=1,E254,F254))</f>
        <v>Analitika za period Maj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Maj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Maj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Maj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Maj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Maj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Maj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2021-06-28T07:19:43Z</cp:lastPrinted>
  <dcterms:created xsi:type="dcterms:W3CDTF">2014-09-15T13:41:17Z</dcterms:created>
  <dcterms:modified xsi:type="dcterms:W3CDTF">2021-06-29T11:21:33Z</dcterms:modified>
</cp:coreProperties>
</file>