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Za slanje\Mjesecni\"/>
    </mc:Choice>
  </mc:AlternateContent>
  <workbookProtection workbookAlgorithmName="SHA-512" workbookHashValue="WnVi8QXUcXN9Z2PeHMmQHtdvuT4ZSy7C46yOHXaHXTRPMLwOOuE7JJt8i8LA2c3DDxF2Jx/cmhlV+msxbAPUGw==" workbookSaltValue="FJ9OTvX1OjeaYHL1I8Fkmg==" workbookSpinCount="100000" lockStructure="1"/>
  <bookViews>
    <workbookView xWindow="0" yWindow="0" windowWidth="7890" windowHeight="9495" tabRatio="587" firstSheet="1" activeTab="1"/>
  </bookViews>
  <sheets>
    <sheet name="Analitika - 2014" sheetId="3" state="hidden" r:id="rId1"/>
    <sheet name="Pregled" sheetId="1" r:id="rId2"/>
    <sheet name="Analitika 2024" sheetId="11" r:id="rId3"/>
    <sheet name="2024" sheetId="26" r:id="rId4"/>
    <sheet name="2023" sheetId="27" state="hidden" r:id="rId5"/>
    <sheet name="2022" sheetId="25" state="hidden" r:id="rId6"/>
    <sheet name="2021" sheetId="22" state="hidden" r:id="rId7"/>
    <sheet name="2020" sheetId="19" state="hidden" r:id="rId8"/>
    <sheet name="2019" sheetId="20" state="hidden" r:id="rId9"/>
    <sheet name="2018" sheetId="21" state="hidden" r:id="rId10"/>
    <sheet name="DataEx" sheetId="6" state="hidden" r:id="rId11"/>
    <sheet name="Master" sheetId="2" state="hidden" r:id="rId12"/>
  </sheets>
  <externalReferences>
    <externalReference r:id="rId13"/>
  </externalReferences>
  <definedNames>
    <definedName name="_2015plan" localSheetId="9">'2018'!$A$103:$A$162</definedName>
    <definedName name="_2015plan" localSheetId="8">'2019'!$A$100:$A$159</definedName>
    <definedName name="_2015plan" localSheetId="7">'2020'!$A$100:$A$157</definedName>
    <definedName name="_2015plan" localSheetId="6">'2021'!$A$81:$A$138</definedName>
    <definedName name="_2015plan" localSheetId="5">'2022'!$A$83:$A$140</definedName>
    <definedName name="_2015plan" localSheetId="4">'2023'!$A$83:$A$142</definedName>
    <definedName name="_2015plan" localSheetId="3">'2024'!$A$83:$A$142</definedName>
  </definedNames>
  <calcPr calcId="191029"/>
</workbook>
</file>

<file path=xl/calcChain.xml><?xml version="1.0" encoding="utf-8"?>
<calcChain xmlns="http://schemas.openxmlformats.org/spreadsheetml/2006/main">
  <c r="K10" i="11" l="1"/>
  <c r="G10" i="11"/>
  <c r="O11" i="11" l="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10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59" i="11"/>
  <c r="N62" i="11"/>
  <c r="N63" i="11"/>
  <c r="N64" i="11"/>
  <c r="N65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G19" i="26" l="1"/>
  <c r="H19" i="26"/>
  <c r="G55" i="26" l="1"/>
  <c r="I19" i="26" l="1"/>
  <c r="A142" i="27" l="1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R115" i="27"/>
  <c r="S115" i="27" s="1"/>
  <c r="T115" i="27" s="1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Q86" i="27" s="1"/>
  <c r="P87" i="27"/>
  <c r="O87" i="27"/>
  <c r="N87" i="27"/>
  <c r="M87" i="27"/>
  <c r="M86" i="27" s="1"/>
  <c r="L87" i="27"/>
  <c r="K87" i="27"/>
  <c r="J87" i="27"/>
  <c r="I87" i="27"/>
  <c r="I86" i="27" s="1"/>
  <c r="H87" i="27"/>
  <c r="H86" i="27" s="1"/>
  <c r="G87" i="27"/>
  <c r="A87" i="27"/>
  <c r="P86" i="27"/>
  <c r="L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I29" i="27" s="1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P10" i="27" s="1"/>
  <c r="O11" i="27"/>
  <c r="N11" i="27"/>
  <c r="N10" i="27" s="1"/>
  <c r="M11" i="27"/>
  <c r="M10" i="27" s="1"/>
  <c r="L11" i="27"/>
  <c r="K11" i="27"/>
  <c r="K10" i="27" s="1"/>
  <c r="J11" i="27"/>
  <c r="J10" i="27" s="1"/>
  <c r="I11" i="27"/>
  <c r="I10" i="27" s="1"/>
  <c r="H11" i="27"/>
  <c r="G11" i="27"/>
  <c r="R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J105" i="27" l="1"/>
  <c r="O10" i="27"/>
  <c r="J86" i="27"/>
  <c r="J129" i="27" s="1"/>
  <c r="N86" i="27"/>
  <c r="R86" i="27"/>
  <c r="H10" i="27"/>
  <c r="H105" i="27"/>
  <c r="H129" i="27" s="1"/>
  <c r="H130" i="27" s="1"/>
  <c r="L105" i="27"/>
  <c r="P105" i="27"/>
  <c r="P129" i="27" s="1"/>
  <c r="H29" i="27"/>
  <c r="K29" i="27"/>
  <c r="K53" i="27" s="1"/>
  <c r="K60" i="27" s="1"/>
  <c r="K66" i="27" s="1"/>
  <c r="K61" i="27" s="1"/>
  <c r="P29" i="27"/>
  <c r="J29" i="27"/>
  <c r="N129" i="27"/>
  <c r="N136" i="27" s="1"/>
  <c r="N142" i="27" s="1"/>
  <c r="N137" i="27" s="1"/>
  <c r="G86" i="27"/>
  <c r="K86" i="27"/>
  <c r="O86" i="27"/>
  <c r="S123" i="27"/>
  <c r="T123" i="27" s="1"/>
  <c r="I105" i="27"/>
  <c r="M105" i="27"/>
  <c r="M129" i="27" s="1"/>
  <c r="Q105" i="27"/>
  <c r="Q129" i="27" s="1"/>
  <c r="L10" i="27"/>
  <c r="R106" i="27"/>
  <c r="R105" i="27" s="1"/>
  <c r="R129" i="27" s="1"/>
  <c r="G105" i="27"/>
  <c r="G129" i="27" s="1"/>
  <c r="K105" i="27"/>
  <c r="K129" i="27" s="1"/>
  <c r="K130" i="27" s="1"/>
  <c r="O105" i="27"/>
  <c r="L129" i="27"/>
  <c r="L130" i="27" s="1"/>
  <c r="G29" i="27"/>
  <c r="O29" i="27"/>
  <c r="G10" i="27"/>
  <c r="S95" i="27"/>
  <c r="T95" i="27" s="1"/>
  <c r="S87" i="27"/>
  <c r="T87" i="27" s="1"/>
  <c r="S131" i="27"/>
  <c r="T131" i="27" s="1"/>
  <c r="S55" i="27"/>
  <c r="T55" i="27" s="1"/>
  <c r="I53" i="27"/>
  <c r="I60" i="27" s="1"/>
  <c r="I66" i="27" s="1"/>
  <c r="I61" i="27" s="1"/>
  <c r="P53" i="27"/>
  <c r="P54" i="27" s="1"/>
  <c r="L53" i="27"/>
  <c r="L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S40" i="27"/>
  <c r="T40" i="27" s="1"/>
  <c r="L136" i="27"/>
  <c r="L142" i="27" s="1"/>
  <c r="L137" i="27" s="1"/>
  <c r="S11" i="27"/>
  <c r="T11" i="27" s="1"/>
  <c r="I129" i="27"/>
  <c r="S116" i="27"/>
  <c r="T116" i="27" s="1"/>
  <c r="S109" i="27"/>
  <c r="T109" i="27" s="1"/>
  <c r="J130" i="27" l="1"/>
  <c r="J136" i="27"/>
  <c r="J142" i="27" s="1"/>
  <c r="J137" i="27" s="1"/>
  <c r="G53" i="27"/>
  <c r="N130" i="27"/>
  <c r="O53" i="27"/>
  <c r="P130" i="27"/>
  <c r="P136" i="27"/>
  <c r="P142" i="27" s="1"/>
  <c r="P137" i="27" s="1"/>
  <c r="S10" i="27"/>
  <c r="T10" i="27" s="1"/>
  <c r="S86" i="27"/>
  <c r="T86" i="27" s="1"/>
  <c r="H53" i="27"/>
  <c r="H60" i="27" s="1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N54" i="27"/>
  <c r="N60" i="27"/>
  <c r="N66" i="27" s="1"/>
  <c r="N61" i="27" s="1"/>
  <c r="R54" i="27"/>
  <c r="R60" i="27"/>
  <c r="R66" i="27" s="1"/>
  <c r="R61" i="27" s="1"/>
  <c r="O54" i="27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60" i="27"/>
  <c r="S53" i="27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O60" i="27" l="1"/>
  <c r="H66" i="27"/>
  <c r="H54" i="27"/>
  <c r="O130" i="27"/>
  <c r="S130" i="27" s="1"/>
  <c r="T130" i="27" s="1"/>
  <c r="O136" i="27"/>
  <c r="O142" i="27" s="1"/>
  <c r="O137" i="27" s="1"/>
  <c r="G66" i="27"/>
  <c r="G142" i="27"/>
  <c r="S136" i="27"/>
  <c r="T136" i="27" s="1"/>
  <c r="S60" i="27"/>
  <c r="T53" i="27"/>
  <c r="S59" i="11"/>
  <c r="P59" i="11"/>
  <c r="O66" i="27" l="1"/>
  <c r="S54" i="27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O61" i="27" l="1"/>
  <c r="T141" i="26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10" i="26" s="1"/>
  <c r="H8" i="26"/>
  <c r="H84" i="26" s="1"/>
  <c r="H5" i="26"/>
  <c r="G131" i="26"/>
  <c r="G116" i="26"/>
  <c r="G106" i="26"/>
  <c r="G95" i="26"/>
  <c r="G87" i="26"/>
  <c r="G82" i="26"/>
  <c r="G11" i="26"/>
  <c r="G10" i="26" s="1"/>
  <c r="G8" i="26"/>
  <c r="G84" i="26" s="1"/>
  <c r="G5" i="26"/>
  <c r="J10" i="26" l="1"/>
  <c r="L86" i="26"/>
  <c r="L29" i="26"/>
  <c r="J29" i="26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L137" i="26" s="1"/>
  <c r="I129" i="26"/>
  <c r="H129" i="26"/>
  <c r="L53" i="26"/>
  <c r="J129" i="26"/>
  <c r="J53" i="26"/>
  <c r="K53" i="26"/>
  <c r="G129" i="26"/>
  <c r="K129" i="26"/>
  <c r="K136" i="26" s="1"/>
  <c r="K142" i="26" s="1"/>
  <c r="I130" i="26"/>
  <c r="L130" i="26" l="1"/>
  <c r="G136" i="26"/>
  <c r="L54" i="26"/>
  <c r="K54" i="26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K60" i="26"/>
  <c r="G130" i="26"/>
  <c r="K130" i="26"/>
  <c r="T65" i="11"/>
  <c r="S65" i="11"/>
  <c r="G142" i="26" l="1"/>
  <c r="L66" i="26"/>
  <c r="K66" i="26"/>
  <c r="J66" i="26"/>
  <c r="H142" i="26"/>
  <c r="K137" i="26"/>
  <c r="S59" i="26"/>
  <c r="G59" i="11" s="1"/>
  <c r="S65" i="26"/>
  <c r="G65" i="11" s="1"/>
  <c r="S59" i="25"/>
  <c r="S65" i="25"/>
  <c r="L61" i="26" l="1"/>
  <c r="K61" i="26"/>
  <c r="J61" i="26"/>
  <c r="H137" i="26"/>
  <c r="G137" i="26"/>
  <c r="T59" i="26"/>
  <c r="T65" i="26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G64" i="11" s="1"/>
  <c r="S63" i="26"/>
  <c r="G63" i="11" s="1"/>
  <c r="S62" i="26"/>
  <c r="G62" i="11" s="1"/>
  <c r="S58" i="26"/>
  <c r="G58" i="11" s="1"/>
  <c r="S57" i="26"/>
  <c r="G57" i="11" s="1"/>
  <c r="S56" i="26"/>
  <c r="G56" i="11" s="1"/>
  <c r="R55" i="26"/>
  <c r="Q55" i="26"/>
  <c r="P55" i="26"/>
  <c r="N55" i="11" s="1"/>
  <c r="O55" i="26"/>
  <c r="N55" i="26"/>
  <c r="M55" i="26"/>
  <c r="S52" i="26"/>
  <c r="G52" i="11" s="1"/>
  <c r="S51" i="26"/>
  <c r="G51" i="11" s="1"/>
  <c r="S48" i="26"/>
  <c r="G48" i="11" s="1"/>
  <c r="Q40" i="26"/>
  <c r="P40" i="26"/>
  <c r="N40" i="11" s="1"/>
  <c r="O40" i="26"/>
  <c r="N40" i="26"/>
  <c r="M40" i="26"/>
  <c r="R30" i="26"/>
  <c r="Q30" i="26"/>
  <c r="P30" i="26"/>
  <c r="N30" i="11" s="1"/>
  <c r="O30" i="26"/>
  <c r="N30" i="26"/>
  <c r="M30" i="26"/>
  <c r="S28" i="26"/>
  <c r="G28" i="11" s="1"/>
  <c r="S27" i="26"/>
  <c r="G27" i="11" s="1"/>
  <c r="S26" i="26"/>
  <c r="G26" i="11" s="1"/>
  <c r="S25" i="26"/>
  <c r="G25" i="11" s="1"/>
  <c r="S24" i="26"/>
  <c r="G24" i="11" s="1"/>
  <c r="S23" i="26"/>
  <c r="G23" i="11" s="1"/>
  <c r="S22" i="26"/>
  <c r="G22" i="11" s="1"/>
  <c r="S21" i="26"/>
  <c r="G21" i="11" s="1"/>
  <c r="S20" i="26"/>
  <c r="G20" i="11" s="1"/>
  <c r="R19" i="26"/>
  <c r="Q19" i="26"/>
  <c r="P19" i="26"/>
  <c r="N19" i="11" s="1"/>
  <c r="O19" i="26"/>
  <c r="N19" i="26"/>
  <c r="M19" i="26"/>
  <c r="S18" i="26"/>
  <c r="G18" i="11" s="1"/>
  <c r="S17" i="26"/>
  <c r="G17" i="11" s="1"/>
  <c r="S16" i="26"/>
  <c r="G16" i="11" s="1"/>
  <c r="S15" i="26"/>
  <c r="G15" i="11" s="1"/>
  <c r="S14" i="26"/>
  <c r="G14" i="11" s="1"/>
  <c r="S13" i="26"/>
  <c r="G13" i="11" s="1"/>
  <c r="S12" i="26"/>
  <c r="G12" i="11" s="1"/>
  <c r="R11" i="26"/>
  <c r="Q11" i="26"/>
  <c r="P11" i="26"/>
  <c r="N11" i="11" s="1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T52" i="26"/>
  <c r="T64" i="26"/>
  <c r="T63" i="26"/>
  <c r="T62" i="26"/>
  <c r="T57" i="26"/>
  <c r="T56" i="26"/>
  <c r="T51" i="26"/>
  <c r="T48" i="26"/>
  <c r="T28" i="26"/>
  <c r="T27" i="26"/>
  <c r="T26" i="26"/>
  <c r="T25" i="26"/>
  <c r="T24" i="26"/>
  <c r="T20" i="26"/>
  <c r="T21" i="26"/>
  <c r="T23" i="26"/>
  <c r="T22" i="26"/>
  <c r="T18" i="26"/>
  <c r="T15" i="26"/>
  <c r="T14" i="26"/>
  <c r="T12" i="26"/>
  <c r="L12" i="11"/>
  <c r="T16" i="26"/>
  <c r="T13" i="26"/>
  <c r="T17" i="26"/>
  <c r="O29" i="26"/>
  <c r="R105" i="26"/>
  <c r="N10" i="26"/>
  <c r="R10" i="26"/>
  <c r="P29" i="26"/>
  <c r="N29" i="11" s="1"/>
  <c r="P86" i="26"/>
  <c r="S19" i="26"/>
  <c r="G19" i="11" s="1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G55" i="11" s="1"/>
  <c r="O10" i="26"/>
  <c r="P10" i="26"/>
  <c r="N10" i="11" s="1"/>
  <c r="M10" i="26"/>
  <c r="S11" i="26"/>
  <c r="G11" i="11" s="1"/>
  <c r="S87" i="26"/>
  <c r="T87" i="26" s="1"/>
  <c r="N53" i="26" l="1"/>
  <c r="D12" i="1"/>
  <c r="E12" i="1" s="1"/>
  <c r="Q53" i="26"/>
  <c r="Q60" i="26" s="1"/>
  <c r="O129" i="26"/>
  <c r="M53" i="26"/>
  <c r="N129" i="26"/>
  <c r="R53" i="26"/>
  <c r="R129" i="26"/>
  <c r="P53" i="26"/>
  <c r="N53" i="11" s="1"/>
  <c r="T55" i="26"/>
  <c r="T19" i="26"/>
  <c r="T11" i="26"/>
  <c r="O53" i="26"/>
  <c r="P129" i="26"/>
  <c r="P136" i="26" s="1"/>
  <c r="P142" i="26" s="1"/>
  <c r="T106" i="26"/>
  <c r="Q129" i="26"/>
  <c r="M129" i="26"/>
  <c r="S105" i="26"/>
  <c r="S86" i="26"/>
  <c r="T86" i="26" s="1"/>
  <c r="S10" i="26"/>
  <c r="O136" i="26" l="1"/>
  <c r="M136" i="26"/>
  <c r="N136" i="26"/>
  <c r="N54" i="26"/>
  <c r="M60" i="26"/>
  <c r="R130" i="26"/>
  <c r="R136" i="26"/>
  <c r="R142" i="26" s="1"/>
  <c r="R137" i="26" s="1"/>
  <c r="Q136" i="26"/>
  <c r="Q142" i="26" s="1"/>
  <c r="Q137" i="26" s="1"/>
  <c r="P130" i="26"/>
  <c r="P60" i="26"/>
  <c r="N60" i="11" s="1"/>
  <c r="O130" i="26"/>
  <c r="O60" i="26"/>
  <c r="N130" i="26"/>
  <c r="Q54" i="26"/>
  <c r="N60" i="26"/>
  <c r="M54" i="26"/>
  <c r="R54" i="26"/>
  <c r="R60" i="26"/>
  <c r="R66" i="26" s="1"/>
  <c r="R61" i="26" s="1"/>
  <c r="P54" i="26"/>
  <c r="N54" i="11" s="1"/>
  <c r="O54" i="26"/>
  <c r="Q66" i="26"/>
  <c r="Q61" i="26" s="1"/>
  <c r="T10" i="26"/>
  <c r="G12" i="1"/>
  <c r="H12" i="1" s="1"/>
  <c r="T105" i="26"/>
  <c r="Q130" i="26"/>
  <c r="M130" i="26"/>
  <c r="S129" i="26"/>
  <c r="T129" i="26" s="1"/>
  <c r="G11" i="2"/>
  <c r="O142" i="26" l="1"/>
  <c r="N142" i="26"/>
  <c r="M142" i="26"/>
  <c r="M66" i="26"/>
  <c r="P66" i="26"/>
  <c r="O66" i="26"/>
  <c r="N66" i="26"/>
  <c r="I10" i="11"/>
  <c r="S130" i="26"/>
  <c r="T130" i="26" s="1"/>
  <c r="S136" i="26"/>
  <c r="T136" i="26" s="1"/>
  <c r="P61" i="26" l="1"/>
  <c r="N61" i="11" s="1"/>
  <c r="N66" i="11"/>
  <c r="O61" i="26"/>
  <c r="N61" i="26"/>
  <c r="M61" i="26"/>
  <c r="P137" i="26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M61" i="25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62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L30" i="20" l="1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P29" i="20" s="1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I29" i="20" l="1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M217" i="6" l="1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B83" i="27" s="1"/>
  <c r="G252" i="2"/>
  <c r="G249" i="2"/>
  <c r="S7" i="27" s="1"/>
  <c r="S83" i="27" s="1"/>
  <c r="G243" i="2"/>
  <c r="G242" i="2"/>
  <c r="G241" i="2"/>
  <c r="P8" i="27" s="1"/>
  <c r="P84" i="27" s="1"/>
  <c r="G240" i="2"/>
  <c r="G239" i="2"/>
  <c r="G238" i="2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G7" i="2"/>
  <c r="G6" i="2"/>
  <c r="E2" i="27" s="1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CX49" i="6" s="1"/>
  <c r="DI49" i="6"/>
  <c r="DH49" i="6"/>
  <c r="DG49" i="6"/>
  <c r="DF49" i="6"/>
  <c r="DE49" i="6"/>
  <c r="DD49" i="6"/>
  <c r="DC49" i="6"/>
  <c r="CZ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CS350" i="6" l="1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T9" i="27" s="1"/>
  <c r="T85" i="27" s="1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7" l="1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18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l="1"/>
  <c r="T105" i="25" s="1"/>
  <c r="R129" i="25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G31" i="11" s="1"/>
  <c r="S43" i="26"/>
  <c r="G43" i="11" s="1"/>
  <c r="T43" i="26" l="1"/>
  <c r="T31" i="26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66" i="26" s="1"/>
  <c r="G61" i="26" s="1"/>
  <c r="G54" i="26"/>
  <c r="Q37" i="11" l="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T46" i="11" l="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T40" i="11"/>
  <c r="S40" i="11"/>
  <c r="P40" i="11"/>
  <c r="Q41" i="11"/>
  <c r="T41" i="11"/>
  <c r="P41" i="11"/>
  <c r="S41" i="11"/>
  <c r="S42" i="26" l="1"/>
  <c r="G42" i="11" s="1"/>
  <c r="S36" i="26"/>
  <c r="G36" i="11" s="1"/>
  <c r="S35" i="26"/>
  <c r="G35" i="11" s="1"/>
  <c r="S49" i="26"/>
  <c r="G49" i="11" s="1"/>
  <c r="S34" i="26"/>
  <c r="G34" i="11" s="1"/>
  <c r="S33" i="26"/>
  <c r="G33" i="11" s="1"/>
  <c r="S41" i="26"/>
  <c r="G41" i="11" s="1"/>
  <c r="S47" i="26"/>
  <c r="G47" i="11" s="1"/>
  <c r="S44" i="26"/>
  <c r="G44" i="11" s="1"/>
  <c r="S39" i="26"/>
  <c r="G39" i="11" s="1"/>
  <c r="I53" i="26"/>
  <c r="S45" i="26"/>
  <c r="G45" i="11" s="1"/>
  <c r="S50" i="26"/>
  <c r="G50" i="11" s="1"/>
  <c r="S38" i="26"/>
  <c r="G38" i="11" s="1"/>
  <c r="S37" i="26"/>
  <c r="G37" i="11" s="1"/>
  <c r="Q30" i="11"/>
  <c r="T30" i="11"/>
  <c r="S30" i="11"/>
  <c r="P30" i="11"/>
  <c r="T37" i="26" l="1"/>
  <c r="T50" i="26"/>
  <c r="D16" i="1"/>
  <c r="E16" i="1" s="1"/>
  <c r="T29" i="11"/>
  <c r="S29" i="11"/>
  <c r="P29" i="11"/>
  <c r="Q29" i="11"/>
  <c r="T44" i="26"/>
  <c r="T41" i="26"/>
  <c r="T34" i="26"/>
  <c r="H30" i="26"/>
  <c r="S32" i="26"/>
  <c r="G32" i="11" s="1"/>
  <c r="T36" i="26"/>
  <c r="S46" i="26"/>
  <c r="G46" i="11" s="1"/>
  <c r="I60" i="26"/>
  <c r="I54" i="26"/>
  <c r="H40" i="26"/>
  <c r="S40" i="26" s="1"/>
  <c r="G40" i="11" s="1"/>
  <c r="T38" i="26"/>
  <c r="T45" i="26"/>
  <c r="T39" i="26"/>
  <c r="T47" i="26"/>
  <c r="T33" i="26"/>
  <c r="T49" i="26"/>
  <c r="T35" i="26"/>
  <c r="T42" i="26"/>
  <c r="I49" i="11" l="1"/>
  <c r="J49" i="11"/>
  <c r="M49" i="11"/>
  <c r="L49" i="11"/>
  <c r="T54" i="11"/>
  <c r="S54" i="11"/>
  <c r="P54" i="11"/>
  <c r="Q54" i="11"/>
  <c r="H29" i="26"/>
  <c r="S30" i="26"/>
  <c r="G30" i="11" s="1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D20" i="1"/>
  <c r="E20" i="1" s="1"/>
  <c r="T53" i="11"/>
  <c r="S53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T40" i="26"/>
  <c r="T46" i="26"/>
  <c r="T32" i="26"/>
  <c r="I41" i="11"/>
  <c r="J41" i="11"/>
  <c r="M41" i="11"/>
  <c r="L41" i="11"/>
  <c r="I61" i="26" l="1"/>
  <c r="I32" i="11"/>
  <c r="J32" i="11"/>
  <c r="M32" i="11"/>
  <c r="L32" i="11"/>
  <c r="J40" i="11"/>
  <c r="I40" i="11"/>
  <c r="M40" i="11"/>
  <c r="L40" i="11"/>
  <c r="T30" i="26"/>
  <c r="M46" i="11"/>
  <c r="L46" i="11"/>
  <c r="I46" i="11"/>
  <c r="J46" i="11"/>
  <c r="P60" i="11"/>
  <c r="T60" i="11"/>
  <c r="S60" i="11"/>
  <c r="Q60" i="11"/>
  <c r="H53" i="26"/>
  <c r="S29" i="26"/>
  <c r="G29" i="11" s="1"/>
  <c r="J30" i="11" l="1"/>
  <c r="I30" i="11"/>
  <c r="L30" i="11"/>
  <c r="M30" i="11"/>
  <c r="T29" i="26"/>
  <c r="T66" i="11"/>
  <c r="S66" i="11"/>
  <c r="Q66" i="11"/>
  <c r="P66" i="11"/>
  <c r="H54" i="26"/>
  <c r="S54" i="26" s="1"/>
  <c r="G54" i="11" s="1"/>
  <c r="H60" i="26"/>
  <c r="H66" i="26" s="1"/>
  <c r="H61" i="26" s="1"/>
  <c r="S61" i="26" s="1"/>
  <c r="G61" i="11" s="1"/>
  <c r="S53" i="26"/>
  <c r="G53" i="11" s="1"/>
  <c r="P61" i="11"/>
  <c r="T61" i="11"/>
  <c r="S61" i="11"/>
  <c r="Q61" i="11"/>
  <c r="T61" i="26" l="1"/>
  <c r="T54" i="26"/>
  <c r="S60" i="26"/>
  <c r="G60" i="11" s="1"/>
  <c r="T53" i="26"/>
  <c r="G16" i="1"/>
  <c r="H16" i="1" s="1"/>
  <c r="M29" i="11"/>
  <c r="L29" i="11"/>
  <c r="J29" i="11"/>
  <c r="I29" i="11"/>
  <c r="M54" i="11" l="1"/>
  <c r="L54" i="11"/>
  <c r="J54" i="11"/>
  <c r="I54" i="11"/>
  <c r="G20" i="1"/>
  <c r="H20" i="1" s="1"/>
  <c r="L53" i="11"/>
  <c r="M53" i="11"/>
  <c r="I53" i="11"/>
  <c r="J53" i="11"/>
  <c r="L61" i="11"/>
  <c r="M61" i="11"/>
  <c r="J61" i="11"/>
  <c r="I61" i="11"/>
  <c r="S66" i="26"/>
  <c r="G66" i="11" s="1"/>
  <c r="T60" i="26"/>
  <c r="L60" i="11" l="1"/>
  <c r="M60" i="11"/>
  <c r="J60" i="11"/>
  <c r="I60" i="11"/>
  <c r="T66" i="26"/>
  <c r="L66" i="11" l="1"/>
  <c r="M66" i="11"/>
  <c r="J66" i="11"/>
  <c r="I66" i="1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<sst xmlns="http://schemas.openxmlformats.org/spreadsheetml/2006/main" count="1866" uniqueCount="869">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</sst>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6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68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167" fontId="4" fillId="0" borderId="0" xfId="0" applyNumberFormat="1" applyFont="1" applyFill="1" applyBorder="1" applyAlignment="1" applyProtection="1">
      <alignment horizontal="center"/>
      <protection hidden="1"/>
    </xf>
    <xf numFmtId="167" fontId="24" fillId="0" borderId="25" xfId="0" applyNumberFormat="1" applyFont="1" applyFill="1" applyBorder="1" applyAlignment="1" applyProtection="1">
      <alignment horizontal="center" vertical="center"/>
      <protection hidden="1"/>
    </xf>
    <xf numFmtId="167" fontId="24" fillId="0" borderId="14" xfId="0" applyNumberFormat="1" applyFont="1" applyFill="1" applyBorder="1" applyAlignment="1" applyProtection="1">
      <alignment horizontal="center" vertical="center"/>
      <protection hidden="1"/>
    </xf>
    <xf numFmtId="167" fontId="4" fillId="0" borderId="0" xfId="0" applyNumberFormat="1" applyFont="1" applyFill="1" applyBorder="1" applyAlignment="1" applyProtection="1">
      <alignment horizontal="center" vertical="center"/>
      <protection hidden="1"/>
    </xf>
    <xf numFmtId="167" fontId="4" fillId="0" borderId="14" xfId="0" applyNumberFormat="1" applyFont="1" applyFill="1" applyBorder="1" applyAlignment="1" applyProtection="1">
      <alignment horizontal="center" vertical="center"/>
      <protection hidden="1"/>
    </xf>
    <xf numFmtId="167" fontId="4" fillId="0" borderId="9" xfId="0" applyNumberFormat="1" applyFont="1" applyFill="1" applyBorder="1" applyAlignment="1">
      <alignment horizontal="center" vertical="center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6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omma 2" xfId="185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9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9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-oktobar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 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2,31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31.8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 i veći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33.9 mil. € ili 1.5%.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veći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193.9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9.1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%. </a:t>
          </a:r>
          <a:endParaRPr lang="sr-Latn-ME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istom periodu iznosili su</a:t>
          </a:r>
          <a:r>
            <a:rPr lang="sr-Latn-M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2,242.6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30.8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146.5 mil. € ili 6.1% dok su u odnosu na isti period 2023. godine veći za 302.4 mil. € ili 15.6%.</a:t>
          </a:r>
        </a:p>
        <a:p>
          <a:pPr algn="just" eaLnBrk="1" fontAlgn="auto" latinLnBrk="0" hangingPunct="1"/>
          <a:endParaRPr lang="en-US">
            <a:solidFill>
              <a:sysClr val="windowText" lastClr="000000"/>
            </a:solidFill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januar-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oktobar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2024. godine zabilježen je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suficit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budžeta u iznosu od 7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1.0% procijenjenog BDP-a.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359833</xdr:colOff>
      <xdr:row>22</xdr:row>
      <xdr:rowOff>52916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742767" y="1323976"/>
          <a:ext cx="4946649" cy="2941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izmjenama i dopunama Zakona o budžetu Crne Gore za 2024.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Napomena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U obračunu deficita došlo je do metodološke promjene definicije deficita. Naime, izmjena Zakona o budžetu i fiskalnoj dogovornosti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("Sl list CG"</a:t>
          </a:r>
          <a:r>
            <a:rPr lang="sr-Latn-ME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027/23 od 08.03.2023)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izvršena je primjena međunarodnog računovodstvenog standarda IPSAS 2 – Izvještaja o novčanim tokovima, kojim se utvrđuje da date pozajmice i primici od povraćaja datih pozajmica pripadaju akt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vnostima finansiranja i ne ulaze u obračun finansijskog rezultata. I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plikacija ove korekcije je imala negativan uticaj na iznos deficita, imajući u vidu da su projektovani primici od datih pozajmica i kredita veći od planiranih izdataka po osnovu pozajmica i kredita.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4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4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5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5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6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6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7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7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8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8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2024-10</v>
      </c>
      <c r="O6" s="128" t="str">
        <f>+CONCATENATE(N6,"p")</f>
        <v>2024-10p</v>
      </c>
      <c r="P6" s="116"/>
      <c r="Q6" s="116"/>
      <c r="R6" s="128" t="str">
        <f>+IF(Master!B3-10&gt;=0,CONCATENATE(Master!B4-1,"-",Master!B3),CONCATENATE(Master!B4-1,"-0",Master!B3))</f>
        <v>2023-10</v>
      </c>
      <c r="S6" s="116"/>
      <c r="T6" s="116"/>
    </row>
    <row r="7" spans="1:20">
      <c r="A7" s="129"/>
      <c r="B7" s="593" t="s">
        <v>691</v>
      </c>
      <c r="C7" s="594"/>
      <c r="D7" s="594"/>
      <c r="E7" s="594"/>
      <c r="F7" s="594"/>
      <c r="G7" s="602" t="s">
        <v>690</v>
      </c>
      <c r="H7" s="603"/>
      <c r="I7" s="603"/>
      <c r="J7" s="603"/>
      <c r="K7" s="603"/>
      <c r="L7" s="603"/>
      <c r="M7" s="604"/>
      <c r="N7" s="605" t="str">
        <f>+Master!G243</f>
        <v>Decembar</v>
      </c>
      <c r="O7" s="603"/>
      <c r="P7" s="603"/>
      <c r="Q7" s="603"/>
      <c r="R7" s="603"/>
      <c r="S7" s="603"/>
      <c r="T7" s="606"/>
    </row>
    <row r="8" spans="1:20">
      <c r="A8" s="129"/>
      <c r="B8" s="595"/>
      <c r="C8" s="596"/>
      <c r="D8" s="596"/>
      <c r="E8" s="596"/>
      <c r="F8" s="597"/>
      <c r="G8" s="130" t="str">
        <f>+Master!G26</f>
        <v>Ostvarenje</v>
      </c>
      <c r="H8" s="130" t="str">
        <f>+Master!G25</f>
        <v>Plan</v>
      </c>
      <c r="I8" s="591" t="str">
        <f>+Master!G261</f>
        <v>Odstupanje</v>
      </c>
      <c r="J8" s="591"/>
      <c r="K8" s="130" t="str">
        <f>+CONCATENATE(Master!G246," ",Master!B4-1)</f>
        <v>Jan - Okt 2023</v>
      </c>
      <c r="L8" s="591" t="str">
        <f>+I8</f>
        <v>Odstupanje</v>
      </c>
      <c r="M8" s="601"/>
      <c r="N8" s="131" t="str">
        <f>+G8</f>
        <v>Ostvarenje</v>
      </c>
      <c r="O8" s="130" t="str">
        <f>+H8</f>
        <v>Plan</v>
      </c>
      <c r="P8" s="591" t="str">
        <f>+I8</f>
        <v>Odstupanje</v>
      </c>
      <c r="Q8" s="591"/>
      <c r="R8" s="130" t="str">
        <f>+CONCATENATE(Master!G245," ",Master!B4-1)</f>
        <v>Oktobar 2023</v>
      </c>
      <c r="S8" s="591" t="str">
        <f>+P8</f>
        <v>Odstupanje</v>
      </c>
      <c r="T8" s="592"/>
    </row>
    <row r="9" spans="1:20" ht="15.7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561" t="str">
        <f>+VLOOKUP($A10,Master!$D$30:$G$226,4,FALSE)</f>
        <v>Prihodi budžeta</v>
      </c>
      <c r="C10" s="562"/>
      <c r="D10" s="562"/>
      <c r="E10" s="562"/>
      <c r="F10" s="562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563" t="str">
        <f>+VLOOKUP($A11,Master!$D$30:$G$226,4,FALSE)</f>
        <v>Porezi</v>
      </c>
      <c r="C11" s="564"/>
      <c r="D11" s="564"/>
      <c r="E11" s="564"/>
      <c r="F11" s="564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65" t="str">
        <f>+VLOOKUP($A12,Master!$D$30:$G$226,4,FALSE)</f>
        <v>Porez na dohodak fizičkih lica</v>
      </c>
      <c r="C12" s="566"/>
      <c r="D12" s="566"/>
      <c r="E12" s="566"/>
      <c r="F12" s="566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65" t="str">
        <f>+VLOOKUP($A13,Master!$D$30:$G$226,4,FALSE)</f>
        <v>Porez na dobit pravnih lica</v>
      </c>
      <c r="C13" s="566"/>
      <c r="D13" s="566"/>
      <c r="E13" s="566"/>
      <c r="F13" s="566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65" t="str">
        <f>+VLOOKUP($A14,Master!$D$30:$G$226,4,FALSE)</f>
        <v>Porez na promet nepokretnosti</v>
      </c>
      <c r="C14" s="566"/>
      <c r="D14" s="566"/>
      <c r="E14" s="566"/>
      <c r="F14" s="566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65" t="str">
        <f>+VLOOKUP($A15,Master!$D$30:$G$226,4,FALSE)</f>
        <v>Porez na dodatu vrijednost</v>
      </c>
      <c r="C15" s="566"/>
      <c r="D15" s="566"/>
      <c r="E15" s="566"/>
      <c r="F15" s="566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65" t="str">
        <f>+VLOOKUP($A16,Master!$D$30:$G$226,4,FALSE)</f>
        <v>Akcize</v>
      </c>
      <c r="C16" s="566"/>
      <c r="D16" s="566"/>
      <c r="E16" s="566"/>
      <c r="F16" s="566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65" t="str">
        <f>+VLOOKUP($A17,Master!$D$30:$G$226,4,FALSE)</f>
        <v>Porez na međunarodnu trgovinu i transakcije</v>
      </c>
      <c r="C17" s="566"/>
      <c r="D17" s="566"/>
      <c r="E17" s="566"/>
      <c r="F17" s="566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65" t="e">
        <f>+VLOOKUP($A18,Master!$D$30:$G$226,4,FALSE)</f>
        <v>#N/A</v>
      </c>
      <c r="C18" s="566"/>
      <c r="D18" s="566"/>
      <c r="E18" s="566"/>
      <c r="F18" s="566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65" t="str">
        <f>+VLOOKUP($A19,Master!$D$30:$G$226,4,FALSE)</f>
        <v>Ostali državni porezi</v>
      </c>
      <c r="C19" s="566"/>
      <c r="D19" s="566"/>
      <c r="E19" s="566"/>
      <c r="F19" s="566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569" t="str">
        <f>+VLOOKUP($A20,Master!$D$30:$G$226,4,FALSE)</f>
        <v>Doprinosi</v>
      </c>
      <c r="C20" s="570"/>
      <c r="D20" s="570"/>
      <c r="E20" s="570"/>
      <c r="F20" s="570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65" t="str">
        <f>+VLOOKUP($A21,Master!$D$30:$G$226,4,FALSE)</f>
        <v>Doprinosi za penzijsko i invalidsko osiguranje</v>
      </c>
      <c r="C21" s="566"/>
      <c r="D21" s="566"/>
      <c r="E21" s="566"/>
      <c r="F21" s="566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65" t="str">
        <f>+VLOOKUP($A22,Master!$D$30:$G$226,4,FALSE)</f>
        <v>Doprinosi za zdravstveno osiguranje</v>
      </c>
      <c r="C22" s="566"/>
      <c r="D22" s="566"/>
      <c r="E22" s="566"/>
      <c r="F22" s="566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65" t="str">
        <f>+VLOOKUP($A23,Master!$D$30:$G$226,4,FALSE)</f>
        <v>Doprinosi za osiguranje od nezaposlenosti</v>
      </c>
      <c r="C23" s="566"/>
      <c r="D23" s="566"/>
      <c r="E23" s="566"/>
      <c r="F23" s="566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65" t="str">
        <f>+VLOOKUP($A24,Master!$D$30:$G$226,4,FALSE)</f>
        <v>Ostali doprinosi</v>
      </c>
      <c r="C24" s="566"/>
      <c r="D24" s="566"/>
      <c r="E24" s="566"/>
      <c r="F24" s="566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67" t="str">
        <f>+VLOOKUP($A25,Master!$D$30:$G$226,4,FALSE)</f>
        <v>Takse</v>
      </c>
      <c r="C25" s="568"/>
      <c r="D25" s="568"/>
      <c r="E25" s="568"/>
      <c r="F25" s="568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67" t="str">
        <f>+VLOOKUP($A26,Master!$D$30:$G$226,4,FALSE)</f>
        <v>Naknade</v>
      </c>
      <c r="C26" s="568"/>
      <c r="D26" s="568"/>
      <c r="E26" s="568"/>
      <c r="F26" s="568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67" t="str">
        <f>+VLOOKUP($A27,Master!$D$30:$G$226,4,FALSE)</f>
        <v>Ostali prihodi</v>
      </c>
      <c r="C27" s="568"/>
      <c r="D27" s="568"/>
      <c r="E27" s="568"/>
      <c r="F27" s="568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67" t="str">
        <f>+VLOOKUP($A28,Master!$D$30:$G$226,4,FALSE)</f>
        <v>Primici od otplate kredita i sredstva prenesena iz prethodne godine</v>
      </c>
      <c r="C28" s="568"/>
      <c r="D28" s="568"/>
      <c r="E28" s="568"/>
      <c r="F28" s="568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71" t="str">
        <f>+VLOOKUP($A29,Master!$D$30:$G$226,4,FALSE)</f>
        <v>Donacije i transferi</v>
      </c>
      <c r="C29" s="572"/>
      <c r="D29" s="572"/>
      <c r="E29" s="572"/>
      <c r="F29" s="572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73" t="str">
        <f>+VLOOKUP($A30,Master!$D$30:$G$226,4,FALSE)</f>
        <v>Izdaci budžeta</v>
      </c>
      <c r="C30" s="574"/>
      <c r="D30" s="574"/>
      <c r="E30" s="574"/>
      <c r="F30" s="574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575" t="str">
        <f>+VLOOKUP($A31,Master!$D$30:$G$226,4,FALSE)</f>
        <v>Tekući izdaci</v>
      </c>
      <c r="C31" s="576"/>
      <c r="D31" s="576"/>
      <c r="E31" s="576"/>
      <c r="F31" s="576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577" t="str">
        <f>+VLOOKUP($A32,Master!$D$30:$G$226,4,FALSE)</f>
        <v>Tekuća budžetska potrošnja</v>
      </c>
      <c r="C32" s="578"/>
      <c r="D32" s="578"/>
      <c r="E32" s="578"/>
      <c r="F32" s="578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65" t="str">
        <f>+VLOOKUP($A33,Master!$D$30:$G$226,4,FALSE)</f>
        <v>Bruto zarade i doprinosi na teret poslodavca</v>
      </c>
      <c r="C33" s="566"/>
      <c r="D33" s="566"/>
      <c r="E33" s="566"/>
      <c r="F33" s="566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65" t="str">
        <f>+VLOOKUP($A34,Master!$D$30:$G$226,4,FALSE)</f>
        <v>Ostala lična primanja</v>
      </c>
      <c r="C34" s="566"/>
      <c r="D34" s="566"/>
      <c r="E34" s="566"/>
      <c r="F34" s="566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65" t="str">
        <f>+VLOOKUP($A35,Master!$D$30:$G$226,4,FALSE)</f>
        <v>Rashodi za materijal</v>
      </c>
      <c r="C35" s="566"/>
      <c r="D35" s="566"/>
      <c r="E35" s="566"/>
      <c r="F35" s="566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65" t="str">
        <f>+VLOOKUP($A36,Master!$D$30:$G$226,4,FALSE)</f>
        <v>Rashodi za usluge</v>
      </c>
      <c r="C36" s="566"/>
      <c r="D36" s="566"/>
      <c r="E36" s="566"/>
      <c r="F36" s="566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65" t="str">
        <f>+VLOOKUP($A37,Master!$D$30:$G$226,4,FALSE)</f>
        <v>Rashodi za tekuće održavanje</v>
      </c>
      <c r="C37" s="566"/>
      <c r="D37" s="566"/>
      <c r="E37" s="566"/>
      <c r="F37" s="566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65" t="str">
        <f>+VLOOKUP($A38,Master!$D$30:$G$226,4,FALSE)</f>
        <v>Kamate</v>
      </c>
      <c r="C38" s="566"/>
      <c r="D38" s="566"/>
      <c r="E38" s="566"/>
      <c r="F38" s="566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65" t="str">
        <f>+VLOOKUP($A39,Master!$D$30:$G$226,4,FALSE)</f>
        <v>Renta</v>
      </c>
      <c r="C39" s="566"/>
      <c r="D39" s="566"/>
      <c r="E39" s="566"/>
      <c r="F39" s="566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65" t="str">
        <f>+VLOOKUP($A40,Master!$D$30:$G$226,4,FALSE)</f>
        <v>Subvencije</v>
      </c>
      <c r="C40" s="566"/>
      <c r="D40" s="566"/>
      <c r="E40" s="566"/>
      <c r="F40" s="566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65" t="str">
        <f>+VLOOKUP($A41,Master!$D$30:$G$226,4,FALSE)</f>
        <v>Ostali izdaci</v>
      </c>
      <c r="C41" s="566"/>
      <c r="D41" s="566"/>
      <c r="E41" s="566"/>
      <c r="F41" s="566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65" t="e">
        <f>+VLOOKUP($A42,Master!$D$30:$G$226,4,FALSE)</f>
        <v>#N/A</v>
      </c>
      <c r="C42" s="566"/>
      <c r="D42" s="566"/>
      <c r="E42" s="566"/>
      <c r="F42" s="566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81" t="str">
        <f>+VLOOKUP($A43,Master!$D$30:$G$226,4,FALSE)</f>
        <v>Transferi za socijalnu zaštitu</v>
      </c>
      <c r="C43" s="582"/>
      <c r="D43" s="582"/>
      <c r="E43" s="582"/>
      <c r="F43" s="582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65" t="str">
        <f>+VLOOKUP($A44,Master!$D$30:$G$226,4,FALSE)</f>
        <v>Prava iz oblasti socijalne zaštite</v>
      </c>
      <c r="C44" s="566"/>
      <c r="D44" s="566"/>
      <c r="E44" s="566"/>
      <c r="F44" s="566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65" t="str">
        <f>+VLOOKUP($A45,Master!$D$30:$G$226,4,FALSE)</f>
        <v>Sredstva za tehnološke viškove</v>
      </c>
      <c r="C45" s="566"/>
      <c r="D45" s="566"/>
      <c r="E45" s="566"/>
      <c r="F45" s="566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65" t="str">
        <f>+VLOOKUP($A46,Master!$D$30:$G$226,4,FALSE)</f>
        <v>Prava iz oblasti penzijskog i invalidskog osiguranja</v>
      </c>
      <c r="C46" s="566"/>
      <c r="D46" s="566"/>
      <c r="E46" s="566"/>
      <c r="F46" s="566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65" t="str">
        <f>+VLOOKUP($A47,Master!$D$30:$G$226,4,FALSE)</f>
        <v>Ostala prava iz oblasti zdravstvene zaštite</v>
      </c>
      <c r="C47" s="566"/>
      <c r="D47" s="566"/>
      <c r="E47" s="566"/>
      <c r="F47" s="566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65" t="str">
        <f>+VLOOKUP($A48,Master!$D$30:$G$226,4,FALSE)</f>
        <v>Ostala prava iz zdravstvenog osiguranja</v>
      </c>
      <c r="C48" s="566"/>
      <c r="D48" s="566"/>
      <c r="E48" s="566"/>
      <c r="F48" s="566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79" t="str">
        <f>+VLOOKUP($A49,Master!$D$30:$G$226,4,FALSE)</f>
        <v xml:space="preserve">Transferi institucijama, pojedincima, nevladinom i javnom sektoru </v>
      </c>
      <c r="C49" s="580"/>
      <c r="D49" s="580"/>
      <c r="E49" s="580"/>
      <c r="F49" s="580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79" t="str">
        <f>+VLOOKUP($A50,Master!$D$30:$G$226,4,FALSE)</f>
        <v>Kapitalni izdaci</v>
      </c>
      <c r="C50" s="580"/>
      <c r="D50" s="580"/>
      <c r="E50" s="580"/>
      <c r="F50" s="580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83" t="str">
        <f>+VLOOKUP($A51,Master!$D$30:$G$226,4,FALSE)</f>
        <v>Pozajmice i krediti</v>
      </c>
      <c r="C51" s="584"/>
      <c r="D51" s="584"/>
      <c r="E51" s="584"/>
      <c r="F51" s="584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83" t="str">
        <f>+VLOOKUP($A52,Master!$D$30:$G$226,4,FALSE)</f>
        <v>Rezerve</v>
      </c>
      <c r="C52" s="584"/>
      <c r="D52" s="584"/>
      <c r="E52" s="584"/>
      <c r="F52" s="584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85" t="str">
        <f>+VLOOKUP($A53,Master!$D$30:$G$226,4,FALSE)</f>
        <v>Otplata garancija</v>
      </c>
      <c r="C53" s="586"/>
      <c r="D53" s="586"/>
      <c r="E53" s="586"/>
      <c r="F53" s="586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85" t="str">
        <f>+VLOOKUP($A54,Master!$D$30:$G$226,4,FALSE)</f>
        <v>Otplata obaveza iz prethodnog perioda</v>
      </c>
      <c r="C54" s="586"/>
      <c r="D54" s="586"/>
      <c r="E54" s="586"/>
      <c r="F54" s="586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85" t="str">
        <f>+VLOOKUP($A55,Master!$D$30:$G$228,4,FALSE)</f>
        <v>Neto povećanje obaveza</v>
      </c>
      <c r="C55" s="586"/>
      <c r="D55" s="586"/>
      <c r="E55" s="586"/>
      <c r="F55" s="586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87" t="str">
        <f>+VLOOKUP($A56,Master!$D$30:$G$226,4,FALSE)</f>
        <v>Suficit / deficit</v>
      </c>
      <c r="C56" s="588"/>
      <c r="D56" s="588"/>
      <c r="E56" s="588"/>
      <c r="F56" s="588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89" t="str">
        <f>+VLOOKUP($A57,Master!$D$30:$G$226,4,FALSE)</f>
        <v>Primarni suficit/deficit</v>
      </c>
      <c r="C57" s="590"/>
      <c r="D57" s="590"/>
      <c r="E57" s="590"/>
      <c r="F57" s="590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81" t="str">
        <f>+VLOOKUP($A58,Master!$D$30:$G$226,4,FALSE)</f>
        <v>Otplata dugova</v>
      </c>
      <c r="C58" s="582"/>
      <c r="D58" s="582"/>
      <c r="E58" s="582"/>
      <c r="F58" s="582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607" t="str">
        <f>+VLOOKUP($A59,Master!$D$30:$G$226,4,FALSE)</f>
        <v>Otplata hartija od vrijednosti i kredita rezidentima</v>
      </c>
      <c r="C59" s="608"/>
      <c r="D59" s="608"/>
      <c r="E59" s="608"/>
      <c r="F59" s="608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83" t="str">
        <f>+VLOOKUP($A60,Master!$D$30:$G$226,4,FALSE)</f>
        <v>Otplata hartija od vrijednosti i kredita nerezidentima</v>
      </c>
      <c r="C60" s="584"/>
      <c r="D60" s="584"/>
      <c r="E60" s="584"/>
      <c r="F60" s="584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609" t="str">
        <f>+VLOOKUP($A62,Master!$D$30:$G$226,4,FALSE)</f>
        <v>Nedostajuća sredstva</v>
      </c>
      <c r="C62" s="610"/>
      <c r="D62" s="610"/>
      <c r="E62" s="610"/>
      <c r="F62" s="610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73" t="str">
        <f>+VLOOKUP($A63,Master!$D$30:$G$226,4,FALSE)</f>
        <v>Finansiranje</v>
      </c>
      <c r="C63" s="574"/>
      <c r="D63" s="574"/>
      <c r="E63" s="574"/>
      <c r="F63" s="574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607" t="str">
        <f>+VLOOKUP($A64,Master!$D$30:$G$226,4,FALSE)</f>
        <v>Pozajmice i krediti od domaćih izvora</v>
      </c>
      <c r="C64" s="608"/>
      <c r="D64" s="608"/>
      <c r="E64" s="608"/>
      <c r="F64" s="608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83" t="str">
        <f>+VLOOKUP($A65,Master!$D$30:$G$226,4,FALSE)</f>
        <v>Pozajmice i krediti od inostranih izvora</v>
      </c>
      <c r="C65" s="584"/>
      <c r="D65" s="584"/>
      <c r="E65" s="584"/>
      <c r="F65" s="584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83" t="str">
        <f>+VLOOKUP($A66,Master!$D$30:$G$226,4,FALSE)</f>
        <v>Primici od prodaje imovine</v>
      </c>
      <c r="C66" s="584"/>
      <c r="D66" s="584"/>
      <c r="E66" s="584"/>
      <c r="F66" s="584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93" t="s">
        <v>553</v>
      </c>
      <c r="C7" s="594"/>
      <c r="D7" s="594"/>
      <c r="E7" s="594"/>
      <c r="F7" s="594"/>
      <c r="G7" s="602">
        <v>2018</v>
      </c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6"/>
      <c r="S7" s="220" t="s">
        <v>419</v>
      </c>
      <c r="T7" s="221">
        <v>4663130000</v>
      </c>
    </row>
    <row r="8" spans="1:20" ht="16.5" customHeight="1">
      <c r="A8" s="129"/>
      <c r="B8" s="595"/>
      <c r="C8" s="596"/>
      <c r="D8" s="596"/>
      <c r="E8" s="596"/>
      <c r="F8" s="597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602" t="s">
        <v>806</v>
      </c>
      <c r="T8" s="606"/>
    </row>
    <row r="9" spans="1:20" ht="13.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61" t="s">
        <v>680</v>
      </c>
      <c r="C10" s="562"/>
      <c r="D10" s="562"/>
      <c r="E10" s="562"/>
      <c r="F10" s="562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563" t="s">
        <v>21</v>
      </c>
      <c r="C11" s="564"/>
      <c r="D11" s="564"/>
      <c r="E11" s="564"/>
      <c r="F11" s="564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65" t="s">
        <v>23</v>
      </c>
      <c r="C12" s="566"/>
      <c r="D12" s="566"/>
      <c r="E12" s="566"/>
      <c r="F12" s="566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65" t="s">
        <v>25</v>
      </c>
      <c r="C13" s="566"/>
      <c r="D13" s="566"/>
      <c r="E13" s="566"/>
      <c r="F13" s="566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65" t="s">
        <v>27</v>
      </c>
      <c r="C14" s="566"/>
      <c r="D14" s="566"/>
      <c r="E14" s="566"/>
      <c r="F14" s="566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65" t="s">
        <v>29</v>
      </c>
      <c r="C15" s="566"/>
      <c r="D15" s="566"/>
      <c r="E15" s="566"/>
      <c r="F15" s="566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65" t="s">
        <v>31</v>
      </c>
      <c r="C16" s="566"/>
      <c r="D16" s="566"/>
      <c r="E16" s="566"/>
      <c r="F16" s="566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65" t="s">
        <v>33</v>
      </c>
      <c r="C17" s="566"/>
      <c r="D17" s="566"/>
      <c r="E17" s="566"/>
      <c r="F17" s="566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65" t="s">
        <v>721</v>
      </c>
      <c r="C18" s="566"/>
      <c r="D18" s="566"/>
      <c r="E18" s="566"/>
      <c r="F18" s="566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569" t="s">
        <v>37</v>
      </c>
      <c r="C19" s="570"/>
      <c r="D19" s="570"/>
      <c r="E19" s="570"/>
      <c r="F19" s="570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65" t="s">
        <v>39</v>
      </c>
      <c r="C20" s="566"/>
      <c r="D20" s="566"/>
      <c r="E20" s="566"/>
      <c r="F20" s="566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65" t="s">
        <v>41</v>
      </c>
      <c r="C21" s="566"/>
      <c r="D21" s="566"/>
      <c r="E21" s="566"/>
      <c r="F21" s="566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65" t="s">
        <v>43</v>
      </c>
      <c r="C22" s="566"/>
      <c r="D22" s="566"/>
      <c r="E22" s="566"/>
      <c r="F22" s="566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65" t="s">
        <v>45</v>
      </c>
      <c r="C23" s="566"/>
      <c r="D23" s="566"/>
      <c r="E23" s="566"/>
      <c r="F23" s="566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67" t="s">
        <v>47</v>
      </c>
      <c r="C24" s="568"/>
      <c r="D24" s="568"/>
      <c r="E24" s="568"/>
      <c r="F24" s="568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67" t="s">
        <v>61</v>
      </c>
      <c r="C25" s="568"/>
      <c r="D25" s="568"/>
      <c r="E25" s="568"/>
      <c r="F25" s="568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67" t="s">
        <v>81</v>
      </c>
      <c r="C26" s="568"/>
      <c r="D26" s="568"/>
      <c r="E26" s="568"/>
      <c r="F26" s="568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67" t="s">
        <v>99</v>
      </c>
      <c r="C27" s="568"/>
      <c r="D27" s="568"/>
      <c r="E27" s="568"/>
      <c r="F27" s="568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71" t="s">
        <v>105</v>
      </c>
      <c r="C28" s="572"/>
      <c r="D28" s="572"/>
      <c r="E28" s="572"/>
      <c r="F28" s="572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73" t="s">
        <v>801</v>
      </c>
      <c r="C29" s="574"/>
      <c r="D29" s="574"/>
      <c r="E29" s="574"/>
      <c r="F29" s="574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575" t="s">
        <v>773</v>
      </c>
      <c r="C30" s="576"/>
      <c r="D30" s="576"/>
      <c r="E30" s="576"/>
      <c r="F30" s="576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577" t="s">
        <v>120</v>
      </c>
      <c r="C31" s="578"/>
      <c r="D31" s="578"/>
      <c r="E31" s="578"/>
      <c r="F31" s="578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65" t="s">
        <v>122</v>
      </c>
      <c r="C32" s="566"/>
      <c r="D32" s="566"/>
      <c r="E32" s="566"/>
      <c r="F32" s="566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65" t="s">
        <v>133</v>
      </c>
      <c r="C33" s="566"/>
      <c r="D33" s="566"/>
      <c r="E33" s="566"/>
      <c r="F33" s="566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65" t="s">
        <v>148</v>
      </c>
      <c r="C34" s="566"/>
      <c r="D34" s="566"/>
      <c r="E34" s="566"/>
      <c r="F34" s="566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65" t="s">
        <v>162</v>
      </c>
      <c r="C35" s="566"/>
      <c r="D35" s="566"/>
      <c r="E35" s="566"/>
      <c r="F35" s="566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65" t="s">
        <v>182</v>
      </c>
      <c r="C36" s="566"/>
      <c r="D36" s="566"/>
      <c r="E36" s="566"/>
      <c r="F36" s="566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65" t="s">
        <v>190</v>
      </c>
      <c r="C37" s="566"/>
      <c r="D37" s="566"/>
      <c r="E37" s="566"/>
      <c r="F37" s="566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65" t="s">
        <v>196</v>
      </c>
      <c r="C38" s="566"/>
      <c r="D38" s="566"/>
      <c r="E38" s="566"/>
      <c r="F38" s="566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65" t="s">
        <v>204</v>
      </c>
      <c r="C39" s="566"/>
      <c r="D39" s="566"/>
      <c r="E39" s="566"/>
      <c r="F39" s="566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65" t="s">
        <v>212</v>
      </c>
      <c r="C40" s="566"/>
      <c r="D40" s="566"/>
      <c r="E40" s="566"/>
      <c r="F40" s="566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65" t="s">
        <v>802</v>
      </c>
      <c r="C41" s="566"/>
      <c r="D41" s="566"/>
      <c r="E41" s="566"/>
      <c r="F41" s="566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81" t="s">
        <v>230</v>
      </c>
      <c r="C42" s="582"/>
      <c r="D42" s="582"/>
      <c r="E42" s="582"/>
      <c r="F42" s="582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65" t="s">
        <v>232</v>
      </c>
      <c r="C43" s="566"/>
      <c r="D43" s="566"/>
      <c r="E43" s="566"/>
      <c r="F43" s="566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65" t="s">
        <v>248</v>
      </c>
      <c r="C44" s="566"/>
      <c r="D44" s="566"/>
      <c r="E44" s="566"/>
      <c r="F44" s="566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65" t="s">
        <v>259</v>
      </c>
      <c r="C45" s="566"/>
      <c r="D45" s="566"/>
      <c r="E45" s="566"/>
      <c r="F45" s="566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65" t="s">
        <v>274</v>
      </c>
      <c r="C46" s="566"/>
      <c r="D46" s="566"/>
      <c r="E46" s="566"/>
      <c r="F46" s="566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72" t="s">
        <v>278</v>
      </c>
      <c r="C47" s="673"/>
      <c r="D47" s="673"/>
      <c r="E47" s="673"/>
      <c r="F47" s="673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79" t="s">
        <v>286</v>
      </c>
      <c r="C48" s="580"/>
      <c r="D48" s="580"/>
      <c r="E48" s="580"/>
      <c r="F48" s="580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79" t="s">
        <v>320</v>
      </c>
      <c r="C49" s="580"/>
      <c r="D49" s="580"/>
      <c r="E49" s="580"/>
      <c r="F49" s="580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58" t="s">
        <v>113</v>
      </c>
      <c r="C50" s="659"/>
      <c r="D50" s="659"/>
      <c r="E50" s="659"/>
      <c r="F50" s="659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83" t="s">
        <v>366</v>
      </c>
      <c r="C51" s="584"/>
      <c r="D51" s="584"/>
      <c r="E51" s="584"/>
      <c r="F51" s="584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85" t="s">
        <v>359</v>
      </c>
      <c r="C52" s="586"/>
      <c r="D52" s="586"/>
      <c r="E52" s="586"/>
      <c r="F52" s="586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52" t="s">
        <v>794</v>
      </c>
      <c r="C53" s="653"/>
      <c r="D53" s="653"/>
      <c r="E53" s="653"/>
      <c r="F53" s="653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54" t="s">
        <v>684</v>
      </c>
      <c r="C54" s="655"/>
      <c r="D54" s="655"/>
      <c r="E54" s="655"/>
      <c r="F54" s="655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87" t="s">
        <v>545</v>
      </c>
      <c r="C55" s="588"/>
      <c r="D55" s="588"/>
      <c r="E55" s="588"/>
      <c r="F55" s="588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89" t="s">
        <v>793</v>
      </c>
      <c r="C57" s="590"/>
      <c r="D57" s="590"/>
      <c r="E57" s="590"/>
      <c r="F57" s="590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11" t="s">
        <v>352</v>
      </c>
      <c r="C58" s="612"/>
      <c r="D58" s="612"/>
      <c r="E58" s="612"/>
      <c r="F58" s="612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607" t="s">
        <v>355</v>
      </c>
      <c r="C59" s="608"/>
      <c r="D59" s="608"/>
      <c r="E59" s="608"/>
      <c r="F59" s="608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83" t="s">
        <v>357</v>
      </c>
      <c r="C60" s="584"/>
      <c r="D60" s="584"/>
      <c r="E60" s="584"/>
      <c r="F60" s="584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74" t="s">
        <v>336</v>
      </c>
      <c r="C61" s="675"/>
      <c r="D61" s="675"/>
      <c r="E61" s="675"/>
      <c r="F61" s="675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609" t="s">
        <v>543</v>
      </c>
      <c r="C62" s="610"/>
      <c r="D62" s="610"/>
      <c r="E62" s="610"/>
      <c r="F62" s="610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73" t="s">
        <v>544</v>
      </c>
      <c r="C63" s="574"/>
      <c r="D63" s="574"/>
      <c r="E63" s="574"/>
      <c r="F63" s="574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607" t="s">
        <v>114</v>
      </c>
      <c r="C64" s="608"/>
      <c r="D64" s="608"/>
      <c r="E64" s="608"/>
      <c r="F64" s="608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83" t="s">
        <v>116</v>
      </c>
      <c r="C65" s="584"/>
      <c r="D65" s="584"/>
      <c r="E65" s="584"/>
      <c r="F65" s="584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83" t="s">
        <v>93</v>
      </c>
      <c r="C66" s="584"/>
      <c r="D66" s="584"/>
      <c r="E66" s="584"/>
      <c r="F66" s="584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39" t="s">
        <v>551</v>
      </c>
      <c r="C103" s="640"/>
      <c r="D103" s="640"/>
      <c r="E103" s="640"/>
      <c r="F103" s="640"/>
      <c r="G103" s="647">
        <v>2018</v>
      </c>
      <c r="H103" s="648"/>
      <c r="I103" s="648"/>
      <c r="J103" s="648"/>
      <c r="K103" s="648"/>
      <c r="L103" s="648"/>
      <c r="M103" s="648"/>
      <c r="N103" s="648"/>
      <c r="O103" s="648"/>
      <c r="P103" s="648"/>
      <c r="Q103" s="648"/>
      <c r="R103" s="649"/>
      <c r="S103" s="96" t="str">
        <f>+S7</f>
        <v>BDP</v>
      </c>
      <c r="T103" s="97">
        <f>+T7</f>
        <v>4663130000</v>
      </c>
    </row>
    <row r="104" spans="1:21" ht="15.75" customHeight="1">
      <c r="B104" s="641"/>
      <c r="C104" s="642"/>
      <c r="D104" s="642"/>
      <c r="E104" s="642"/>
      <c r="F104" s="643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47" t="s">
        <v>806</v>
      </c>
      <c r="T104" s="649">
        <f>+T8</f>
        <v>0</v>
      </c>
    </row>
    <row r="105" spans="1:21" ht="13.5" thickBot="1">
      <c r="B105" s="644"/>
      <c r="C105" s="645"/>
      <c r="D105" s="645"/>
      <c r="E105" s="645"/>
      <c r="F105" s="646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62" t="s">
        <v>680</v>
      </c>
      <c r="C106" s="663"/>
      <c r="D106" s="663"/>
      <c r="E106" s="663"/>
      <c r="F106" s="663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37" t="s">
        <v>21</v>
      </c>
      <c r="C107" s="638"/>
      <c r="D107" s="638"/>
      <c r="E107" s="638"/>
      <c r="F107" s="638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29" t="s">
        <v>23</v>
      </c>
      <c r="C108" s="630"/>
      <c r="D108" s="630"/>
      <c r="E108" s="630"/>
      <c r="F108" s="630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29" t="s">
        <v>25</v>
      </c>
      <c r="C109" s="630"/>
      <c r="D109" s="630"/>
      <c r="E109" s="630"/>
      <c r="F109" s="630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29" t="s">
        <v>27</v>
      </c>
      <c r="C110" s="630"/>
      <c r="D110" s="630"/>
      <c r="E110" s="630"/>
      <c r="F110" s="630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29" t="s">
        <v>29</v>
      </c>
      <c r="C111" s="630"/>
      <c r="D111" s="630"/>
      <c r="E111" s="630"/>
      <c r="F111" s="630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29" t="s">
        <v>31</v>
      </c>
      <c r="C112" s="630"/>
      <c r="D112" s="630"/>
      <c r="E112" s="630"/>
      <c r="F112" s="630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29" t="s">
        <v>33</v>
      </c>
      <c r="C113" s="630"/>
      <c r="D113" s="630"/>
      <c r="E113" s="630"/>
      <c r="F113" s="630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29" t="s">
        <v>721</v>
      </c>
      <c r="C114" s="630"/>
      <c r="D114" s="630"/>
      <c r="E114" s="630"/>
      <c r="F114" s="630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64" t="s">
        <v>37</v>
      </c>
      <c r="C115" s="665"/>
      <c r="D115" s="665"/>
      <c r="E115" s="665"/>
      <c r="F115" s="665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29" t="s">
        <v>39</v>
      </c>
      <c r="C116" s="630"/>
      <c r="D116" s="630"/>
      <c r="E116" s="630"/>
      <c r="F116" s="630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29" t="s">
        <v>41</v>
      </c>
      <c r="C117" s="630"/>
      <c r="D117" s="630"/>
      <c r="E117" s="630"/>
      <c r="F117" s="630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29" t="s">
        <v>43</v>
      </c>
      <c r="C118" s="630"/>
      <c r="D118" s="630"/>
      <c r="E118" s="630"/>
      <c r="F118" s="630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29" t="s">
        <v>45</v>
      </c>
      <c r="C119" s="630"/>
      <c r="D119" s="630"/>
      <c r="E119" s="630"/>
      <c r="F119" s="630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35" t="s">
        <v>47</v>
      </c>
      <c r="C120" s="636"/>
      <c r="D120" s="636"/>
      <c r="E120" s="636"/>
      <c r="F120" s="636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35" t="s">
        <v>61</v>
      </c>
      <c r="C121" s="636"/>
      <c r="D121" s="636"/>
      <c r="E121" s="636"/>
      <c r="F121" s="636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35" t="s">
        <v>81</v>
      </c>
      <c r="C122" s="636"/>
      <c r="D122" s="636"/>
      <c r="E122" s="636"/>
      <c r="F122" s="636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35" t="s">
        <v>99</v>
      </c>
      <c r="C123" s="636"/>
      <c r="D123" s="636"/>
      <c r="E123" s="636"/>
      <c r="F123" s="636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31" t="s">
        <v>105</v>
      </c>
      <c r="C124" s="632"/>
      <c r="D124" s="632"/>
      <c r="E124" s="632"/>
      <c r="F124" s="632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13" t="s">
        <v>808</v>
      </c>
      <c r="C125" s="614"/>
      <c r="D125" s="614"/>
      <c r="E125" s="614"/>
      <c r="F125" s="614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68" t="s">
        <v>773</v>
      </c>
      <c r="C126" s="669"/>
      <c r="D126" s="669"/>
      <c r="E126" s="669"/>
      <c r="F126" s="669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33" t="s">
        <v>120</v>
      </c>
      <c r="C127" s="634"/>
      <c r="D127" s="634"/>
      <c r="E127" s="634"/>
      <c r="F127" s="634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29" t="s">
        <v>122</v>
      </c>
      <c r="C128" s="630"/>
      <c r="D128" s="630"/>
      <c r="E128" s="630"/>
      <c r="F128" s="630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29" t="s">
        <v>133</v>
      </c>
      <c r="C129" s="630"/>
      <c r="D129" s="630"/>
      <c r="E129" s="630"/>
      <c r="F129" s="630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29" t="s">
        <v>148</v>
      </c>
      <c r="C130" s="630"/>
      <c r="D130" s="630"/>
      <c r="E130" s="630"/>
      <c r="F130" s="630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29" t="s">
        <v>162</v>
      </c>
      <c r="C131" s="630"/>
      <c r="D131" s="630"/>
      <c r="E131" s="630"/>
      <c r="F131" s="630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29" t="s">
        <v>182</v>
      </c>
      <c r="C132" s="630"/>
      <c r="D132" s="630"/>
      <c r="E132" s="630"/>
      <c r="F132" s="630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29" t="s">
        <v>190</v>
      </c>
      <c r="C133" s="630"/>
      <c r="D133" s="630"/>
      <c r="E133" s="630"/>
      <c r="F133" s="630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29" t="s">
        <v>196</v>
      </c>
      <c r="C134" s="630"/>
      <c r="D134" s="630"/>
      <c r="E134" s="630"/>
      <c r="F134" s="630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29" t="s">
        <v>204</v>
      </c>
      <c r="C135" s="630"/>
      <c r="D135" s="630"/>
      <c r="E135" s="630"/>
      <c r="F135" s="630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29" t="s">
        <v>212</v>
      </c>
      <c r="C136" s="630"/>
      <c r="D136" s="630"/>
      <c r="E136" s="630"/>
      <c r="F136" s="630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29" t="s">
        <v>802</v>
      </c>
      <c r="C137" s="630"/>
      <c r="D137" s="630"/>
      <c r="E137" s="630"/>
      <c r="F137" s="630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25" t="s">
        <v>230</v>
      </c>
      <c r="C138" s="626"/>
      <c r="D138" s="626"/>
      <c r="E138" s="626"/>
      <c r="F138" s="626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29" t="s">
        <v>232</v>
      </c>
      <c r="C139" s="630"/>
      <c r="D139" s="630"/>
      <c r="E139" s="630"/>
      <c r="F139" s="630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29" t="s">
        <v>248</v>
      </c>
      <c r="C140" s="630"/>
      <c r="D140" s="630"/>
      <c r="E140" s="630"/>
      <c r="F140" s="630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29" t="s">
        <v>259</v>
      </c>
      <c r="C141" s="630"/>
      <c r="D141" s="630"/>
      <c r="E141" s="630"/>
      <c r="F141" s="630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29" t="s">
        <v>274</v>
      </c>
      <c r="C142" s="630"/>
      <c r="D142" s="630"/>
      <c r="E142" s="630"/>
      <c r="F142" s="630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29" t="s">
        <v>278</v>
      </c>
      <c r="C143" s="630"/>
      <c r="D143" s="630"/>
      <c r="E143" s="630"/>
      <c r="F143" s="630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27" t="s">
        <v>286</v>
      </c>
      <c r="C144" s="628"/>
      <c r="D144" s="628"/>
      <c r="E144" s="628"/>
      <c r="F144" s="628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27" t="s">
        <v>809</v>
      </c>
      <c r="C145" s="628"/>
      <c r="D145" s="628"/>
      <c r="E145" s="628"/>
      <c r="F145" s="628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19" t="s">
        <v>113</v>
      </c>
      <c r="C146" s="620"/>
      <c r="D146" s="620"/>
      <c r="E146" s="620"/>
      <c r="F146" s="620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19" t="s">
        <v>366</v>
      </c>
      <c r="C147" s="620"/>
      <c r="D147" s="620"/>
      <c r="E147" s="620"/>
      <c r="F147" s="620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19" t="s">
        <v>359</v>
      </c>
      <c r="C148" s="620"/>
      <c r="D148" s="620"/>
      <c r="E148" s="620"/>
      <c r="F148" s="620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21" t="s">
        <v>545</v>
      </c>
      <c r="C150" s="622"/>
      <c r="D150" s="622"/>
      <c r="E150" s="622"/>
      <c r="F150" s="622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23" t="s">
        <v>810</v>
      </c>
      <c r="C151" s="624"/>
      <c r="D151" s="624"/>
      <c r="E151" s="624"/>
      <c r="F151" s="624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25" t="s">
        <v>352</v>
      </c>
      <c r="C152" s="626"/>
      <c r="D152" s="626"/>
      <c r="E152" s="626"/>
      <c r="F152" s="626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17" t="s">
        <v>355</v>
      </c>
      <c r="C153" s="618"/>
      <c r="D153" s="618"/>
      <c r="E153" s="618"/>
      <c r="F153" s="618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19" t="s">
        <v>357</v>
      </c>
      <c r="C154" s="620"/>
      <c r="D154" s="620"/>
      <c r="E154" s="620"/>
      <c r="F154" s="620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19" t="s">
        <v>365</v>
      </c>
      <c r="C155" s="620"/>
      <c r="D155" s="620"/>
      <c r="E155" s="620"/>
      <c r="F155" s="620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15" t="s">
        <v>543</v>
      </c>
      <c r="C157" s="616"/>
      <c r="D157" s="616"/>
      <c r="E157" s="616"/>
      <c r="F157" s="616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13" t="s">
        <v>544</v>
      </c>
      <c r="C158" s="614"/>
      <c r="D158" s="614"/>
      <c r="E158" s="614"/>
      <c r="F158" s="614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17" t="s">
        <v>114</v>
      </c>
      <c r="C159" s="618"/>
      <c r="D159" s="618"/>
      <c r="E159" s="618"/>
      <c r="F159" s="618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19" t="s">
        <v>116</v>
      </c>
      <c r="C160" s="620"/>
      <c r="D160" s="620"/>
      <c r="E160" s="620"/>
      <c r="F160" s="620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19" t="s">
        <v>93</v>
      </c>
      <c r="C161" s="620"/>
      <c r="D161" s="620"/>
      <c r="E161" s="620"/>
      <c r="F161" s="620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79" t="s">
        <v>554</v>
      </c>
      <c r="F6" s="677">
        <v>2006</v>
      </c>
      <c r="G6" s="676"/>
      <c r="H6" s="676"/>
      <c r="I6" s="676"/>
      <c r="J6" s="676"/>
      <c r="K6" s="676"/>
      <c r="L6" s="676"/>
      <c r="M6" s="676"/>
      <c r="N6" s="676"/>
      <c r="O6" s="676"/>
      <c r="P6" s="676"/>
      <c r="Q6" s="678"/>
      <c r="R6" s="677">
        <v>2007</v>
      </c>
      <c r="S6" s="676"/>
      <c r="T6" s="676"/>
      <c r="U6" s="676"/>
      <c r="V6" s="676"/>
      <c r="W6" s="676"/>
      <c r="X6" s="676"/>
      <c r="Y6" s="676"/>
      <c r="Z6" s="676"/>
      <c r="AA6" s="676"/>
      <c r="AB6" s="676"/>
      <c r="AC6" s="678"/>
      <c r="AD6" s="677">
        <v>2008</v>
      </c>
      <c r="AE6" s="676"/>
      <c r="AF6" s="676"/>
      <c r="AG6" s="676"/>
      <c r="AH6" s="676"/>
      <c r="AI6" s="676"/>
      <c r="AJ6" s="676"/>
      <c r="AK6" s="676"/>
      <c r="AL6" s="676"/>
      <c r="AM6" s="676"/>
      <c r="AN6" s="676"/>
      <c r="AO6" s="678"/>
      <c r="AP6" s="677">
        <v>2009</v>
      </c>
      <c r="AQ6" s="676"/>
      <c r="AR6" s="676"/>
      <c r="AS6" s="676"/>
      <c r="AT6" s="676"/>
      <c r="AU6" s="676"/>
      <c r="AV6" s="676"/>
      <c r="AW6" s="676"/>
      <c r="AX6" s="676"/>
      <c r="AY6" s="676"/>
      <c r="AZ6" s="676"/>
      <c r="BA6" s="678"/>
      <c r="BB6" s="677">
        <v>2010</v>
      </c>
      <c r="BC6" s="676"/>
      <c r="BD6" s="676"/>
      <c r="BE6" s="676"/>
      <c r="BF6" s="676"/>
      <c r="BG6" s="676"/>
      <c r="BH6" s="676"/>
      <c r="BI6" s="676"/>
      <c r="BJ6" s="676"/>
      <c r="BK6" s="676"/>
      <c r="BL6" s="676"/>
      <c r="BM6" s="678"/>
      <c r="BN6" s="677">
        <v>2011</v>
      </c>
      <c r="BO6" s="676"/>
      <c r="BP6" s="676"/>
      <c r="BQ6" s="676"/>
      <c r="BR6" s="676"/>
      <c r="BS6" s="676"/>
      <c r="BT6" s="676"/>
      <c r="BU6" s="676"/>
      <c r="BV6" s="676"/>
      <c r="BW6" s="676"/>
      <c r="BX6" s="676"/>
      <c r="BY6" s="678"/>
      <c r="BZ6" s="676">
        <v>2012</v>
      </c>
      <c r="CA6" s="676"/>
      <c r="CB6" s="676"/>
      <c r="CC6" s="676"/>
      <c r="CD6" s="676"/>
      <c r="CE6" s="676"/>
      <c r="CF6" s="676"/>
      <c r="CG6" s="676"/>
      <c r="CH6" s="676"/>
      <c r="CI6" s="676"/>
      <c r="CJ6" s="676"/>
      <c r="CK6" s="676"/>
      <c r="CL6" s="677">
        <v>2013</v>
      </c>
      <c r="CM6" s="676"/>
      <c r="CN6" s="676"/>
      <c r="CO6" s="676"/>
      <c r="CP6" s="676"/>
      <c r="CQ6" s="676"/>
      <c r="CR6" s="676"/>
      <c r="CS6" s="676"/>
      <c r="CT6" s="676"/>
      <c r="CU6" s="676"/>
      <c r="CV6" s="676"/>
      <c r="CW6" s="678"/>
      <c r="CX6" s="677">
        <v>2014</v>
      </c>
      <c r="CY6" s="676"/>
      <c r="CZ6" s="676"/>
      <c r="DA6" s="676"/>
      <c r="DB6" s="676"/>
      <c r="DC6" s="676"/>
      <c r="DD6" s="676"/>
      <c r="DE6" s="676"/>
      <c r="DF6" s="676"/>
      <c r="DG6" s="676"/>
      <c r="DH6" s="676"/>
      <c r="DI6" s="678"/>
      <c r="DJ6" s="677">
        <v>2015</v>
      </c>
      <c r="DK6" s="676"/>
      <c r="DL6" s="676"/>
      <c r="DM6" s="676"/>
      <c r="DN6" s="676"/>
      <c r="DO6" s="676"/>
      <c r="DP6" s="676"/>
      <c r="DQ6" s="676"/>
      <c r="DR6" s="676"/>
      <c r="DS6" s="676"/>
      <c r="DT6" s="676"/>
      <c r="DU6" s="678"/>
    </row>
    <row r="7" spans="1:321">
      <c r="E7" s="679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79" t="s">
        <v>675</v>
      </c>
      <c r="F214" s="677">
        <v>2006</v>
      </c>
      <c r="G214" s="676"/>
      <c r="H214" s="676"/>
      <c r="I214" s="676"/>
      <c r="J214" s="676"/>
      <c r="K214" s="676"/>
      <c r="L214" s="676"/>
      <c r="M214" s="676"/>
      <c r="N214" s="676"/>
      <c r="O214" s="676"/>
      <c r="P214" s="676"/>
      <c r="Q214" s="678"/>
      <c r="R214" s="677">
        <v>2007</v>
      </c>
      <c r="S214" s="676"/>
      <c r="T214" s="676"/>
      <c r="U214" s="676"/>
      <c r="V214" s="676"/>
      <c r="W214" s="676"/>
      <c r="X214" s="676"/>
      <c r="Y214" s="676"/>
      <c r="Z214" s="676"/>
      <c r="AA214" s="676"/>
      <c r="AB214" s="676"/>
      <c r="AC214" s="678"/>
      <c r="AD214" s="677">
        <v>2008</v>
      </c>
      <c r="AE214" s="676"/>
      <c r="AF214" s="676"/>
      <c r="AG214" s="676"/>
      <c r="AH214" s="676"/>
      <c r="AI214" s="676"/>
      <c r="AJ214" s="676"/>
      <c r="AK214" s="676"/>
      <c r="AL214" s="676"/>
      <c r="AM214" s="676"/>
      <c r="AN214" s="676"/>
      <c r="AO214" s="678"/>
      <c r="AP214" s="677">
        <v>2009</v>
      </c>
      <c r="AQ214" s="676"/>
      <c r="AR214" s="676"/>
      <c r="AS214" s="676"/>
      <c r="AT214" s="676"/>
      <c r="AU214" s="676"/>
      <c r="AV214" s="676"/>
      <c r="AW214" s="676"/>
      <c r="AX214" s="676"/>
      <c r="AY214" s="676"/>
      <c r="AZ214" s="676"/>
      <c r="BA214" s="678"/>
      <c r="BB214" s="677">
        <v>2010</v>
      </c>
      <c r="BC214" s="676"/>
      <c r="BD214" s="676"/>
      <c r="BE214" s="676"/>
      <c r="BF214" s="676"/>
      <c r="BG214" s="676"/>
      <c r="BH214" s="676"/>
      <c r="BI214" s="676"/>
      <c r="BJ214" s="676"/>
      <c r="BK214" s="676"/>
      <c r="BL214" s="676"/>
      <c r="BM214" s="678"/>
      <c r="BN214" s="677">
        <v>2011</v>
      </c>
      <c r="BO214" s="676"/>
      <c r="BP214" s="676"/>
      <c r="BQ214" s="676"/>
      <c r="BR214" s="676"/>
      <c r="BS214" s="676"/>
      <c r="BT214" s="676"/>
      <c r="BU214" s="676"/>
      <c r="BV214" s="676"/>
      <c r="BW214" s="676"/>
      <c r="BX214" s="676"/>
      <c r="BY214" s="678"/>
      <c r="BZ214" s="676">
        <v>2012</v>
      </c>
      <c r="CA214" s="676"/>
      <c r="CB214" s="676"/>
      <c r="CC214" s="676"/>
      <c r="CD214" s="676"/>
      <c r="CE214" s="676"/>
      <c r="CF214" s="676"/>
      <c r="CG214" s="676"/>
      <c r="CH214" s="676"/>
      <c r="CI214" s="676"/>
      <c r="CJ214" s="676"/>
      <c r="CK214" s="676"/>
      <c r="CL214" s="677">
        <v>2013</v>
      </c>
      <c r="CM214" s="676"/>
      <c r="CN214" s="676"/>
      <c r="CO214" s="676"/>
      <c r="CP214" s="676"/>
      <c r="CQ214" s="676"/>
      <c r="CR214" s="676"/>
      <c r="CS214" s="676"/>
      <c r="CT214" s="676"/>
      <c r="CU214" s="676"/>
      <c r="CV214" s="676"/>
      <c r="CW214" s="678"/>
      <c r="CX214" s="677">
        <v>2014</v>
      </c>
      <c r="CY214" s="676"/>
      <c r="CZ214" s="676"/>
      <c r="DA214" s="676"/>
      <c r="DB214" s="676"/>
      <c r="DC214" s="676"/>
      <c r="DD214" s="676"/>
      <c r="DE214" s="676"/>
      <c r="DF214" s="676"/>
      <c r="DG214" s="676"/>
      <c r="DH214" s="676"/>
      <c r="DI214" s="678"/>
      <c r="DJ214" s="677">
        <v>2015</v>
      </c>
      <c r="DK214" s="676"/>
      <c r="DL214" s="676"/>
      <c r="DM214" s="676"/>
      <c r="DN214" s="676"/>
      <c r="DO214" s="676"/>
      <c r="DP214" s="676"/>
      <c r="DQ214" s="676"/>
      <c r="DR214" s="676"/>
      <c r="DS214" s="676"/>
      <c r="DT214" s="676"/>
      <c r="DU214" s="678"/>
    </row>
    <row r="215" spans="1:187">
      <c r="E215" s="679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6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10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2024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Oktobar</v>
      </c>
    </row>
    <row r="246" spans="4:7">
      <c r="D246" s="41"/>
      <c r="G246" s="44" t="str">
        <f>+CONCATENATE("Jan - ",LEFT(G245,3))</f>
        <v>Jan - Okt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Okt</v>
      </c>
      <c r="F254" s="6" t="str">
        <f>+CONCATENATE("Analytics for period ",G246)</f>
        <v>Analytics for period Jan - Okt</v>
      </c>
      <c r="G254" s="44" t="str">
        <f>+IF(ISBLANK(IF($B$2=1,E254,F254)),"",IF($B$2=1,E254,F254))</f>
        <v>Analitika za period Jan - Okt</v>
      </c>
    </row>
    <row r="255" spans="4:7">
      <c r="E255" s="5" t="str">
        <f>+CONCATENATE("Analitika za period ",G245)</f>
        <v>Analitika za period Oktobar</v>
      </c>
      <c r="F255" s="6" t="str">
        <f>+CONCATENATE("Analytics for period ",G245)</f>
        <v>Analytics for period Oktobar</v>
      </c>
      <c r="G255" s="44" t="str">
        <f>+IF(ISBLANK(IF($B$2=1,E255,F255)),"",IF($B$2=1,E255,F255))</f>
        <v>Analitika za period Oktobar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Oktobar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Oktobar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Oktobar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Oktobar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Oktobar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Oktobar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activeCell="DK219" sqref="DK219"/>
      <selection pane="bottomLeft" activeCell="H5" sqref="H5"/>
    </sheetView>
  </sheetViews>
  <sheetFormatPr defaultColWidth="9.140625" defaultRowHeight="15"/>
  <cols>
    <col min="1" max="3" width="9.140625" style="116"/>
    <col min="4" max="4" width="10" style="116" bestFit="1" customWidth="1"/>
    <col min="5" max="7" width="9.140625" style="116"/>
    <col min="8" max="8" width="11" style="116" bestFit="1" customWidth="1"/>
    <col min="9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Oktobar</v>
      </c>
      <c r="G11" s="122" t="str">
        <f>+Master!G274</f>
        <v>Prihodi za period Januar - Oktobar</v>
      </c>
      <c r="J11" s="121"/>
    </row>
    <row r="12" spans="3:10">
      <c r="C12" s="120"/>
      <c r="D12" s="123">
        <f>+'Analitika 2024'!N10</f>
        <v>240433854.94999999</v>
      </c>
      <c r="E12" s="427">
        <f>+D12/'2024'!T7</f>
        <v>3.3027989470719943E-2</v>
      </c>
      <c r="G12" s="123">
        <f>+'Analitika 2024'!G10</f>
        <v>2317675582.5899997</v>
      </c>
      <c r="H12" s="427">
        <f>+G12/'2024'!T7</f>
        <v>0.31837515043064957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Oktobar</v>
      </c>
      <c r="G15" s="122" t="str">
        <f>+Master!G275</f>
        <v>Rashodi za period Januar - Oktobar</v>
      </c>
      <c r="J15" s="121"/>
    </row>
    <row r="16" spans="3:10">
      <c r="C16" s="120"/>
      <c r="D16" s="123">
        <f>+'Analitika 2024'!N29</f>
        <v>253541261.47</v>
      </c>
      <c r="E16" s="427">
        <f>+D16/'2024'!T7</f>
        <v>3.4828531597455942E-2</v>
      </c>
      <c r="G16" s="123">
        <f>+'Analitika 2024'!G29</f>
        <v>2242570708.5199995</v>
      </c>
      <c r="H16" s="427">
        <f>+G16/'2024'!T7</f>
        <v>0.30805812169732261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Oktobar</v>
      </c>
      <c r="G19" s="122" t="str">
        <f>+Master!G276</f>
        <v>Suficit/Deficit za period Januar - Oktobar</v>
      </c>
      <c r="J19" s="121"/>
    </row>
    <row r="20" spans="3:11">
      <c r="C20" s="120"/>
      <c r="D20" s="123">
        <f>+'Analitika 2024'!N53</f>
        <v>-13107406.520000011</v>
      </c>
      <c r="E20" s="427">
        <f>+D20/'2024'!T7</f>
        <v>-1.8005421267359933E-3</v>
      </c>
      <c r="G20" s="123">
        <f>+'Analitika 2024'!G53</f>
        <v>75104874.070000201</v>
      </c>
      <c r="H20" s="427">
        <f>+G20/'2024'!T7</f>
        <v>1.031702873332695E-2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KyQVNmac1WxTHOWEjyMfcCtE7e8j3f29wm38i9WGVVYQhulLlgrBpUV3K+mGfcOtnkJOSifQ5QlG0wd5QWk7fw==" saltValue="7QvgbDtSF8VMUmLVfjaCi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Y72"/>
  <sheetViews>
    <sheetView zoomScale="90" zoomScaleNormal="90" workbookViewId="0">
      <pane ySplit="5" topLeftCell="A6" activePane="bottomLeft" state="frozen"/>
      <selection activeCell="DK219" sqref="DK219"/>
      <selection pane="bottomLeft" activeCell="D6" sqref="D6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2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2" width="9.140625" style="4"/>
    <col min="23" max="23" width="11.710937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2024-10</v>
      </c>
      <c r="O6" s="128" t="str">
        <f>+CONCATENATE(N6,"p")</f>
        <v>2024-10p</v>
      </c>
      <c r="P6" s="116"/>
      <c r="Q6" s="116"/>
      <c r="R6" s="128" t="str">
        <f>+IF(Master!B3-10&gt;=0,CONCATENATE(Master!B4-1,"-",Master!B3),CONCATENATE(Master!B4-1,"-0",Master!B3))</f>
        <v>2023-10</v>
      </c>
      <c r="S6" s="116"/>
      <c r="T6" s="116"/>
    </row>
    <row r="7" spans="1:25" ht="14.25" customHeight="1">
      <c r="A7" s="129"/>
      <c r="B7" s="593" t="str">
        <f>+Master!G254</f>
        <v>Analitika za period Jan - Okt</v>
      </c>
      <c r="C7" s="594"/>
      <c r="D7" s="594"/>
      <c r="E7" s="594"/>
      <c r="F7" s="594"/>
      <c r="G7" s="602" t="str">
        <f>+Master!G246</f>
        <v>Jan - Okt</v>
      </c>
      <c r="H7" s="603"/>
      <c r="I7" s="603"/>
      <c r="J7" s="603"/>
      <c r="K7" s="603"/>
      <c r="L7" s="603"/>
      <c r="M7" s="606"/>
      <c r="N7" s="603" t="str">
        <f>+Master!G245</f>
        <v>Oktobar</v>
      </c>
      <c r="O7" s="603"/>
      <c r="P7" s="603"/>
      <c r="Q7" s="603"/>
      <c r="R7" s="603"/>
      <c r="S7" s="603"/>
      <c r="T7" s="606"/>
    </row>
    <row r="8" spans="1:25" ht="29.25" customHeight="1">
      <c r="A8" s="129"/>
      <c r="B8" s="595"/>
      <c r="C8" s="596"/>
      <c r="D8" s="596"/>
      <c r="E8" s="596"/>
      <c r="F8" s="597"/>
      <c r="G8" s="487" t="str">
        <f>+Master!G26</f>
        <v>Ostvarenje</v>
      </c>
      <c r="H8" s="330" t="str">
        <f>+Master!G25</f>
        <v>Plan</v>
      </c>
      <c r="I8" s="591" t="str">
        <f>+Master!G261</f>
        <v>Odstupanje</v>
      </c>
      <c r="J8" s="591"/>
      <c r="K8" s="130" t="str">
        <f>+CONCATENATE(Master!G246," ",Master!B4-1)</f>
        <v>Jan - Okt 2023</v>
      </c>
      <c r="L8" s="591" t="str">
        <f>+I8</f>
        <v>Odstupanje</v>
      </c>
      <c r="M8" s="592"/>
      <c r="N8" s="487" t="str">
        <f>+G8</f>
        <v>Ostvarenje</v>
      </c>
      <c r="O8" s="130" t="str">
        <f>+H8</f>
        <v>Plan</v>
      </c>
      <c r="P8" s="591" t="str">
        <f>+I8</f>
        <v>Odstupanje</v>
      </c>
      <c r="Q8" s="591"/>
      <c r="R8" s="130" t="str">
        <f>+CONCATENATE(Master!G245," ",Master!B4-1)</f>
        <v>Oktobar 2023</v>
      </c>
      <c r="S8" s="591" t="str">
        <f>+P8</f>
        <v>Odstupanje</v>
      </c>
      <c r="T8" s="592"/>
    </row>
    <row r="9" spans="1:25" ht="15.75" thickBot="1">
      <c r="A9" s="129"/>
      <c r="B9" s="598"/>
      <c r="C9" s="599"/>
      <c r="D9" s="599"/>
      <c r="E9" s="599"/>
      <c r="F9" s="600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73" t="str">
        <f>+VLOOKUP($A10,Master!$D$30:$G$226,4,FALSE)</f>
        <v>Prihodi budžeta</v>
      </c>
      <c r="C10" s="574"/>
      <c r="D10" s="574"/>
      <c r="E10" s="574"/>
      <c r="F10" s="574"/>
      <c r="G10" s="136">
        <f>'2024'!S10</f>
        <v>2317675582.5899997</v>
      </c>
      <c r="H10" s="136">
        <f>SUM('2024'!G86:P86)</f>
        <v>2283746918.8636193</v>
      </c>
      <c r="I10" s="137">
        <f>+G10-H10</f>
        <v>33928663.726380348</v>
      </c>
      <c r="J10" s="139">
        <f>IF(+IF(ISERROR(G10/H10),"…",G10/H10-1)&gt;200%,"...",IF(ISERROR(G10/H10),"…",G10/H10-1))</f>
        <v>1.4856577778444402E-2</v>
      </c>
      <c r="K10" s="136">
        <f>SUM('2023'!G10:P10)</f>
        <v>2123762526.5</v>
      </c>
      <c r="L10" s="137">
        <f>+G10-K10</f>
        <v>193913056.08999968</v>
      </c>
      <c r="M10" s="141">
        <f>IF(+IF(ISERROR(G10/K10),"…",G10/K10-1)&gt;200%,"...",IF(ISERROR(G10/K10),"…",G10/K10-1))</f>
        <v>9.1306374262838164E-2</v>
      </c>
      <c r="N10" s="136">
        <f>'2024'!P10</f>
        <v>240433854.94999999</v>
      </c>
      <c r="O10" s="136">
        <f>'2024'!P86</f>
        <v>235724553.51601768</v>
      </c>
      <c r="P10" s="137">
        <f>+N10-O10</f>
        <v>4709301.4339823127</v>
      </c>
      <c r="Q10" s="139">
        <f>IF(+IF(ISERROR(N10/O10),"…",N10/O10-1)&gt;200%,"...",IF(ISERROR(N10/O10),"…",N10/O10-1))</f>
        <v>1.9977984320001418E-2</v>
      </c>
      <c r="R10" s="136">
        <f>'2023'!P10</f>
        <v>220012875.28999999</v>
      </c>
      <c r="S10" s="137">
        <f>+N10-R10</f>
        <v>20420979.659999996</v>
      </c>
      <c r="T10" s="141">
        <f>IF(+IF(ISERROR(N10/R10),"…",N10/R10-1)&gt;200%,"...",IF(ISERROR(N10/R10),"…",N10/R10-1))</f>
        <v>9.2817202779987396E-2</v>
      </c>
      <c r="W10" s="470"/>
      <c r="Y10" s="470"/>
    </row>
    <row r="11" spans="1:25">
      <c r="A11" s="135">
        <v>711</v>
      </c>
      <c r="B11" s="563" t="str">
        <f>+VLOOKUP($A11,Master!$D$30:$G$226,4,FALSE)</f>
        <v>Porezi</v>
      </c>
      <c r="C11" s="564"/>
      <c r="D11" s="564"/>
      <c r="E11" s="564"/>
      <c r="F11" s="564"/>
      <c r="G11" s="262">
        <f>'2024'!S11</f>
        <v>1668980871.1700001</v>
      </c>
      <c r="H11" s="262">
        <f>SUM('2024'!G87:P87)</f>
        <v>1640762851.2321842</v>
      </c>
      <c r="I11" s="143">
        <f t="shared" ref="I11:I57" si="0">+G11-H11</f>
        <v>28218019.937815905</v>
      </c>
      <c r="J11" s="145">
        <f t="shared" ref="J11:J66" si="1">IF(+IF(ISERROR(G11/H11-1),"…",G11/H11-1)&gt;200%,"...",IF(ISERROR(G11/H11-1),"…",G11/H11-1))</f>
        <v>1.7198109962463404E-2</v>
      </c>
      <c r="K11" s="262">
        <f>SUM('2023'!G11:P11)</f>
        <v>1411723982.4699998</v>
      </c>
      <c r="L11" s="143">
        <f>+G11-K11</f>
        <v>257256888.70000029</v>
      </c>
      <c r="M11" s="147">
        <f t="shared" ref="M11:M66" si="2">IF(+IF(ISERROR(G11/K11),"…",G11/K11-1)&gt;200%,"...",IF(ISERROR(G11/K11),"…",G11/K11-1))</f>
        <v>0.18222888602479848</v>
      </c>
      <c r="N11" s="262">
        <f>'2024'!P11</f>
        <v>170940704.73000002</v>
      </c>
      <c r="O11" s="262">
        <f>'2024'!P87</f>
        <v>153706833.67658257</v>
      </c>
      <c r="P11" s="143">
        <f>+N11-O11</f>
        <v>17233871.053417444</v>
      </c>
      <c r="Q11" s="145">
        <f t="shared" ref="Q11:Q66" si="3">IF(+IF(ISERROR(N11/O11),"…",N11/O11-1)&gt;200%,"...",IF(ISERROR(N11/O11),"…",N11/O11-1))</f>
        <v>0.11212169713728892</v>
      </c>
      <c r="R11" s="262">
        <f>'2023'!P11</f>
        <v>146031901.31</v>
      </c>
      <c r="S11" s="143">
        <f t="shared" ref="S11:S57" si="4">+N11-R11</f>
        <v>24908803.420000017</v>
      </c>
      <c r="T11" s="147">
        <f t="shared" ref="T11:T66" si="5">IF(+IF(ISERROR(N11/R11),"…",N11/R11-1)&gt;200%,"...",IF(ISERROR(N11/R11),"…",N11/R11-1))</f>
        <v>0.17057097248308106</v>
      </c>
      <c r="W11" s="470"/>
      <c r="Y11" s="470"/>
    </row>
    <row r="12" spans="1:25">
      <c r="A12" s="135">
        <v>7111</v>
      </c>
      <c r="B12" s="565" t="str">
        <f>+VLOOKUP($A12,Master!$D$30:$G$226,4,FALSE)</f>
        <v>Porez na dohodak fizičkih lica</v>
      </c>
      <c r="C12" s="566"/>
      <c r="D12" s="566"/>
      <c r="E12" s="566"/>
      <c r="F12" s="566"/>
      <c r="G12" s="148">
        <f>'2024'!S12</f>
        <v>70000406.510000005</v>
      </c>
      <c r="H12" s="148">
        <f>SUM('2024'!G88:P88)</f>
        <v>66818407.200109459</v>
      </c>
      <c r="I12" s="149">
        <f t="shared" si="0"/>
        <v>3181999.3098905459</v>
      </c>
      <c r="J12" s="151">
        <f t="shared" si="1"/>
        <v>4.7621597748671363E-2</v>
      </c>
      <c r="K12" s="148">
        <f>SUM('2023'!G12:P12)</f>
        <v>50131844.5</v>
      </c>
      <c r="L12" s="149">
        <f>+G12-K12</f>
        <v>19868562.010000005</v>
      </c>
      <c r="M12" s="153">
        <f t="shared" si="2"/>
        <v>0.39632617168115569</v>
      </c>
      <c r="N12" s="148">
        <f>'2024'!P12</f>
        <v>10490866.800000001</v>
      </c>
      <c r="O12" s="148">
        <f>'2024'!P88</f>
        <v>8280983.0276610926</v>
      </c>
      <c r="P12" s="149">
        <f t="shared" ref="P12:P57" si="6">+N12-O12</f>
        <v>2209883.7723389082</v>
      </c>
      <c r="Q12" s="151">
        <f t="shared" si="3"/>
        <v>0.26686249264817952</v>
      </c>
      <c r="R12" s="148">
        <f>'2023'!P12</f>
        <v>6808747.9500000002</v>
      </c>
      <c r="S12" s="149">
        <f t="shared" si="4"/>
        <v>3682118.8500000006</v>
      </c>
      <c r="T12" s="153">
        <f t="shared" si="5"/>
        <v>0.54079235669165882</v>
      </c>
      <c r="W12" s="470"/>
      <c r="Y12" s="470"/>
    </row>
    <row r="13" spans="1:25">
      <c r="A13" s="135">
        <v>7112</v>
      </c>
      <c r="B13" s="565" t="str">
        <f>+VLOOKUP($A13,Master!$D$30:$G$226,4,FALSE)</f>
        <v>Porez na dobit pravnih lica</v>
      </c>
      <c r="C13" s="566"/>
      <c r="D13" s="566"/>
      <c r="E13" s="566"/>
      <c r="F13" s="566"/>
      <c r="G13" s="148">
        <f>'2024'!S13</f>
        <v>205898816.11999997</v>
      </c>
      <c r="H13" s="148">
        <f>SUM('2024'!G89:P89)</f>
        <v>202979603.35553202</v>
      </c>
      <c r="I13" s="149">
        <f t="shared" si="0"/>
        <v>2919212.7644679546</v>
      </c>
      <c r="J13" s="151">
        <f t="shared" si="1"/>
        <v>1.4381803472907295E-2</v>
      </c>
      <c r="K13" s="148">
        <f>SUM('2023'!G13:P13)</f>
        <v>143288029.15000001</v>
      </c>
      <c r="L13" s="149">
        <f t="shared" ref="L13:L57" si="7">+G13-K13</f>
        <v>62610786.969999969</v>
      </c>
      <c r="M13" s="153">
        <f t="shared" si="2"/>
        <v>0.43695755564099725</v>
      </c>
      <c r="N13" s="148">
        <f>'2024'!P13</f>
        <v>1559675.82</v>
      </c>
      <c r="O13" s="148">
        <f>'2024'!P89</f>
        <v>998970.87553201988</v>
      </c>
      <c r="P13" s="149">
        <f t="shared" si="6"/>
        <v>560704.94446798018</v>
      </c>
      <c r="Q13" s="151">
        <f t="shared" si="3"/>
        <v>0.56128257409843574</v>
      </c>
      <c r="R13" s="148">
        <f>'2023'!P13</f>
        <v>2296101.2799999998</v>
      </c>
      <c r="S13" s="149">
        <f t="shared" si="4"/>
        <v>-736425.45999999973</v>
      </c>
      <c r="T13" s="153">
        <f t="shared" si="5"/>
        <v>-0.32072864834603454</v>
      </c>
      <c r="W13" s="470"/>
      <c r="Y13" s="470"/>
    </row>
    <row r="14" spans="1:25">
      <c r="A14" s="135">
        <v>7113</v>
      </c>
      <c r="B14" s="565" t="str">
        <f>+VLOOKUP($A14,Master!$D$30:$G$226,4,FALSE)</f>
        <v>Porez na promet nepokretnosti</v>
      </c>
      <c r="C14" s="566"/>
      <c r="D14" s="566"/>
      <c r="E14" s="566"/>
      <c r="F14" s="566"/>
      <c r="G14" s="148">
        <f>'2024'!S14</f>
        <v>0</v>
      </c>
      <c r="H14" s="148">
        <f>SUM('2024'!G90:P90)</f>
        <v>0</v>
      </c>
      <c r="I14" s="149">
        <f t="shared" si="0"/>
        <v>0</v>
      </c>
      <c r="J14" s="151" t="str">
        <f t="shared" si="1"/>
        <v>...</v>
      </c>
      <c r="K14" s="148">
        <f>SUM('2023'!G14:P14)</f>
        <v>0</v>
      </c>
      <c r="L14" s="149">
        <f t="shared" si="7"/>
        <v>0</v>
      </c>
      <c r="M14" s="153" t="str">
        <f t="shared" si="2"/>
        <v>...</v>
      </c>
      <c r="N14" s="148">
        <f>'2024'!P14</f>
        <v>0</v>
      </c>
      <c r="O14" s="148">
        <f>'2024'!P90</f>
        <v>0</v>
      </c>
      <c r="P14" s="149">
        <f t="shared" si="6"/>
        <v>0</v>
      </c>
      <c r="Q14" s="151" t="str">
        <f t="shared" si="3"/>
        <v>...</v>
      </c>
      <c r="R14" s="148">
        <f>'2023'!P14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65" t="str">
        <f>+VLOOKUP($A15,Master!$D$30:$G$226,4,FALSE)</f>
        <v>Porez na dodatu vrijednost</v>
      </c>
      <c r="C15" s="566"/>
      <c r="D15" s="566"/>
      <c r="E15" s="566"/>
      <c r="F15" s="566"/>
      <c r="G15" s="148">
        <f>'2024'!S15</f>
        <v>1020489514.9000001</v>
      </c>
      <c r="H15" s="148">
        <f>SUM('2024'!G91:P91)</f>
        <v>1004262535.4964161</v>
      </c>
      <c r="I15" s="149">
        <f t="shared" si="0"/>
        <v>16226979.403584003</v>
      </c>
      <c r="J15" s="151">
        <f t="shared" si="1"/>
        <v>1.6158104907859405E-2</v>
      </c>
      <c r="K15" s="148">
        <f>SUM('2023'!G15:P15)</f>
        <v>892943020.36000013</v>
      </c>
      <c r="L15" s="149">
        <f t="shared" si="7"/>
        <v>127546494.53999996</v>
      </c>
      <c r="M15" s="153">
        <f t="shared" si="2"/>
        <v>0.14283833529330692</v>
      </c>
      <c r="N15" s="148">
        <f>'2024'!P15</f>
        <v>118929652.58</v>
      </c>
      <c r="O15" s="148">
        <f>'2024'!P91</f>
        <v>106592102.58641601</v>
      </c>
      <c r="P15" s="149">
        <f t="shared" si="6"/>
        <v>12337549.993583992</v>
      </c>
      <c r="Q15" s="151">
        <f t="shared" si="3"/>
        <v>0.11574544168112011</v>
      </c>
      <c r="R15" s="148">
        <f>'2023'!P15</f>
        <v>102950012.68000001</v>
      </c>
      <c r="S15" s="149">
        <f t="shared" si="4"/>
        <v>15979639.899999991</v>
      </c>
      <c r="T15" s="153">
        <f t="shared" si="5"/>
        <v>0.15521746412668813</v>
      </c>
      <c r="W15" s="470"/>
      <c r="Y15" s="470"/>
    </row>
    <row r="16" spans="1:25">
      <c r="A16" s="135">
        <v>7115</v>
      </c>
      <c r="B16" s="565" t="str">
        <f>+VLOOKUP($A16,Master!$D$30:$G$226,4,FALSE)</f>
        <v>Akcize</v>
      </c>
      <c r="C16" s="566"/>
      <c r="D16" s="566"/>
      <c r="E16" s="566"/>
      <c r="F16" s="566"/>
      <c r="G16" s="148">
        <f>'2024'!S16</f>
        <v>309947316.21000004</v>
      </c>
      <c r="H16" s="148">
        <f>SUM('2024'!G92:P92)</f>
        <v>305823374.50885695</v>
      </c>
      <c r="I16" s="149">
        <f t="shared" si="0"/>
        <v>4123941.701143086</v>
      </c>
      <c r="J16" s="151">
        <f t="shared" si="1"/>
        <v>1.3484717143567027E-2</v>
      </c>
      <c r="K16" s="148">
        <f>SUM('2023'!G16:P16)</f>
        <v>270451734.31999999</v>
      </c>
      <c r="L16" s="149">
        <f t="shared" si="7"/>
        <v>39495581.890000045</v>
      </c>
      <c r="M16" s="153">
        <f t="shared" si="2"/>
        <v>0.14603560220940803</v>
      </c>
      <c r="N16" s="148">
        <f>'2024'!P16</f>
        <v>33032024.920000002</v>
      </c>
      <c r="O16" s="148">
        <f>'2024'!P92</f>
        <v>32313707.2157037</v>
      </c>
      <c r="P16" s="149">
        <f t="shared" si="6"/>
        <v>718317.70429630205</v>
      </c>
      <c r="Q16" s="151">
        <f t="shared" si="3"/>
        <v>2.2229504634095898E-2</v>
      </c>
      <c r="R16" s="148">
        <f>'2023'!P16</f>
        <v>28234460.510000002</v>
      </c>
      <c r="S16" s="149">
        <f t="shared" si="4"/>
        <v>4797564.41</v>
      </c>
      <c r="T16" s="153">
        <f t="shared" si="5"/>
        <v>0.16991875613493002</v>
      </c>
      <c r="W16" s="470"/>
      <c r="Y16" s="470"/>
    </row>
    <row r="17" spans="1:25">
      <c r="A17" s="135">
        <v>7116</v>
      </c>
      <c r="B17" s="565" t="str">
        <f>+VLOOKUP($A17,Master!$D$30:$G$226,4,FALSE)</f>
        <v>Porez na međunarodnu trgovinu i transakcije</v>
      </c>
      <c r="C17" s="566"/>
      <c r="D17" s="566"/>
      <c r="E17" s="566"/>
      <c r="F17" s="566"/>
      <c r="G17" s="148">
        <f>'2024'!S17</f>
        <v>50225678.159999996</v>
      </c>
      <c r="H17" s="148">
        <f>SUM('2024'!G93:P93)</f>
        <v>48872751.739349455</v>
      </c>
      <c r="I17" s="149">
        <f t="shared" si="0"/>
        <v>1352926.4206505418</v>
      </c>
      <c r="J17" s="151">
        <f t="shared" si="1"/>
        <v>2.7682632397415086E-2</v>
      </c>
      <c r="K17" s="148">
        <f>SUM('2023'!G17:P17)</f>
        <v>43521988.550000004</v>
      </c>
      <c r="L17" s="149">
        <f t="shared" si="7"/>
        <v>6703689.609999992</v>
      </c>
      <c r="M17" s="153">
        <f t="shared" si="2"/>
        <v>0.15402994746663512</v>
      </c>
      <c r="N17" s="148">
        <f>'2024'!P17</f>
        <v>5536331.3300000001</v>
      </c>
      <c r="O17" s="148">
        <f>'2024'!P93</f>
        <v>4514923.99934946</v>
      </c>
      <c r="P17" s="149" t="s">
        <v>92</v>
      </c>
      <c r="Q17" s="151">
        <f>IF(+IF(ISERROR(N17/O17),"…",N17/O17-1)&gt;200%,"...",IF(ISERROR(N17/O17),"…",N17/O17-1))</f>
        <v>0.22622913050091453</v>
      </c>
      <c r="R17" s="148">
        <f>'2023'!P17</f>
        <v>4489829.42</v>
      </c>
      <c r="S17" s="149">
        <f t="shared" si="4"/>
        <v>1046501.9100000001</v>
      </c>
      <c r="T17" s="153">
        <f t="shared" si="5"/>
        <v>0.23308277711806702</v>
      </c>
      <c r="W17" s="470"/>
      <c r="Y17" s="470"/>
    </row>
    <row r="18" spans="1:25">
      <c r="A18" s="135">
        <v>7118</v>
      </c>
      <c r="B18" s="565" t="str">
        <f>+VLOOKUP($A18,Master!$D$30:$G$226,4,FALSE)</f>
        <v>Ostali državni porezi</v>
      </c>
      <c r="C18" s="566"/>
      <c r="D18" s="566"/>
      <c r="E18" s="566"/>
      <c r="F18" s="566"/>
      <c r="G18" s="148">
        <f>'2024'!S18</f>
        <v>12419139.269999998</v>
      </c>
      <c r="H18" s="148">
        <f>SUM('2024'!G94:P94)</f>
        <v>12006178.93192032</v>
      </c>
      <c r="I18" s="149">
        <f t="shared" si="0"/>
        <v>412960.33807967789</v>
      </c>
      <c r="J18" s="151">
        <f t="shared" si="1"/>
        <v>3.4395650807915068E-2</v>
      </c>
      <c r="K18" s="148">
        <f>SUM('2023'!G18:P18)</f>
        <v>11387365.590000002</v>
      </c>
      <c r="L18" s="149">
        <f t="shared" si="7"/>
        <v>1031773.679999996</v>
      </c>
      <c r="M18" s="153">
        <f t="shared" si="2"/>
        <v>9.0606881095137926E-2</v>
      </c>
      <c r="N18" s="148">
        <f>'2024'!P18</f>
        <v>1392153.28</v>
      </c>
      <c r="O18" s="148">
        <f>'2024'!P94</f>
        <v>1006145.9719203205</v>
      </c>
      <c r="P18" s="149">
        <f t="shared" si="6"/>
        <v>386007.3080796795</v>
      </c>
      <c r="Q18" s="151">
        <f t="shared" si="3"/>
        <v>0.38364940958114624</v>
      </c>
      <c r="R18" s="148">
        <f>'2023'!P18</f>
        <v>1252749.47</v>
      </c>
      <c r="S18" s="149">
        <f t="shared" si="4"/>
        <v>139403.81000000006</v>
      </c>
      <c r="T18" s="153">
        <f t="shared" si="5"/>
        <v>0.11127828295948117</v>
      </c>
      <c r="W18" s="470"/>
      <c r="Y18" s="470"/>
    </row>
    <row r="19" spans="1:25">
      <c r="A19" s="135">
        <v>712</v>
      </c>
      <c r="B19" s="567" t="str">
        <f>+VLOOKUP($A19,Master!$D$30:$G$226,4,FALSE)</f>
        <v>Doprinosi</v>
      </c>
      <c r="C19" s="568"/>
      <c r="D19" s="568"/>
      <c r="E19" s="568"/>
      <c r="F19" s="568"/>
      <c r="G19" s="154">
        <f>'2024'!S19</f>
        <v>484931075.12</v>
      </c>
      <c r="H19" s="154">
        <f>SUM('2024'!G95:P95)</f>
        <v>476402122.32186812</v>
      </c>
      <c r="I19" s="155">
        <f t="shared" si="0"/>
        <v>8528952.7981318831</v>
      </c>
      <c r="J19" s="157">
        <f t="shared" si="1"/>
        <v>1.7902843834036286E-2</v>
      </c>
      <c r="K19" s="154">
        <f>SUM('2023'!G19:P19)</f>
        <v>439354755.71000004</v>
      </c>
      <c r="L19" s="155">
        <f t="shared" si="7"/>
        <v>45576319.409999967</v>
      </c>
      <c r="M19" s="159">
        <f t="shared" si="2"/>
        <v>0.1037346672994317</v>
      </c>
      <c r="N19" s="154">
        <f>'2024'!P19</f>
        <v>54762650.329999998</v>
      </c>
      <c r="O19" s="154">
        <f>'2024'!P95</f>
        <v>53465829.031868093</v>
      </c>
      <c r="P19" s="155">
        <f t="shared" si="6"/>
        <v>1296821.2981319055</v>
      </c>
      <c r="Q19" s="157">
        <f t="shared" si="3"/>
        <v>2.4255142426744092E-2</v>
      </c>
      <c r="R19" s="154">
        <f>'2023'!P19</f>
        <v>51603762.280000001</v>
      </c>
      <c r="S19" s="155">
        <f t="shared" si="4"/>
        <v>3158888.049999997</v>
      </c>
      <c r="T19" s="159">
        <f t="shared" si="5"/>
        <v>6.1214297377388815E-2</v>
      </c>
      <c r="W19" s="470"/>
      <c r="Y19" s="470"/>
    </row>
    <row r="20" spans="1:25">
      <c r="A20" s="135">
        <v>7121</v>
      </c>
      <c r="B20" s="565" t="str">
        <f>+VLOOKUP($A20,Master!$D$30:$G$226,4,FALSE)</f>
        <v>Doprinosi za penzijsko i invalidsko osiguranje</v>
      </c>
      <c r="C20" s="566"/>
      <c r="D20" s="566"/>
      <c r="E20" s="566"/>
      <c r="F20" s="566"/>
      <c r="G20" s="148">
        <f>'2024'!S20</f>
        <v>444502164.57000005</v>
      </c>
      <c r="H20" s="148">
        <f>SUM('2024'!G96:P96)</f>
        <v>438372067.94925761</v>
      </c>
      <c r="I20" s="149">
        <f t="shared" si="0"/>
        <v>6130096.6207424402</v>
      </c>
      <c r="J20" s="151">
        <f t="shared" si="1"/>
        <v>1.398377558456132E-2</v>
      </c>
      <c r="K20" s="148">
        <f>SUM('2023'!G20:P20)</f>
        <v>401874758.27000004</v>
      </c>
      <c r="L20" s="149">
        <f t="shared" si="7"/>
        <v>42627406.300000012</v>
      </c>
      <c r="M20" s="153">
        <f t="shared" si="2"/>
        <v>0.10607137030328428</v>
      </c>
      <c r="N20" s="148">
        <f>'2024'!P20</f>
        <v>50008955.340000004</v>
      </c>
      <c r="O20" s="148">
        <f>'2024'!P96</f>
        <v>50246198.769257635</v>
      </c>
      <c r="P20" s="149">
        <f t="shared" si="6"/>
        <v>-237243.4292576313</v>
      </c>
      <c r="Q20" s="151">
        <f t="shared" si="3"/>
        <v>-4.7216194472164963E-3</v>
      </c>
      <c r="R20" s="148">
        <f>'2023'!P20</f>
        <v>47259866.420000002</v>
      </c>
      <c r="S20" s="149">
        <f t="shared" si="4"/>
        <v>2749088.9200000018</v>
      </c>
      <c r="T20" s="153">
        <f t="shared" si="5"/>
        <v>5.8169629502731857E-2</v>
      </c>
      <c r="W20" s="470"/>
      <c r="Y20" s="470"/>
    </row>
    <row r="21" spans="1:25">
      <c r="A21" s="135">
        <v>7122</v>
      </c>
      <c r="B21" s="565" t="str">
        <f>+VLOOKUP($A21,Master!$D$30:$G$226,4,FALSE)</f>
        <v>Doprinosi za zdravstveno osiguranje</v>
      </c>
      <c r="C21" s="566"/>
      <c r="D21" s="566"/>
      <c r="E21" s="566"/>
      <c r="F21" s="566"/>
      <c r="G21" s="148">
        <f>'2024'!S21</f>
        <v>4302666.17</v>
      </c>
      <c r="H21" s="148">
        <f>SUM('2024'!G97:P97)</f>
        <v>3000000</v>
      </c>
      <c r="I21" s="149">
        <f t="shared" si="0"/>
        <v>1302666.17</v>
      </c>
      <c r="J21" s="151">
        <f t="shared" si="1"/>
        <v>0.43422205666666658</v>
      </c>
      <c r="K21" s="148">
        <f>SUM('2023'!G21:P21)</f>
        <v>5473212.9099999992</v>
      </c>
      <c r="L21" s="149">
        <f t="shared" si="7"/>
        <v>-1170546.7399999993</v>
      </c>
      <c r="M21" s="153">
        <f t="shared" si="2"/>
        <v>-0.21386829989042022</v>
      </c>
      <c r="N21" s="148">
        <f>'2024'!P21</f>
        <v>631287.55000000005</v>
      </c>
      <c r="O21" s="148">
        <f>'2024'!P97</f>
        <v>0</v>
      </c>
      <c r="P21" s="149">
        <f t="shared" si="6"/>
        <v>631287.55000000005</v>
      </c>
      <c r="Q21" s="151" t="str">
        <f t="shared" si="3"/>
        <v>...</v>
      </c>
      <c r="R21" s="148">
        <f>'2023'!P21</f>
        <v>464431.04</v>
      </c>
      <c r="S21" s="149">
        <f t="shared" si="4"/>
        <v>166856.51000000007</v>
      </c>
      <c r="T21" s="153">
        <f t="shared" si="5"/>
        <v>0.35927079723181299</v>
      </c>
      <c r="W21" s="470"/>
      <c r="Y21" s="470"/>
    </row>
    <row r="22" spans="1:25">
      <c r="A22" s="135">
        <v>7123</v>
      </c>
      <c r="B22" s="565" t="str">
        <f>+VLOOKUP($A22,Master!$D$30:$G$226,4,FALSE)</f>
        <v>Doprinosi za osiguranje od nezaposlenosti</v>
      </c>
      <c r="C22" s="566"/>
      <c r="D22" s="566"/>
      <c r="E22" s="566"/>
      <c r="F22" s="566"/>
      <c r="G22" s="148">
        <f>'2024'!S22</f>
        <v>20898635.580000002</v>
      </c>
      <c r="H22" s="148">
        <f>SUM('2024'!G98:P98)</f>
        <v>20226063.856757373</v>
      </c>
      <c r="I22" s="149">
        <f t="shared" si="0"/>
        <v>672571.72324262932</v>
      </c>
      <c r="J22" s="151">
        <f t="shared" si="1"/>
        <v>3.325272420802361E-2</v>
      </c>
      <c r="K22" s="148">
        <f>SUM('2023'!G22:P22)</f>
        <v>18435301.399999999</v>
      </c>
      <c r="L22" s="149">
        <f t="shared" si="7"/>
        <v>2463334.1800000034</v>
      </c>
      <c r="M22" s="153">
        <f t="shared" si="2"/>
        <v>0.13362049941857768</v>
      </c>
      <c r="N22" s="148">
        <f>'2024'!P22</f>
        <v>2360830.64</v>
      </c>
      <c r="O22" s="148">
        <f>'2024'!P98</f>
        <v>1799280.6967573734</v>
      </c>
      <c r="P22" s="149">
        <f t="shared" si="6"/>
        <v>561549.94324262673</v>
      </c>
      <c r="Q22" s="151">
        <f t="shared" si="3"/>
        <v>0.31209690864501605</v>
      </c>
      <c r="R22" s="148">
        <f>'2023'!P22</f>
        <v>2219307.1800000002</v>
      </c>
      <c r="S22" s="149">
        <f t="shared" si="4"/>
        <v>141523.45999999996</v>
      </c>
      <c r="T22" s="153">
        <f t="shared" si="5"/>
        <v>6.3769207469513089E-2</v>
      </c>
      <c r="W22" s="470"/>
      <c r="Y22" s="470"/>
    </row>
    <row r="23" spans="1:25">
      <c r="A23" s="135">
        <v>7124</v>
      </c>
      <c r="B23" s="565" t="str">
        <f>+VLOOKUP($A23,Master!$D$30:$G$226,4,FALSE)</f>
        <v>Ostali doprinosi</v>
      </c>
      <c r="C23" s="566"/>
      <c r="D23" s="566"/>
      <c r="E23" s="566"/>
      <c r="F23" s="566"/>
      <c r="G23" s="148">
        <f>'2024'!S23</f>
        <v>15227608.800000001</v>
      </c>
      <c r="H23" s="148">
        <f>SUM('2024'!G99:P99)</f>
        <v>14803990.515853079</v>
      </c>
      <c r="I23" s="149">
        <f t="shared" si="0"/>
        <v>423618.28414692171</v>
      </c>
      <c r="J23" s="151">
        <f t="shared" si="1"/>
        <v>2.8615141552089218E-2</v>
      </c>
      <c r="K23" s="148">
        <f>SUM('2023'!G23:P23)</f>
        <v>13571483.129999999</v>
      </c>
      <c r="L23" s="149">
        <f t="shared" si="7"/>
        <v>1656125.6700000018</v>
      </c>
      <c r="M23" s="153">
        <f t="shared" si="2"/>
        <v>0.12202982195358647</v>
      </c>
      <c r="N23" s="148">
        <f>'2024'!P23</f>
        <v>1761576.8</v>
      </c>
      <c r="O23" s="148">
        <f>'2024'!P99</f>
        <v>1420349.56585308</v>
      </c>
      <c r="P23" s="149">
        <f t="shared" si="6"/>
        <v>341227.23414692003</v>
      </c>
      <c r="Q23" s="151">
        <f t="shared" si="3"/>
        <v>0.24024172805796207</v>
      </c>
      <c r="R23" s="148">
        <f>'2023'!P23</f>
        <v>1660157.64</v>
      </c>
      <c r="S23" s="149">
        <f t="shared" si="4"/>
        <v>101419.16000000015</v>
      </c>
      <c r="T23" s="153">
        <f t="shared" si="5"/>
        <v>6.1090078168721362E-2</v>
      </c>
      <c r="W23" s="470"/>
      <c r="Y23" s="470"/>
    </row>
    <row r="24" spans="1:25">
      <c r="A24" s="135">
        <v>713</v>
      </c>
      <c r="B24" s="567" t="str">
        <f>+VLOOKUP($A24,Master!$D$30:$G$226,4,FALSE)</f>
        <v>Takse</v>
      </c>
      <c r="C24" s="568"/>
      <c r="D24" s="568"/>
      <c r="E24" s="568"/>
      <c r="F24" s="568"/>
      <c r="G24" s="160">
        <f>'2024'!S24</f>
        <v>13458559.160000002</v>
      </c>
      <c r="H24" s="160">
        <f>SUM('2024'!G100:P100)</f>
        <v>13077097.584957359</v>
      </c>
      <c r="I24" s="161">
        <f t="shared" si="0"/>
        <v>381461.57504264265</v>
      </c>
      <c r="J24" s="163">
        <f t="shared" si="1"/>
        <v>2.9170201764146864E-2</v>
      </c>
      <c r="K24" s="160">
        <f>SUM('2023'!G24:P24)</f>
        <v>13057305.98</v>
      </c>
      <c r="L24" s="161">
        <f t="shared" si="7"/>
        <v>401253.18000000156</v>
      </c>
      <c r="M24" s="165">
        <f t="shared" si="2"/>
        <v>3.073016597869449E-2</v>
      </c>
      <c r="N24" s="160">
        <f>'2024'!P24</f>
        <v>1438790.56</v>
      </c>
      <c r="O24" s="160">
        <f>'2024'!P100</f>
        <v>1366751.5629573569</v>
      </c>
      <c r="P24" s="161">
        <f t="shared" si="6"/>
        <v>72038.997042643139</v>
      </c>
      <c r="Q24" s="163">
        <f t="shared" si="3"/>
        <v>5.2708187058345901E-2</v>
      </c>
      <c r="R24" s="160">
        <f>'2023'!P24</f>
        <v>1531116.13</v>
      </c>
      <c r="S24" s="161">
        <f t="shared" si="4"/>
        <v>-92325.569999999832</v>
      </c>
      <c r="T24" s="165">
        <f t="shared" si="5"/>
        <v>-6.0299521500044473E-2</v>
      </c>
      <c r="W24" s="470"/>
      <c r="Y24" s="470"/>
    </row>
    <row r="25" spans="1:25">
      <c r="A25" s="135">
        <v>714</v>
      </c>
      <c r="B25" s="567" t="str">
        <f>+VLOOKUP($A25,Master!$D$30:$G$226,4,FALSE)</f>
        <v>Naknade</v>
      </c>
      <c r="C25" s="568"/>
      <c r="D25" s="568"/>
      <c r="E25" s="568"/>
      <c r="F25" s="568"/>
      <c r="G25" s="160">
        <f>'2024'!S25</f>
        <v>43372442.359999999</v>
      </c>
      <c r="H25" s="160">
        <f>SUM('2024'!G101:P101)</f>
        <v>45667880.279778875</v>
      </c>
      <c r="I25" s="161">
        <f t="shared" si="0"/>
        <v>-2295437.919778876</v>
      </c>
      <c r="J25" s="163">
        <f t="shared" si="1"/>
        <v>-5.0263728154583576E-2</v>
      </c>
      <c r="K25" s="160">
        <f>SUM('2023'!G25:P25)</f>
        <v>46391950.980000004</v>
      </c>
      <c r="L25" s="161">
        <f t="shared" si="7"/>
        <v>-3019508.6200000048</v>
      </c>
      <c r="M25" s="165">
        <f t="shared" si="2"/>
        <v>-6.5086907453013598E-2</v>
      </c>
      <c r="N25" s="160">
        <f>'2024'!P25</f>
        <v>5561939.7699999996</v>
      </c>
      <c r="O25" s="160">
        <f>'2024'!P101</f>
        <v>8444856.5697788838</v>
      </c>
      <c r="P25" s="161">
        <f t="shared" si="6"/>
        <v>-2882916.7997788843</v>
      </c>
      <c r="Q25" s="163">
        <f t="shared" si="3"/>
        <v>-0.34138138119430128</v>
      </c>
      <c r="R25" s="160">
        <f>'2023'!P25</f>
        <v>3955363.51</v>
      </c>
      <c r="S25" s="161">
        <f t="shared" si="4"/>
        <v>1606576.2599999998</v>
      </c>
      <c r="T25" s="165">
        <f t="shared" si="5"/>
        <v>0.40617663988107133</v>
      </c>
      <c r="W25" s="470"/>
      <c r="Y25" s="470"/>
    </row>
    <row r="26" spans="1:25">
      <c r="A26" s="135">
        <v>715</v>
      </c>
      <c r="B26" s="567" t="str">
        <f>+VLOOKUP($A26,Master!$D$30:$G$226,4,FALSE)</f>
        <v>Ostali prihodi</v>
      </c>
      <c r="C26" s="568"/>
      <c r="D26" s="568"/>
      <c r="E26" s="568"/>
      <c r="F26" s="568"/>
      <c r="G26" s="160">
        <f>'2024'!S26</f>
        <v>77944557.49000001</v>
      </c>
      <c r="H26" s="160">
        <f>SUM('2024'!G102:P102)</f>
        <v>81370330.43705292</v>
      </c>
      <c r="I26" s="161">
        <f t="shared" si="0"/>
        <v>-3425772.9470529109</v>
      </c>
      <c r="J26" s="163">
        <f t="shared" si="1"/>
        <v>-4.2101008176475885E-2</v>
      </c>
      <c r="K26" s="160">
        <f>SUM('2023'!G26:P26)</f>
        <v>157480399.95999998</v>
      </c>
      <c r="L26" s="161">
        <f t="shared" si="7"/>
        <v>-79535842.469999969</v>
      </c>
      <c r="M26" s="165">
        <f t="shared" si="2"/>
        <v>-0.50505232708452652</v>
      </c>
      <c r="N26" s="160">
        <f>'2024'!P26</f>
        <v>2158978.42</v>
      </c>
      <c r="O26" s="160">
        <f>'2024'!P102</f>
        <v>14669178.907052923</v>
      </c>
      <c r="P26" s="161">
        <f t="shared" si="6"/>
        <v>-12510200.487052923</v>
      </c>
      <c r="Q26" s="163">
        <f t="shared" si="3"/>
        <v>-0.85282213587551481</v>
      </c>
      <c r="R26" s="160">
        <f>'2023'!P26</f>
        <v>14370883.219999999</v>
      </c>
      <c r="S26" s="161">
        <f t="shared" si="4"/>
        <v>-12211904.799999999</v>
      </c>
      <c r="T26" s="165">
        <f t="shared" si="5"/>
        <v>-0.84976717248698086</v>
      </c>
      <c r="W26" s="470"/>
      <c r="Y26" s="470"/>
    </row>
    <row r="27" spans="1:25">
      <c r="A27" s="135">
        <v>73</v>
      </c>
      <c r="B27" s="567" t="str">
        <f>+VLOOKUP($A27,Master!$D$30:$G$226,4,FALSE)</f>
        <v>Primici od otplate kredita i sredstva prenesena iz prethodne godine</v>
      </c>
      <c r="C27" s="568"/>
      <c r="D27" s="568"/>
      <c r="E27" s="568"/>
      <c r="F27" s="568"/>
      <c r="G27" s="160">
        <f>'2024'!S27</f>
        <v>0</v>
      </c>
      <c r="H27" s="160">
        <f>SUM('2024'!G103:P103)</f>
        <v>0</v>
      </c>
      <c r="I27" s="161">
        <f t="shared" si="0"/>
        <v>0</v>
      </c>
      <c r="J27" s="163" t="str">
        <f t="shared" si="1"/>
        <v>...</v>
      </c>
      <c r="K27" s="160">
        <f>SUM('2023'!G27:P27)</f>
        <v>0</v>
      </c>
      <c r="L27" s="161">
        <f t="shared" si="7"/>
        <v>0</v>
      </c>
      <c r="M27" s="165" t="str">
        <f t="shared" si="2"/>
        <v>...</v>
      </c>
      <c r="N27" s="160">
        <f>'2024'!P27</f>
        <v>0</v>
      </c>
      <c r="O27" s="160">
        <f>'2024'!P103</f>
        <v>0</v>
      </c>
      <c r="P27" s="161">
        <f t="shared" si="6"/>
        <v>0</v>
      </c>
      <c r="Q27" s="163" t="str">
        <f t="shared" si="3"/>
        <v>...</v>
      </c>
      <c r="R27" s="160">
        <f>'2023'!P27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571" t="str">
        <f>+VLOOKUP($A28,Master!$D$30:$G$226,4,FALSE)</f>
        <v>Donacije i transferi</v>
      </c>
      <c r="C28" s="572"/>
      <c r="D28" s="572"/>
      <c r="E28" s="572"/>
      <c r="F28" s="572"/>
      <c r="G28" s="160">
        <f>'2024'!S28</f>
        <v>28988077.289999999</v>
      </c>
      <c r="H28" s="160">
        <f>SUM('2024'!G104:P104)</f>
        <v>26466637.007777821</v>
      </c>
      <c r="I28" s="161">
        <f t="shared" si="0"/>
        <v>2521440.2822221778</v>
      </c>
      <c r="J28" s="163">
        <f t="shared" si="1"/>
        <v>9.5268631276470561E-2</v>
      </c>
      <c r="K28" s="160">
        <f>SUM('2023'!G28:P28)</f>
        <v>55754131.400000006</v>
      </c>
      <c r="L28" s="161">
        <f t="shared" si="7"/>
        <v>-26766054.110000007</v>
      </c>
      <c r="M28" s="165">
        <f t="shared" si="2"/>
        <v>-0.48007301769210242</v>
      </c>
      <c r="N28" s="160">
        <f>'2024'!P28</f>
        <v>5570791.1399999997</v>
      </c>
      <c r="O28" s="160">
        <f>'2024'!P104</f>
        <v>4071103.767777822</v>
      </c>
      <c r="P28" s="161">
        <f t="shared" si="6"/>
        <v>1499687.3722221777</v>
      </c>
      <c r="Q28" s="163">
        <f t="shared" si="3"/>
        <v>0.36837365436174307</v>
      </c>
      <c r="R28" s="160">
        <f>'2023'!P28</f>
        <v>2519848.84</v>
      </c>
      <c r="S28" s="161">
        <f t="shared" si="4"/>
        <v>3050942.3</v>
      </c>
      <c r="T28" s="165">
        <f t="shared" si="5"/>
        <v>1.2107640155113431</v>
      </c>
      <c r="W28" s="470"/>
      <c r="Y28" s="470"/>
    </row>
    <row r="29" spans="1:25" ht="15.75" thickBot="1">
      <c r="A29" s="135">
        <v>4</v>
      </c>
      <c r="B29" s="573" t="str">
        <f>+VLOOKUP($A29,Master!$D$30:$G$226,4,FALSE)</f>
        <v>Izdaci budžeta</v>
      </c>
      <c r="C29" s="574"/>
      <c r="D29" s="574"/>
      <c r="E29" s="574"/>
      <c r="F29" s="574"/>
      <c r="G29" s="136">
        <f>'2024'!S29</f>
        <v>2242570708.5199995</v>
      </c>
      <c r="H29" s="136">
        <f>SUM('2024'!G105:P105)</f>
        <v>2389093173.8399997</v>
      </c>
      <c r="I29" s="137">
        <f t="shared" si="0"/>
        <v>-146522465.32000017</v>
      </c>
      <c r="J29" s="139">
        <f t="shared" si="1"/>
        <v>-6.1329740892647533E-2</v>
      </c>
      <c r="K29" s="136">
        <f>SUM('2023'!G29:P29)</f>
        <v>1940165223</v>
      </c>
      <c r="L29" s="137">
        <f t="shared" si="7"/>
        <v>302405485.5199995</v>
      </c>
      <c r="M29" s="141">
        <f t="shared" si="2"/>
        <v>0.15586584170001871</v>
      </c>
      <c r="N29" s="136">
        <f>'2024'!P29</f>
        <v>253541261.47</v>
      </c>
      <c r="O29" s="136">
        <f>'2024'!P105</f>
        <v>309512241.25</v>
      </c>
      <c r="P29" s="137">
        <f t="shared" si="6"/>
        <v>-55970979.780000001</v>
      </c>
      <c r="Q29" s="139">
        <f t="shared" si="3"/>
        <v>-0.18083607793331502</v>
      </c>
      <c r="R29" s="136">
        <f>'2023'!P29</f>
        <v>213080411.16999999</v>
      </c>
      <c r="S29" s="137">
        <f t="shared" si="4"/>
        <v>40460850.300000012</v>
      </c>
      <c r="T29" s="141">
        <f t="shared" si="5"/>
        <v>0.18988535866734124</v>
      </c>
      <c r="W29" s="470"/>
      <c r="Y29" s="470"/>
    </row>
    <row r="30" spans="1:25">
      <c r="A30" s="135">
        <v>41</v>
      </c>
      <c r="B30" s="577" t="str">
        <f>+VLOOKUP($A30,Master!$D$30:$G$226,4,FALSE)</f>
        <v>Tekući izdaci</v>
      </c>
      <c r="C30" s="578"/>
      <c r="D30" s="578"/>
      <c r="E30" s="578"/>
      <c r="F30" s="578"/>
      <c r="G30" s="294">
        <f>'2024'!S30</f>
        <v>895607150.5</v>
      </c>
      <c r="H30" s="294">
        <f>SUM('2024'!G106:P106)</f>
        <v>974028567.56999993</v>
      </c>
      <c r="I30" s="173">
        <f t="shared" si="0"/>
        <v>-78421417.069999933</v>
      </c>
      <c r="J30" s="175">
        <f t="shared" si="1"/>
        <v>-8.0512440477639391E-2</v>
      </c>
      <c r="K30" s="294">
        <f>SUM('2023'!G30:P30)</f>
        <v>816114738.86999989</v>
      </c>
      <c r="L30" s="173">
        <f t="shared" si="7"/>
        <v>79492411.630000114</v>
      </c>
      <c r="M30" s="177">
        <f t="shared" si="2"/>
        <v>9.7403475080067858E-2</v>
      </c>
      <c r="N30" s="294">
        <f>'2024'!P30</f>
        <v>104934247.92</v>
      </c>
      <c r="O30" s="294">
        <f>'2024'!P106</f>
        <v>126609704.89000003</v>
      </c>
      <c r="P30" s="173">
        <f t="shared" si="6"/>
        <v>-21675456.970000029</v>
      </c>
      <c r="Q30" s="175">
        <f t="shared" si="3"/>
        <v>-0.17119901660644354</v>
      </c>
      <c r="R30" s="294">
        <f>'2023'!P30</f>
        <v>82133761.140000001</v>
      </c>
      <c r="S30" s="173">
        <f t="shared" si="4"/>
        <v>22800486.780000001</v>
      </c>
      <c r="T30" s="177">
        <f t="shared" si="5"/>
        <v>0.2776018833611642</v>
      </c>
      <c r="W30" s="470"/>
      <c r="Y30" s="470"/>
    </row>
    <row r="31" spans="1:25">
      <c r="A31" s="135">
        <v>411</v>
      </c>
      <c r="B31" s="565" t="str">
        <f>+VLOOKUP($A31,Master!$D$30:$G$226,4,FALSE)</f>
        <v>Bruto zarade i doprinosi na teret poslodavca</v>
      </c>
      <c r="C31" s="566"/>
      <c r="D31" s="566"/>
      <c r="E31" s="566"/>
      <c r="F31" s="566"/>
      <c r="G31" s="148">
        <f>'2024'!S31</f>
        <v>561153024.80000007</v>
      </c>
      <c r="H31" s="148">
        <f>SUM('2024'!G107:P107)</f>
        <v>572937891.58999991</v>
      </c>
      <c r="I31" s="149">
        <f t="shared" si="0"/>
        <v>-11784866.789999843</v>
      </c>
      <c r="J31" s="151">
        <f t="shared" si="1"/>
        <v>-2.0569187276643253E-2</v>
      </c>
      <c r="K31" s="148">
        <f>SUM('2023'!G31:P31)</f>
        <v>526104915.06000006</v>
      </c>
      <c r="L31" s="149">
        <f t="shared" si="7"/>
        <v>35048109.74000001</v>
      </c>
      <c r="M31" s="153">
        <f t="shared" si="2"/>
        <v>6.6618099806201148E-2</v>
      </c>
      <c r="N31" s="148">
        <f>'2024'!P31</f>
        <v>57172944.25</v>
      </c>
      <c r="O31" s="148">
        <f>'2024'!P107</f>
        <v>62805999.470000014</v>
      </c>
      <c r="P31" s="149">
        <f>+N31-O31</f>
        <v>-5633055.2200000137</v>
      </c>
      <c r="Q31" s="151">
        <f>IF(+IF(ISERROR(N31/O31),"…",N31/O31-1)&gt;200%,"...",IF(ISERROR(N31/O31),"…",N31/O31-1))</f>
        <v>-8.9689763199942485E-2</v>
      </c>
      <c r="R31" s="148">
        <f>'2023'!P31</f>
        <v>52607962.630000003</v>
      </c>
      <c r="S31" s="149">
        <f t="shared" si="4"/>
        <v>4564981.6199999973</v>
      </c>
      <c r="T31" s="153">
        <f t="shared" si="5"/>
        <v>8.6773586958807547E-2</v>
      </c>
      <c r="W31" s="470"/>
      <c r="Y31" s="470"/>
    </row>
    <row r="32" spans="1:25">
      <c r="A32" s="135">
        <v>412</v>
      </c>
      <c r="B32" s="565" t="str">
        <f>+VLOOKUP($A32,Master!$D$30:$G$226,4,FALSE)</f>
        <v>Ostala lična primanja</v>
      </c>
      <c r="C32" s="566"/>
      <c r="D32" s="566"/>
      <c r="E32" s="566"/>
      <c r="F32" s="566"/>
      <c r="G32" s="148">
        <f>'2024'!S32</f>
        <v>15520936.799999999</v>
      </c>
      <c r="H32" s="148">
        <f>SUM('2024'!G108:P108)</f>
        <v>17766138.48</v>
      </c>
      <c r="I32" s="149">
        <f t="shared" si="0"/>
        <v>-2245201.6800000016</v>
      </c>
      <c r="J32" s="151">
        <f t="shared" si="1"/>
        <v>-0.1263753337579524</v>
      </c>
      <c r="K32" s="148">
        <f>SUM('2023'!G32:P32)</f>
        <v>14007201.139999997</v>
      </c>
      <c r="L32" s="149">
        <f t="shared" si="7"/>
        <v>1513735.660000002</v>
      </c>
      <c r="M32" s="153">
        <f t="shared" si="2"/>
        <v>0.10806838888586157</v>
      </c>
      <c r="N32" s="148">
        <f>'2024'!P32</f>
        <v>1989821.8199999996</v>
      </c>
      <c r="O32" s="148">
        <f>'2024'!P108</f>
        <v>2604939.939999999</v>
      </c>
      <c r="P32" s="149">
        <f t="shared" si="6"/>
        <v>-615118.11999999941</v>
      </c>
      <c r="Q32" s="151">
        <f t="shared" si="3"/>
        <v>-0.23613524079944803</v>
      </c>
      <c r="R32" s="148">
        <f>'2023'!P32</f>
        <v>1738182.76</v>
      </c>
      <c r="S32" s="149">
        <f t="shared" si="4"/>
        <v>251639.05999999959</v>
      </c>
      <c r="T32" s="153">
        <f t="shared" si="5"/>
        <v>0.14477134728916519</v>
      </c>
      <c r="W32" s="470"/>
      <c r="Y32" s="470"/>
    </row>
    <row r="33" spans="1:25">
      <c r="A33" s="135">
        <v>413</v>
      </c>
      <c r="B33" s="565" t="str">
        <f>+VLOOKUP($A33,Master!$D$30:$G$226,4,FALSE)</f>
        <v>Rashodi za materijal</v>
      </c>
      <c r="C33" s="566"/>
      <c r="D33" s="566"/>
      <c r="E33" s="566"/>
      <c r="F33" s="566"/>
      <c r="G33" s="148">
        <f>'2024'!S33</f>
        <v>27854489.290000003</v>
      </c>
      <c r="H33" s="148">
        <f>SUM('2024'!G109:P109)</f>
        <v>39861202.229999989</v>
      </c>
      <c r="I33" s="149">
        <f t="shared" si="0"/>
        <v>-12006712.939999986</v>
      </c>
      <c r="J33" s="151">
        <f t="shared" si="1"/>
        <v>-0.30121301587245153</v>
      </c>
      <c r="K33" s="148">
        <f>SUM('2023'!G33:P33)</f>
        <v>31112149.720000003</v>
      </c>
      <c r="L33" s="149">
        <f t="shared" si="7"/>
        <v>-3257660.4299999997</v>
      </c>
      <c r="M33" s="153">
        <f t="shared" si="2"/>
        <v>-0.1047070182972879</v>
      </c>
      <c r="N33" s="148">
        <f>'2024'!P33</f>
        <v>3461755.82</v>
      </c>
      <c r="O33" s="148">
        <f>'2024'!P109</f>
        <v>5015153.0199999968</v>
      </c>
      <c r="P33" s="149">
        <f t="shared" si="6"/>
        <v>-1553397.1999999969</v>
      </c>
      <c r="Q33" s="151">
        <f t="shared" si="3"/>
        <v>-0.30974073847900219</v>
      </c>
      <c r="R33" s="148">
        <f>'2023'!P33</f>
        <v>2980903.44</v>
      </c>
      <c r="S33" s="149">
        <f t="shared" si="4"/>
        <v>480852.37999999989</v>
      </c>
      <c r="T33" s="153">
        <f t="shared" si="5"/>
        <v>0.16131095477550916</v>
      </c>
      <c r="W33" s="470"/>
      <c r="Y33" s="470"/>
    </row>
    <row r="34" spans="1:25">
      <c r="A34" s="135">
        <v>414</v>
      </c>
      <c r="B34" s="565" t="str">
        <f>+VLOOKUP($A34,Master!$D$30:$G$226,4,FALSE)</f>
        <v>Rashodi za usluge</v>
      </c>
      <c r="C34" s="566"/>
      <c r="D34" s="566"/>
      <c r="E34" s="566"/>
      <c r="F34" s="566"/>
      <c r="G34" s="148">
        <f>'2024'!S34</f>
        <v>49098523.789999992</v>
      </c>
      <c r="H34" s="148">
        <f>SUM('2024'!G110:P110)</f>
        <v>60105618.190000013</v>
      </c>
      <c r="I34" s="149">
        <f t="shared" si="0"/>
        <v>-11007094.400000021</v>
      </c>
      <c r="J34" s="151">
        <f t="shared" si="1"/>
        <v>-0.18312921040434971</v>
      </c>
      <c r="K34" s="148">
        <f>SUM('2023'!G34:P34)</f>
        <v>51382328.989999995</v>
      </c>
      <c r="L34" s="149">
        <f t="shared" si="7"/>
        <v>-2283805.200000003</v>
      </c>
      <c r="M34" s="153">
        <f t="shared" si="2"/>
        <v>-4.4447288491817449E-2</v>
      </c>
      <c r="N34" s="148">
        <f>'2024'!P34</f>
        <v>7261158.9799999995</v>
      </c>
      <c r="O34" s="148">
        <f>'2024'!P110</f>
        <v>10908881.100000005</v>
      </c>
      <c r="P34" s="149">
        <f t="shared" si="6"/>
        <v>-3647722.1200000057</v>
      </c>
      <c r="Q34" s="151">
        <f t="shared" si="3"/>
        <v>-0.33438095864845419</v>
      </c>
      <c r="R34" s="148">
        <f>'2023'!P34</f>
        <v>7914517.2699999996</v>
      </c>
      <c r="S34" s="149">
        <f t="shared" si="4"/>
        <v>-653358.29</v>
      </c>
      <c r="T34" s="153">
        <f t="shared" si="5"/>
        <v>-8.2551881272223238E-2</v>
      </c>
      <c r="W34" s="470"/>
      <c r="Y34" s="470"/>
    </row>
    <row r="35" spans="1:25">
      <c r="A35" s="135">
        <v>415</v>
      </c>
      <c r="B35" s="565" t="str">
        <f>+VLOOKUP($A35,Master!$D$30:$G$226,4,FALSE)</f>
        <v>Rashodi za tekuće održavanje</v>
      </c>
      <c r="C35" s="566"/>
      <c r="D35" s="566"/>
      <c r="E35" s="566"/>
      <c r="F35" s="566"/>
      <c r="G35" s="148">
        <f>'2024'!S35</f>
        <v>23342710.770000003</v>
      </c>
      <c r="H35" s="148">
        <f>SUM('2024'!G111:P111)</f>
        <v>29751943.819999997</v>
      </c>
      <c r="I35" s="149">
        <f t="shared" si="0"/>
        <v>-6409233.0499999933</v>
      </c>
      <c r="J35" s="151">
        <f t="shared" si="1"/>
        <v>-0.21542232967284469</v>
      </c>
      <c r="K35" s="148">
        <f>SUM('2023'!G35:P35)</f>
        <v>20373841.719999999</v>
      </c>
      <c r="L35" s="149">
        <f t="shared" si="7"/>
        <v>2968869.0500000045</v>
      </c>
      <c r="M35" s="153">
        <f t="shared" si="2"/>
        <v>0.14571964830204864</v>
      </c>
      <c r="N35" s="148">
        <f>'2024'!P35</f>
        <v>2530485.4200000004</v>
      </c>
      <c r="O35" s="148">
        <f>'2024'!P111</f>
        <v>4676428.2699999996</v>
      </c>
      <c r="P35" s="149">
        <f t="shared" si="6"/>
        <v>-2145942.8499999992</v>
      </c>
      <c r="Q35" s="151">
        <f t="shared" si="3"/>
        <v>-0.45888501354047273</v>
      </c>
      <c r="R35" s="148">
        <f>'2023'!P35</f>
        <v>4021885.51</v>
      </c>
      <c r="S35" s="149">
        <f t="shared" si="4"/>
        <v>-1491400.0899999994</v>
      </c>
      <c r="T35" s="153">
        <f t="shared" si="5"/>
        <v>-0.37082112016659552</v>
      </c>
      <c r="W35" s="470"/>
      <c r="Y35" s="470"/>
    </row>
    <row r="36" spans="1:25">
      <c r="A36" s="135">
        <v>416</v>
      </c>
      <c r="B36" s="565" t="str">
        <f>+VLOOKUP($A36,Master!$D$30:$G$226,4,FALSE)</f>
        <v>Kamate</v>
      </c>
      <c r="C36" s="566"/>
      <c r="D36" s="566"/>
      <c r="E36" s="566"/>
      <c r="F36" s="566"/>
      <c r="G36" s="148">
        <f>'2024'!S36</f>
        <v>108979114.41999999</v>
      </c>
      <c r="H36" s="148">
        <f>SUM('2024'!G112:P112)</f>
        <v>112254042.36000001</v>
      </c>
      <c r="I36" s="149">
        <f t="shared" si="0"/>
        <v>-3274927.9400000274</v>
      </c>
      <c r="J36" s="151">
        <f t="shared" si="1"/>
        <v>-2.9174253961361085E-2</v>
      </c>
      <c r="K36" s="148">
        <f>SUM('2023'!G36:P36)</f>
        <v>81614276.150000006</v>
      </c>
      <c r="L36" s="149">
        <f t="shared" si="7"/>
        <v>27364838.269999981</v>
      </c>
      <c r="M36" s="153">
        <f t="shared" si="2"/>
        <v>0.33529474941008819</v>
      </c>
      <c r="N36" s="148">
        <f>'2024'!P36</f>
        <v>14869850.659999998</v>
      </c>
      <c r="O36" s="148">
        <f>'2024'!P112</f>
        <v>17655486.75</v>
      </c>
      <c r="P36" s="149">
        <f t="shared" si="6"/>
        <v>-2785636.0900000017</v>
      </c>
      <c r="Q36" s="151">
        <f t="shared" si="3"/>
        <v>-0.15777736006060561</v>
      </c>
      <c r="R36" s="148">
        <f>'2023'!P36</f>
        <v>2174027.4</v>
      </c>
      <c r="S36" s="149">
        <f t="shared" si="4"/>
        <v>12695823.259999998</v>
      </c>
      <c r="T36" s="153" t="str">
        <f t="shared" si="5"/>
        <v>...</v>
      </c>
      <c r="W36" s="470"/>
      <c r="Y36" s="470"/>
    </row>
    <row r="37" spans="1:25">
      <c r="A37" s="135">
        <v>417</v>
      </c>
      <c r="B37" s="565" t="str">
        <f>+VLOOKUP($A37,Master!$D$30:$G$226,4,FALSE)</f>
        <v>Renta</v>
      </c>
      <c r="C37" s="566"/>
      <c r="D37" s="566"/>
      <c r="E37" s="566"/>
      <c r="F37" s="566"/>
      <c r="G37" s="148">
        <f>'2024'!S37</f>
        <v>8934689.5100000016</v>
      </c>
      <c r="H37" s="148">
        <f>SUM('2024'!G113:P113)</f>
        <v>11554943.68</v>
      </c>
      <c r="I37" s="149">
        <f t="shared" si="0"/>
        <v>-2620254.1699999981</v>
      </c>
      <c r="J37" s="151">
        <f t="shared" si="1"/>
        <v>-0.22676477208065438</v>
      </c>
      <c r="K37" s="148">
        <f>SUM('2023'!G37:P37)</f>
        <v>8707961.5600000005</v>
      </c>
      <c r="L37" s="149">
        <f t="shared" si="7"/>
        <v>226727.95000000112</v>
      </c>
      <c r="M37" s="153">
        <f t="shared" si="2"/>
        <v>2.6036857011573877E-2</v>
      </c>
      <c r="N37" s="148">
        <f>'2024'!P37</f>
        <v>871596.95000000019</v>
      </c>
      <c r="O37" s="148">
        <f>'2024'!P113</f>
        <v>1251288.0399999998</v>
      </c>
      <c r="P37" s="149">
        <f t="shared" si="6"/>
        <v>-379691.08999999962</v>
      </c>
      <c r="Q37" s="151">
        <f t="shared" si="3"/>
        <v>-0.30344019751039875</v>
      </c>
      <c r="R37" s="148">
        <f>'2023'!P37</f>
        <v>1474426.95</v>
      </c>
      <c r="S37" s="149">
        <f t="shared" si="4"/>
        <v>-602829.99999999977</v>
      </c>
      <c r="T37" s="153">
        <f t="shared" si="5"/>
        <v>-0.40885714955223773</v>
      </c>
      <c r="W37" s="470"/>
      <c r="Y37" s="470"/>
    </row>
    <row r="38" spans="1:25">
      <c r="A38" s="135">
        <v>418</v>
      </c>
      <c r="B38" s="565" t="str">
        <f>+VLOOKUP($A38,Master!$D$30:$G$226,4,FALSE)</f>
        <v>Subvencije</v>
      </c>
      <c r="C38" s="566"/>
      <c r="D38" s="566"/>
      <c r="E38" s="566"/>
      <c r="F38" s="566"/>
      <c r="G38" s="148">
        <f>'2024'!S38</f>
        <v>56825785.11999996</v>
      </c>
      <c r="H38" s="148">
        <f>SUM('2024'!G114:P114)</f>
        <v>62350715.920000017</v>
      </c>
      <c r="I38" s="149">
        <f t="shared" si="0"/>
        <v>-5524930.8000000566</v>
      </c>
      <c r="J38" s="151">
        <f t="shared" si="1"/>
        <v>-8.8610543094467364E-2</v>
      </c>
      <c r="K38" s="148">
        <f>SUM('2023'!G38:P38)</f>
        <v>44543899.18</v>
      </c>
      <c r="L38" s="149">
        <f t="shared" si="7"/>
        <v>12281885.93999996</v>
      </c>
      <c r="M38" s="153">
        <f t="shared" si="2"/>
        <v>0.27572543414687112</v>
      </c>
      <c r="N38" s="148">
        <f>'2024'!P38</f>
        <v>11936637.319999991</v>
      </c>
      <c r="O38" s="148">
        <f>'2024'!P114</f>
        <v>9829142.0100000016</v>
      </c>
      <c r="P38" s="149">
        <f t="shared" si="6"/>
        <v>2107495.3099999893</v>
      </c>
      <c r="Q38" s="151">
        <f t="shared" si="3"/>
        <v>0.21441294752439832</v>
      </c>
      <c r="R38" s="148">
        <f>'2023'!P38</f>
        <v>4531530.57</v>
      </c>
      <c r="S38" s="149">
        <f t="shared" si="4"/>
        <v>7405106.7499999907</v>
      </c>
      <c r="T38" s="153">
        <f t="shared" si="5"/>
        <v>1.6341292716910858</v>
      </c>
      <c r="W38" s="470"/>
      <c r="Y38" s="470"/>
    </row>
    <row r="39" spans="1:25">
      <c r="A39" s="135">
        <v>419</v>
      </c>
      <c r="B39" s="565" t="str">
        <f>+VLOOKUP($A39,Master!$D$30:$G$226,4,FALSE)</f>
        <v>Ostali izdaci</v>
      </c>
      <c r="C39" s="566"/>
      <c r="D39" s="566"/>
      <c r="E39" s="566"/>
      <c r="F39" s="566"/>
      <c r="G39" s="148">
        <f>'2024'!S39</f>
        <v>43897876</v>
      </c>
      <c r="H39" s="148">
        <f>SUM('2024'!G115:P115)</f>
        <v>67446071.300000012</v>
      </c>
      <c r="I39" s="149">
        <f t="shared" si="0"/>
        <v>-23548195.300000012</v>
      </c>
      <c r="J39" s="151">
        <f t="shared" si="1"/>
        <v>-0.34914109667348414</v>
      </c>
      <c r="K39" s="148">
        <f>SUM('2023'!G39:P39)</f>
        <v>38268165.349999994</v>
      </c>
      <c r="L39" s="149">
        <f t="shared" si="7"/>
        <v>5629710.650000006</v>
      </c>
      <c r="M39" s="153">
        <f t="shared" si="2"/>
        <v>0.14711211260092472</v>
      </c>
      <c r="N39" s="148">
        <f>'2024'!P39</f>
        <v>4839996.7</v>
      </c>
      <c r="O39" s="148">
        <f>'2024'!P115</f>
        <v>11862386.290000007</v>
      </c>
      <c r="P39" s="149">
        <f t="shared" si="6"/>
        <v>-7022389.5900000064</v>
      </c>
      <c r="Q39" s="151">
        <f t="shared" si="3"/>
        <v>-0.5919879371926946</v>
      </c>
      <c r="R39" s="148">
        <f>'2023'!P39</f>
        <v>4690324.6100000003</v>
      </c>
      <c r="S39" s="149">
        <f t="shared" si="4"/>
        <v>149672.08999999985</v>
      </c>
      <c r="T39" s="153">
        <f t="shared" si="5"/>
        <v>3.1910816935973196E-2</v>
      </c>
      <c r="W39" s="470"/>
      <c r="Y39" s="470"/>
    </row>
    <row r="40" spans="1:25">
      <c r="A40" s="135">
        <v>42</v>
      </c>
      <c r="B40" s="581" t="str">
        <f>+VLOOKUP($A40,Master!$D$30:$G$226,4,FALSE)</f>
        <v>Transferi za socijalnu zaštitu</v>
      </c>
      <c r="C40" s="582"/>
      <c r="D40" s="582"/>
      <c r="E40" s="582"/>
      <c r="F40" s="582"/>
      <c r="G40" s="178">
        <f>'2024'!S40</f>
        <v>826796521.19999981</v>
      </c>
      <c r="H40" s="178">
        <f>SUM('2024'!G116:P116)</f>
        <v>833727399.74000001</v>
      </c>
      <c r="I40" s="179">
        <f t="shared" si="0"/>
        <v>-6930878.5400002003</v>
      </c>
      <c r="J40" s="181">
        <f t="shared" si="1"/>
        <v>-8.3131231409230288E-3</v>
      </c>
      <c r="K40" s="178">
        <f>SUM('2023'!G40:P40)</f>
        <v>673062036.43999994</v>
      </c>
      <c r="L40" s="179">
        <f t="shared" si="7"/>
        <v>153734484.75999987</v>
      </c>
      <c r="M40" s="183">
        <f t="shared" si="2"/>
        <v>0.22841057203752202</v>
      </c>
      <c r="N40" s="178">
        <f>'2024'!P40</f>
        <v>86741421.589999989</v>
      </c>
      <c r="O40" s="178">
        <f>'2024'!P116</f>
        <v>86802593.00999999</v>
      </c>
      <c r="P40" s="179">
        <f t="shared" si="6"/>
        <v>-61171.420000001788</v>
      </c>
      <c r="Q40" s="181">
        <f t="shared" si="3"/>
        <v>-7.0471880941336273E-4</v>
      </c>
      <c r="R40" s="178">
        <f>'2023'!P40</f>
        <v>74279759.519999996</v>
      </c>
      <c r="S40" s="179">
        <f t="shared" si="4"/>
        <v>12461662.069999993</v>
      </c>
      <c r="T40" s="183">
        <f t="shared" si="5"/>
        <v>0.16776659147159267</v>
      </c>
      <c r="W40" s="470"/>
      <c r="Y40" s="470"/>
    </row>
    <row r="41" spans="1:25">
      <c r="A41" s="135">
        <v>421</v>
      </c>
      <c r="B41" s="565" t="str">
        <f>+VLOOKUP($A41,Master!$D$30:$G$226,4,FALSE)</f>
        <v>Prava iz oblasti socijalne zaštite</v>
      </c>
      <c r="C41" s="566"/>
      <c r="D41" s="566"/>
      <c r="E41" s="566"/>
      <c r="F41" s="566"/>
      <c r="G41" s="148">
        <f>'2024'!S41</f>
        <v>174987378.38</v>
      </c>
      <c r="H41" s="148">
        <f>SUM('2024'!G117:P117)</f>
        <v>175915157.35000002</v>
      </c>
      <c r="I41" s="149">
        <f t="shared" si="0"/>
        <v>-927778.97000002861</v>
      </c>
      <c r="J41" s="151">
        <f t="shared" si="1"/>
        <v>-5.2740138142509663E-3</v>
      </c>
      <c r="K41" s="148">
        <f>SUM('2023'!G41:P41)</f>
        <v>173053565.37</v>
      </c>
      <c r="L41" s="149">
        <f t="shared" si="7"/>
        <v>1933813.0099999905</v>
      </c>
      <c r="M41" s="153">
        <f t="shared" si="2"/>
        <v>1.1174649917586876E-2</v>
      </c>
      <c r="N41" s="148">
        <f>'2024'!P41</f>
        <v>18980290.810000002</v>
      </c>
      <c r="O41" s="148">
        <f>'2024'!P117</f>
        <v>18073921.359999999</v>
      </c>
      <c r="P41" s="149">
        <f t="shared" si="6"/>
        <v>906369.45000000298</v>
      </c>
      <c r="Q41" s="151">
        <f t="shared" si="3"/>
        <v>5.014791377846306E-2</v>
      </c>
      <c r="R41" s="148">
        <f>'2023'!P41</f>
        <v>18298777.300000001</v>
      </c>
      <c r="S41" s="149">
        <f t="shared" si="4"/>
        <v>681513.51000000164</v>
      </c>
      <c r="T41" s="153">
        <f t="shared" si="5"/>
        <v>3.7243663815724082E-2</v>
      </c>
      <c r="W41" s="470"/>
      <c r="Y41" s="470"/>
    </row>
    <row r="42" spans="1:25">
      <c r="A42" s="135">
        <v>422</v>
      </c>
      <c r="B42" s="565" t="str">
        <f>+VLOOKUP($A42,Master!$D$30:$G$226,4,FALSE)</f>
        <v>Sredstva za tehnološke viškove</v>
      </c>
      <c r="C42" s="566"/>
      <c r="D42" s="566"/>
      <c r="E42" s="566"/>
      <c r="F42" s="566"/>
      <c r="G42" s="148">
        <f>'2024'!S42</f>
        <v>17065293.100000001</v>
      </c>
      <c r="H42" s="148">
        <f>SUM('2024'!G118:P118)</f>
        <v>17300630.370000001</v>
      </c>
      <c r="I42" s="149">
        <f t="shared" si="0"/>
        <v>-235337.26999999955</v>
      </c>
      <c r="J42" s="151">
        <f t="shared" si="1"/>
        <v>-1.360281475107894E-2</v>
      </c>
      <c r="K42" s="148">
        <f>SUM('2023'!G42:P42)</f>
        <v>18388552.309999999</v>
      </c>
      <c r="L42" s="149">
        <f t="shared" si="7"/>
        <v>-1323259.2099999972</v>
      </c>
      <c r="M42" s="153">
        <f t="shared" si="2"/>
        <v>-7.1961032477819709E-2</v>
      </c>
      <c r="N42" s="148">
        <f>'2024'!P42</f>
        <v>1817889.25</v>
      </c>
      <c r="O42" s="148">
        <f>'2024'!P118</f>
        <v>1817334.8199999998</v>
      </c>
      <c r="P42" s="149">
        <f t="shared" si="6"/>
        <v>554.43000000016764</v>
      </c>
      <c r="Q42" s="151">
        <f t="shared" si="3"/>
        <v>3.0507862057049806E-4</v>
      </c>
      <c r="R42" s="148">
        <f>'2023'!P42</f>
        <v>1935600.9300000002</v>
      </c>
      <c r="S42" s="149">
        <f t="shared" si="4"/>
        <v>-117711.68000000017</v>
      </c>
      <c r="T42" s="153">
        <f t="shared" si="5"/>
        <v>-6.0814023270798989E-2</v>
      </c>
      <c r="W42" s="470"/>
      <c r="Y42" s="470"/>
    </row>
    <row r="43" spans="1:25">
      <c r="A43" s="135">
        <v>423</v>
      </c>
      <c r="B43" s="565" t="str">
        <f>+VLOOKUP($A43,Master!$D$30:$G$226,4,FALSE)</f>
        <v>Prava iz oblasti penzijskog i invalidskog osiguranja</v>
      </c>
      <c r="C43" s="566"/>
      <c r="D43" s="566"/>
      <c r="E43" s="566"/>
      <c r="F43" s="566"/>
      <c r="G43" s="148">
        <f>'2024'!S43</f>
        <v>603950177.93999994</v>
      </c>
      <c r="H43" s="148">
        <f>SUM('2024'!G119:P119)</f>
        <v>608523915.87999988</v>
      </c>
      <c r="I43" s="149">
        <f t="shared" si="0"/>
        <v>-4573737.939999938</v>
      </c>
      <c r="J43" s="151">
        <f t="shared" si="1"/>
        <v>-7.5161186284449233E-3</v>
      </c>
      <c r="K43" s="148">
        <f>SUM('2023'!G43:P43)</f>
        <v>454188999.32999992</v>
      </c>
      <c r="L43" s="149">
        <f t="shared" si="7"/>
        <v>149761178.61000001</v>
      </c>
      <c r="M43" s="153">
        <f t="shared" si="2"/>
        <v>0.32973317018008208</v>
      </c>
      <c r="N43" s="148">
        <f>'2024'!P43</f>
        <v>62741828.979999974</v>
      </c>
      <c r="O43" s="148">
        <f>'2024'!P119</f>
        <v>64325640.68999999</v>
      </c>
      <c r="P43" s="149">
        <f t="shared" si="6"/>
        <v>-1583811.7100000158</v>
      </c>
      <c r="Q43" s="151">
        <f t="shared" si="3"/>
        <v>-2.462177901395135E-2</v>
      </c>
      <c r="R43" s="148">
        <f>'2023'!P43</f>
        <v>49444502.93</v>
      </c>
      <c r="S43" s="149">
        <f t="shared" si="4"/>
        <v>13297326.049999975</v>
      </c>
      <c r="T43" s="153">
        <f t="shared" si="5"/>
        <v>0.26893436604723031</v>
      </c>
      <c r="W43" s="470"/>
      <c r="Y43" s="470"/>
    </row>
    <row r="44" spans="1:25">
      <c r="A44" s="135">
        <v>424</v>
      </c>
      <c r="B44" s="565" t="str">
        <f>+VLOOKUP($A44,Master!$D$30:$G$226,4,FALSE)</f>
        <v>Ostala prava iz oblasti zdravstvene zaštite</v>
      </c>
      <c r="C44" s="566"/>
      <c r="D44" s="566"/>
      <c r="E44" s="566"/>
      <c r="F44" s="566"/>
      <c r="G44" s="148">
        <f>'2024'!S44</f>
        <v>17758879.080000002</v>
      </c>
      <c r="H44" s="148">
        <f>SUM('2024'!G120:P120)</f>
        <v>18548000</v>
      </c>
      <c r="I44" s="149">
        <f t="shared" si="0"/>
        <v>-789120.91999999806</v>
      </c>
      <c r="J44" s="151">
        <f t="shared" si="1"/>
        <v>-4.2544798361009217E-2</v>
      </c>
      <c r="K44" s="148">
        <f>SUM('2023'!G44:P44)</f>
        <v>15899603.109999999</v>
      </c>
      <c r="L44" s="149">
        <f t="shared" si="7"/>
        <v>1859275.9700000025</v>
      </c>
      <c r="M44" s="153">
        <f t="shared" si="2"/>
        <v>0.11693851457402848</v>
      </c>
      <c r="N44" s="148">
        <f>'2024'!P44</f>
        <v>1750407.2900000003</v>
      </c>
      <c r="O44" s="148">
        <f>'2024'!P120</f>
        <v>1506000</v>
      </c>
      <c r="P44" s="149">
        <f t="shared" si="6"/>
        <v>244407.29000000027</v>
      </c>
      <c r="Q44" s="151">
        <f t="shared" si="3"/>
        <v>0.16228903718459509</v>
      </c>
      <c r="R44" s="148">
        <f>'2023'!P44</f>
        <v>2181527.52</v>
      </c>
      <c r="S44" s="149">
        <f t="shared" si="4"/>
        <v>-431120.22999999975</v>
      </c>
      <c r="T44" s="153">
        <f t="shared" si="5"/>
        <v>-0.19762309943263967</v>
      </c>
      <c r="W44" s="470"/>
      <c r="Y44" s="470"/>
    </row>
    <row r="45" spans="1:25">
      <c r="A45" s="135">
        <v>425</v>
      </c>
      <c r="B45" s="565" t="str">
        <f>+VLOOKUP($A45,Master!$D$30:$G$226,4,FALSE)</f>
        <v>Ostala prava iz zdravstvenog osiguranja</v>
      </c>
      <c r="C45" s="566"/>
      <c r="D45" s="566"/>
      <c r="E45" s="566"/>
      <c r="F45" s="566"/>
      <c r="G45" s="148">
        <f>'2024'!S45</f>
        <v>13034792.700000001</v>
      </c>
      <c r="H45" s="148">
        <f>SUM('2024'!G121:P121)</f>
        <v>13439696.140000001</v>
      </c>
      <c r="I45" s="149">
        <f t="shared" si="0"/>
        <v>-404903.43999999948</v>
      </c>
      <c r="J45" s="151">
        <f t="shared" si="1"/>
        <v>-3.0127425187456591E-2</v>
      </c>
      <c r="K45" s="148">
        <f>SUM('2023'!G45:P45)</f>
        <v>11531316.32</v>
      </c>
      <c r="L45" s="149">
        <f t="shared" si="7"/>
        <v>1503476.3800000008</v>
      </c>
      <c r="M45" s="153">
        <f t="shared" si="2"/>
        <v>0.13038202563157175</v>
      </c>
      <c r="N45" s="148">
        <f>'2024'!P45</f>
        <v>1451005.2600000005</v>
      </c>
      <c r="O45" s="148">
        <f>'2024'!P121</f>
        <v>1079696.1400000001</v>
      </c>
      <c r="P45" s="149">
        <f t="shared" si="6"/>
        <v>371309.12000000034</v>
      </c>
      <c r="Q45" s="151">
        <f t="shared" si="3"/>
        <v>0.34390149806407599</v>
      </c>
      <c r="R45" s="148">
        <f>'2023'!P45</f>
        <v>2419350.8400000003</v>
      </c>
      <c r="S45" s="149">
        <f t="shared" si="4"/>
        <v>-968345.57999999984</v>
      </c>
      <c r="T45" s="153">
        <f t="shared" si="5"/>
        <v>-0.40025016793347745</v>
      </c>
      <c r="W45" s="470"/>
      <c r="Y45" s="470"/>
    </row>
    <row r="46" spans="1:25">
      <c r="A46" s="135">
        <v>43</v>
      </c>
      <c r="B46" s="579" t="str">
        <f>+VLOOKUP($A46,Master!$D$30:$G$226,4,FALSE)</f>
        <v xml:space="preserve">Transferi institucijama, pojedincima, nevladinom i javnom sektoru </v>
      </c>
      <c r="C46" s="580"/>
      <c r="D46" s="580"/>
      <c r="E46" s="580"/>
      <c r="F46" s="580"/>
      <c r="G46" s="160">
        <f>'2024'!S46</f>
        <v>309258186.06</v>
      </c>
      <c r="H46" s="160">
        <f>SUM('2024'!G122:P122)</f>
        <v>344757725.17000008</v>
      </c>
      <c r="I46" s="161">
        <f t="shared" si="0"/>
        <v>-35499539.110000074</v>
      </c>
      <c r="J46" s="163">
        <f t="shared" si="1"/>
        <v>-0.10296952473652399</v>
      </c>
      <c r="K46" s="160">
        <f>SUM('2023'!G46:P46)</f>
        <v>284952037.25</v>
      </c>
      <c r="L46" s="161">
        <f t="shared" si="7"/>
        <v>24306148.810000002</v>
      </c>
      <c r="M46" s="165">
        <f t="shared" si="2"/>
        <v>8.5299087680061891E-2</v>
      </c>
      <c r="N46" s="160">
        <f>'2024'!P46</f>
        <v>30734173.659999993</v>
      </c>
      <c r="O46" s="160">
        <f>'2024'!P122</f>
        <v>37535806.099999994</v>
      </c>
      <c r="P46" s="161">
        <f t="shared" si="6"/>
        <v>-6801632.4400000013</v>
      </c>
      <c r="Q46" s="163">
        <f t="shared" si="3"/>
        <v>-0.18120384631888864</v>
      </c>
      <c r="R46" s="160">
        <f>'2023'!P46</f>
        <v>29874334.260000002</v>
      </c>
      <c r="S46" s="161">
        <f t="shared" si="4"/>
        <v>859839.39999999106</v>
      </c>
      <c r="T46" s="165">
        <f t="shared" si="5"/>
        <v>2.878187652707842E-2</v>
      </c>
      <c r="W46" s="470"/>
      <c r="Y46" s="470"/>
    </row>
    <row r="47" spans="1:25">
      <c r="A47" s="135">
        <v>44</v>
      </c>
      <c r="B47" s="579" t="str">
        <f>+VLOOKUP($A47,Master!$D$30:$G$226,4,FALSE)</f>
        <v>Kapitalni izdaci</v>
      </c>
      <c r="C47" s="580"/>
      <c r="D47" s="580"/>
      <c r="E47" s="580"/>
      <c r="F47" s="580"/>
      <c r="G47" s="160">
        <f>'2024'!S47</f>
        <v>165042640.01999998</v>
      </c>
      <c r="H47" s="160">
        <f>SUM('2024'!G123:P123)</f>
        <v>183853684.64999998</v>
      </c>
      <c r="I47" s="161">
        <f t="shared" si="0"/>
        <v>-18811044.629999995</v>
      </c>
      <c r="J47" s="163">
        <f t="shared" si="1"/>
        <v>-0.10231529852562027</v>
      </c>
      <c r="K47" s="160">
        <f>SUM('2023'!G47:P47)</f>
        <v>138840257.65000001</v>
      </c>
      <c r="L47" s="161">
        <f t="shared" si="7"/>
        <v>26202382.369999975</v>
      </c>
      <c r="M47" s="165">
        <f t="shared" si="2"/>
        <v>0.18872323354551179</v>
      </c>
      <c r="N47" s="160">
        <f>'2024'!P47</f>
        <v>27895963.32</v>
      </c>
      <c r="O47" s="160">
        <f>'2024'!P123</f>
        <v>42977746.36999999</v>
      </c>
      <c r="P47" s="161">
        <f t="shared" si="6"/>
        <v>-15081783.04999999</v>
      </c>
      <c r="Q47" s="163">
        <f t="shared" si="3"/>
        <v>-0.35092075140839907</v>
      </c>
      <c r="R47" s="160">
        <f>'2023'!P47</f>
        <v>25086640.27</v>
      </c>
      <c r="S47" s="161">
        <f t="shared" si="4"/>
        <v>2809323.0500000007</v>
      </c>
      <c r="T47" s="165">
        <f t="shared" si="5"/>
        <v>0.11198482617696492</v>
      </c>
      <c r="W47" s="470"/>
      <c r="Y47" s="470"/>
    </row>
    <row r="48" spans="1:25">
      <c r="A48" s="135">
        <v>451</v>
      </c>
      <c r="B48" s="583" t="str">
        <f>+VLOOKUP($A48,Master!$D$30:$G$226,4,FALSE)</f>
        <v>Pozajmice i krediti</v>
      </c>
      <c r="C48" s="584"/>
      <c r="D48" s="584"/>
      <c r="E48" s="584"/>
      <c r="F48" s="584"/>
      <c r="G48" s="148">
        <f>'2024'!S48</f>
        <v>0</v>
      </c>
      <c r="H48" s="148">
        <f>SUM('2024'!G124:P124)</f>
        <v>0</v>
      </c>
      <c r="I48" s="149">
        <f>G48-H48</f>
        <v>0</v>
      </c>
      <c r="J48" s="266" t="str">
        <f t="shared" si="1"/>
        <v>...</v>
      </c>
      <c r="K48" s="148">
        <f>SUM('2023'!G48:P48)</f>
        <v>0</v>
      </c>
      <c r="L48" s="263">
        <f t="shared" si="7"/>
        <v>0</v>
      </c>
      <c r="M48" s="475" t="str">
        <f t="shared" si="2"/>
        <v>...</v>
      </c>
      <c r="N48" s="148">
        <f>'2024'!P48</f>
        <v>0</v>
      </c>
      <c r="O48" s="148">
        <f>'2024'!P124</f>
        <v>0</v>
      </c>
      <c r="P48" s="149">
        <f t="shared" si="6"/>
        <v>0</v>
      </c>
      <c r="Q48" s="266" t="str">
        <f t="shared" si="3"/>
        <v>...</v>
      </c>
      <c r="R48" s="148">
        <f>'2023'!P48</f>
        <v>0</v>
      </c>
      <c r="S48" s="263">
        <f>+N48-R48-S58</f>
        <v>0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83" t="str">
        <f>+VLOOKUP($A49,Master!$D$30:$G$226,4,FALSE)</f>
        <v>Rezerve</v>
      </c>
      <c r="C49" s="584"/>
      <c r="D49" s="584"/>
      <c r="E49" s="584"/>
      <c r="F49" s="584"/>
      <c r="G49" s="148">
        <f>'2024'!S49</f>
        <v>22817055.93</v>
      </c>
      <c r="H49" s="148">
        <f>SUM('2024'!G125:P125)</f>
        <v>41285213.640000001</v>
      </c>
      <c r="I49" s="149">
        <f t="shared" ref="I49:I50" si="8">G49-H49</f>
        <v>-18468157.710000001</v>
      </c>
      <c r="J49" s="267">
        <f t="shared" si="1"/>
        <v>-0.44733104377366617</v>
      </c>
      <c r="K49" s="148">
        <f>SUM('2023'!G49:P49)</f>
        <v>12791703.059999999</v>
      </c>
      <c r="L49" s="264">
        <f t="shared" si="7"/>
        <v>10025352.870000001</v>
      </c>
      <c r="M49" s="476">
        <f t="shared" si="2"/>
        <v>0.7837387111767431</v>
      </c>
      <c r="N49" s="148">
        <f>'2024'!P49</f>
        <v>2349062.9400000004</v>
      </c>
      <c r="O49" s="148">
        <f>'2024'!P125</f>
        <v>10387962.93</v>
      </c>
      <c r="P49" s="149">
        <f t="shared" si="6"/>
        <v>-8038899.9899999993</v>
      </c>
      <c r="Q49" s="267">
        <f t="shared" si="3"/>
        <v>-0.77386683454404659</v>
      </c>
      <c r="R49" s="148">
        <f>'2023'!P49</f>
        <v>629087.52</v>
      </c>
      <c r="S49" s="264">
        <f t="shared" si="4"/>
        <v>1719975.4200000004</v>
      </c>
      <c r="T49" s="476" t="str">
        <f t="shared" si="5"/>
        <v>...</v>
      </c>
      <c r="W49" s="470"/>
      <c r="Y49" s="470"/>
    </row>
    <row r="50" spans="1:25" ht="15.75" thickBot="1">
      <c r="A50" s="135">
        <v>462</v>
      </c>
      <c r="B50" s="585" t="str">
        <f>+VLOOKUP($A50,Master!$D$30:$G$226,4,FALSE)</f>
        <v>Otplata garancija</v>
      </c>
      <c r="C50" s="586"/>
      <c r="D50" s="586"/>
      <c r="E50" s="586"/>
      <c r="F50" s="586"/>
      <c r="G50" s="148">
        <f>'2024'!S50</f>
        <v>5849367.6699999999</v>
      </c>
      <c r="H50" s="148">
        <f>SUM('2024'!G126:P126)</f>
        <v>1</v>
      </c>
      <c r="I50" s="149">
        <f t="shared" si="8"/>
        <v>5849366.6699999999</v>
      </c>
      <c r="J50" s="268" t="str">
        <f t="shared" si="1"/>
        <v>...</v>
      </c>
      <c r="K50" s="148">
        <f>SUM('2023'!G50:P50)</f>
        <v>2813572.16</v>
      </c>
      <c r="L50" s="264">
        <f t="shared" si="7"/>
        <v>3035795.51</v>
      </c>
      <c r="M50" s="477">
        <f t="shared" si="2"/>
        <v>1.0789826375023557</v>
      </c>
      <c r="N50" s="148">
        <f>'2024'!P50</f>
        <v>0</v>
      </c>
      <c r="O50" s="148">
        <f>'2024'!P126</f>
        <v>0.5</v>
      </c>
      <c r="P50" s="149">
        <f t="shared" si="6"/>
        <v>-0.5</v>
      </c>
      <c r="Q50" s="268">
        <f t="shared" si="3"/>
        <v>-1</v>
      </c>
      <c r="R50" s="148">
        <f>'2023'!P50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85" t="str">
        <f>+VLOOKUP($A51,Master!$D$30:$G$226,4,FALSE)</f>
        <v>Otplata obaveza iz prethodnog perioda</v>
      </c>
      <c r="C51" s="586"/>
      <c r="D51" s="586"/>
      <c r="E51" s="586"/>
      <c r="F51" s="586"/>
      <c r="G51" s="295">
        <f>'2024'!S51</f>
        <v>17199787.139999997</v>
      </c>
      <c r="H51" s="295">
        <f>SUM('2024'!G127:P127)</f>
        <v>11440582.07</v>
      </c>
      <c r="I51" s="265">
        <f>G51-H51</f>
        <v>5759205.0699999966</v>
      </c>
      <c r="J51" s="269">
        <f t="shared" si="1"/>
        <v>0.50340140342177508</v>
      </c>
      <c r="K51" s="295">
        <f>SUM('2023'!G51:P51)</f>
        <v>11590877.57</v>
      </c>
      <c r="L51" s="271">
        <f t="shared" si="7"/>
        <v>5608909.5699999966</v>
      </c>
      <c r="M51" s="478">
        <f t="shared" si="2"/>
        <v>0.48390723964829152</v>
      </c>
      <c r="N51" s="295">
        <f>'2024'!P51</f>
        <v>886392.03999999992</v>
      </c>
      <c r="O51" s="295">
        <f>'2024'!P127</f>
        <v>5198427.45</v>
      </c>
      <c r="P51" s="265">
        <f>N51-O51</f>
        <v>-4312035.41</v>
      </c>
      <c r="Q51" s="269">
        <f t="shared" si="3"/>
        <v>-0.82948842731276362</v>
      </c>
      <c r="R51" s="295">
        <f>'2023'!P51</f>
        <v>1076828.46</v>
      </c>
      <c r="S51" s="271">
        <f>+N51-R51</f>
        <v>-190436.42000000004</v>
      </c>
      <c r="T51" s="478">
        <f t="shared" si="5"/>
        <v>-0.17684935630323151</v>
      </c>
      <c r="W51" s="470"/>
      <c r="Y51" s="470"/>
    </row>
    <row r="52" spans="1:25" ht="15.75" thickBot="1">
      <c r="A52" s="129">
        <v>1005</v>
      </c>
      <c r="B52" s="585" t="str">
        <f>+VLOOKUP($A52,Master!$D$30:$G$228,4,FALSE)</f>
        <v>Neto povećanje obaveza</v>
      </c>
      <c r="C52" s="586"/>
      <c r="D52" s="586"/>
      <c r="E52" s="586"/>
      <c r="F52" s="586"/>
      <c r="G52" s="148">
        <f>'2024'!S52</f>
        <v>0</v>
      </c>
      <c r="H52" s="148">
        <f>SUM('2024'!G128:P128)</f>
        <v>0</v>
      </c>
      <c r="I52" s="265">
        <f>G52-H52</f>
        <v>0</v>
      </c>
      <c r="J52" s="269" t="str">
        <f t="shared" si="1"/>
        <v>...</v>
      </c>
      <c r="K52" s="148">
        <f>SUM('2023'!G52:P52)</f>
        <v>0</v>
      </c>
      <c r="L52" s="271">
        <f t="shared" si="7"/>
        <v>0</v>
      </c>
      <c r="M52" s="478" t="str">
        <f t="shared" si="2"/>
        <v>...</v>
      </c>
      <c r="N52" s="148">
        <f>'2024'!P52</f>
        <v>0</v>
      </c>
      <c r="O52" s="148">
        <f>'2024'!P128</f>
        <v>0</v>
      </c>
      <c r="P52" s="265">
        <f>N52-O52</f>
        <v>0</v>
      </c>
      <c r="Q52" s="269" t="str">
        <f t="shared" si="3"/>
        <v>...</v>
      </c>
      <c r="R52" s="148">
        <f>'2023'!P52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87" t="str">
        <f>+VLOOKUP($A53,Master!$D$30:$G$226,4,FALSE)</f>
        <v>Suficit / deficit</v>
      </c>
      <c r="C53" s="588"/>
      <c r="D53" s="588"/>
      <c r="E53" s="588"/>
      <c r="F53" s="588"/>
      <c r="G53" s="136">
        <f>'2024'!S53</f>
        <v>75104874.070000201</v>
      </c>
      <c r="H53" s="136">
        <f>SUM('2024'!G129:P129)</f>
        <v>-105346254.97638077</v>
      </c>
      <c r="I53" s="299">
        <f>+G53-H53</f>
        <v>180451129.04638097</v>
      </c>
      <c r="J53" s="270">
        <f t="shared" si="1"/>
        <v>-1.7129334980805835</v>
      </c>
      <c r="K53" s="136">
        <f>SUM('2023'!G53:P53)</f>
        <v>183597303.50000027</v>
      </c>
      <c r="L53" s="272">
        <f t="shared" si="7"/>
        <v>-108492429.43000007</v>
      </c>
      <c r="M53" s="479">
        <f t="shared" si="2"/>
        <v>-0.59092605044714019</v>
      </c>
      <c r="N53" s="136">
        <f>'2024'!P53</f>
        <v>-13107406.520000011</v>
      </c>
      <c r="O53" s="136">
        <f>'2024'!P129</f>
        <v>-73787687.733982325</v>
      </c>
      <c r="P53" s="299">
        <f>N53-O53</f>
        <v>60680281.213982314</v>
      </c>
      <c r="Q53" s="270">
        <f t="shared" si="3"/>
        <v>-0.8223632299299779</v>
      </c>
      <c r="R53" s="136">
        <f>'2023'!P53</f>
        <v>6932464.1200000048</v>
      </c>
      <c r="S53" s="272">
        <f t="shared" si="4"/>
        <v>-20039870.640000015</v>
      </c>
      <c r="T53" s="479">
        <f t="shared" si="5"/>
        <v>-2.890728360524137</v>
      </c>
      <c r="W53" s="470"/>
      <c r="Y53" s="470"/>
    </row>
    <row r="54" spans="1:25" ht="15.75" thickBot="1">
      <c r="A54" s="129">
        <v>1001</v>
      </c>
      <c r="B54" s="589" t="str">
        <f>+VLOOKUP($A54,Master!$D$30:$G$226,4,FALSE)</f>
        <v>Primarni suficit/deficit</v>
      </c>
      <c r="C54" s="590"/>
      <c r="D54" s="590"/>
      <c r="E54" s="590"/>
      <c r="F54" s="590"/>
      <c r="G54" s="136">
        <f>'2024'!S54</f>
        <v>184083988.49000022</v>
      </c>
      <c r="H54" s="136">
        <f>SUM('2024'!G130:P130)</f>
        <v>6907787.3836192489</v>
      </c>
      <c r="I54" s="191">
        <f t="shared" si="0"/>
        <v>177176201.10638097</v>
      </c>
      <c r="J54" s="193" t="str">
        <f t="shared" si="1"/>
        <v>...</v>
      </c>
      <c r="K54" s="136">
        <f>SUM('2023'!G54:P54)</f>
        <v>265211579.65000024</v>
      </c>
      <c r="L54" s="191">
        <f t="shared" si="7"/>
        <v>-81127591.160000026</v>
      </c>
      <c r="M54" s="195">
        <f t="shared" si="2"/>
        <v>-0.30589762056039982</v>
      </c>
      <c r="N54" s="136">
        <f>'2024'!P54</f>
        <v>1762444.1399999876</v>
      </c>
      <c r="O54" s="136">
        <f>'2024'!P130</f>
        <v>-56132200.983982325</v>
      </c>
      <c r="P54" s="191">
        <f t="shared" si="6"/>
        <v>57894645.12398231</v>
      </c>
      <c r="Q54" s="193">
        <f t="shared" si="3"/>
        <v>-1.0313980943042464</v>
      </c>
      <c r="R54" s="136">
        <f>'2023'!P54</f>
        <v>9106491.5200000051</v>
      </c>
      <c r="S54" s="191">
        <f t="shared" si="4"/>
        <v>-7344047.3800000176</v>
      </c>
      <c r="T54" s="195">
        <f t="shared" si="5"/>
        <v>-0.80646288022898349</v>
      </c>
      <c r="W54" s="470"/>
      <c r="Y54" s="470"/>
    </row>
    <row r="55" spans="1:25">
      <c r="A55" s="129">
        <v>46</v>
      </c>
      <c r="B55" s="611" t="str">
        <f>+VLOOKUP($A55,Master!$D$30:$G$226,4,FALSE)</f>
        <v>Otplata dugova</v>
      </c>
      <c r="C55" s="612"/>
      <c r="D55" s="612"/>
      <c r="E55" s="612"/>
      <c r="F55" s="612"/>
      <c r="G55" s="460">
        <f>'2024'!S55</f>
        <v>402197156.07000005</v>
      </c>
      <c r="H55" s="460">
        <f>SUM('2024'!G131:P131)</f>
        <v>428762280.32999998</v>
      </c>
      <c r="I55" s="461">
        <f t="shared" si="0"/>
        <v>-26565124.259999931</v>
      </c>
      <c r="J55" s="462">
        <f t="shared" si="1"/>
        <v>-6.1957698889822832E-2</v>
      </c>
      <c r="K55" s="460">
        <f>SUM('2023'!G55:P55)</f>
        <v>222622517.18000001</v>
      </c>
      <c r="L55" s="461">
        <f t="shared" si="7"/>
        <v>179574638.89000005</v>
      </c>
      <c r="M55" s="480">
        <f t="shared" si="2"/>
        <v>0.80663286519577948</v>
      </c>
      <c r="N55" s="460">
        <f>'2024'!P55</f>
        <v>7153919.7600000007</v>
      </c>
      <c r="O55" s="460">
        <f>'2024'!P131</f>
        <v>37862418.009999998</v>
      </c>
      <c r="P55" s="461">
        <f t="shared" si="6"/>
        <v>-30708498.249999996</v>
      </c>
      <c r="Q55" s="462">
        <f t="shared" si="3"/>
        <v>-0.8110548629485167</v>
      </c>
      <c r="R55" s="460">
        <f>'2023'!P55</f>
        <v>8209323.5700000003</v>
      </c>
      <c r="S55" s="461">
        <f t="shared" si="4"/>
        <v>-1055403.8099999996</v>
      </c>
      <c r="T55" s="480">
        <f t="shared" si="5"/>
        <v>-0.1285616044977016</v>
      </c>
      <c r="W55" s="470"/>
      <c r="Y55" s="470"/>
    </row>
    <row r="56" spans="1:25">
      <c r="A56" s="129">
        <v>4611</v>
      </c>
      <c r="B56" s="583" t="str">
        <f>+VLOOKUP($A56,Master!$D$30:$G$226,4,FALSE)</f>
        <v>Otplata hartija od vrijednosti i kredita rezidentima</v>
      </c>
      <c r="C56" s="584"/>
      <c r="D56" s="584"/>
      <c r="E56" s="584"/>
      <c r="F56" s="584"/>
      <c r="G56" s="148">
        <f>'2024'!S56</f>
        <v>183543909.07000002</v>
      </c>
      <c r="H56" s="148">
        <f>SUM('2024'!G132:P132)</f>
        <v>192257331.80999997</v>
      </c>
      <c r="I56" s="197">
        <f t="shared" si="0"/>
        <v>-8713422.7399999499</v>
      </c>
      <c r="J56" s="199">
        <f t="shared" si="1"/>
        <v>-4.5321666840831165E-2</v>
      </c>
      <c r="K56" s="148">
        <f>SUM('2023'!G56:P56)</f>
        <v>65126297.119999997</v>
      </c>
      <c r="L56" s="197">
        <f t="shared" si="7"/>
        <v>118417611.95000002</v>
      </c>
      <c r="M56" s="201">
        <f t="shared" si="2"/>
        <v>1.8182764441805568</v>
      </c>
      <c r="N56" s="148">
        <f>'2024'!P56</f>
        <v>2641469.5200000005</v>
      </c>
      <c r="O56" s="148">
        <f>'2024'!P132</f>
        <v>11354892.26</v>
      </c>
      <c r="P56" s="197">
        <f t="shared" si="6"/>
        <v>-8713422.7399999984</v>
      </c>
      <c r="Q56" s="199">
        <f t="shared" si="3"/>
        <v>-0.76737167913912019</v>
      </c>
      <c r="R56" s="148">
        <f>'2023'!P56</f>
        <v>3094863.43</v>
      </c>
      <c r="S56" s="197">
        <f t="shared" si="4"/>
        <v>-453393.90999999968</v>
      </c>
      <c r="T56" s="201">
        <f t="shared" si="5"/>
        <v>-0.14649884243842048</v>
      </c>
      <c r="W56" s="470"/>
      <c r="Y56" s="470"/>
    </row>
    <row r="57" spans="1:25">
      <c r="A57" s="129">
        <v>4612</v>
      </c>
      <c r="B57" s="583" t="str">
        <f>+VLOOKUP($A57,Master!$D$30:$G$226,4,FALSE)</f>
        <v>Otplata hartija od vrijednosti i kredita nerezidentima</v>
      </c>
      <c r="C57" s="584"/>
      <c r="D57" s="584"/>
      <c r="E57" s="584"/>
      <c r="F57" s="584"/>
      <c r="G57" s="148">
        <f>'2024'!S57</f>
        <v>218653247</v>
      </c>
      <c r="H57" s="148">
        <f>SUM('2024'!G133:P133)</f>
        <v>236504948.52000001</v>
      </c>
      <c r="I57" s="197">
        <f t="shared" si="0"/>
        <v>-17851701.520000011</v>
      </c>
      <c r="J57" s="199">
        <f t="shared" si="1"/>
        <v>-7.5481302322477184E-2</v>
      </c>
      <c r="K57" s="148">
        <f>SUM('2023'!G57:P57)</f>
        <v>157496220.05999997</v>
      </c>
      <c r="L57" s="197">
        <f t="shared" si="7"/>
        <v>61157026.940000027</v>
      </c>
      <c r="M57" s="201">
        <f t="shared" si="2"/>
        <v>0.38830790298777695</v>
      </c>
      <c r="N57" s="148">
        <f>'2024'!P57</f>
        <v>4512450.24</v>
      </c>
      <c r="O57" s="148">
        <f>'2024'!P133</f>
        <v>26507525.75</v>
      </c>
      <c r="P57" s="197">
        <f t="shared" si="6"/>
        <v>-21995075.509999998</v>
      </c>
      <c r="Q57" s="199">
        <f t="shared" si="3"/>
        <v>-0.82976720337619592</v>
      </c>
      <c r="R57" s="148">
        <f>'2023'!P57</f>
        <v>5114460.1399999997</v>
      </c>
      <c r="S57" s="197">
        <f t="shared" si="4"/>
        <v>-602009.89999999944</v>
      </c>
      <c r="T57" s="201">
        <f t="shared" si="5"/>
        <v>-0.11770741848034028</v>
      </c>
      <c r="W57" s="470"/>
      <c r="Y57" s="470"/>
    </row>
    <row r="58" spans="1:25" ht="15.75" thickBot="1">
      <c r="A58" s="129">
        <v>4418</v>
      </c>
      <c r="B58" s="581" t="str">
        <f>+VLOOKUP($A58,Master!$D$30:$G$226,4,FALSE)</f>
        <v>Izdaci za kupovinu hartija od vrijednosti</v>
      </c>
      <c r="C58" s="582"/>
      <c r="D58" s="582"/>
      <c r="E58" s="582"/>
      <c r="F58" s="582"/>
      <c r="G58" s="313">
        <f>'2024'!S58</f>
        <v>3266458.45</v>
      </c>
      <c r="H58" s="313">
        <f>SUM('2024'!G134:P134)</f>
        <v>3600196.58</v>
      </c>
      <c r="I58" s="314">
        <f t="shared" ref="I58:I66" si="9">+G58-H58</f>
        <v>-333738.12999999989</v>
      </c>
      <c r="J58" s="315">
        <f t="shared" si="1"/>
        <v>-9.2699974177521183E-2</v>
      </c>
      <c r="K58" s="313">
        <f>SUM('2023'!G58:P58)</f>
        <v>720866.76</v>
      </c>
      <c r="L58" s="314">
        <f t="shared" ref="L58:L66" si="10">+G58-K58</f>
        <v>2545591.6900000004</v>
      </c>
      <c r="M58" s="481" t="str">
        <f t="shared" si="2"/>
        <v>...</v>
      </c>
      <c r="N58" s="313">
        <f>'2024'!P58</f>
        <v>0</v>
      </c>
      <c r="O58" s="313">
        <f>'2024'!P134</f>
        <v>89402.709999999992</v>
      </c>
      <c r="P58" s="314">
        <f t="shared" ref="P58:P66" si="11">+N58-O58</f>
        <v>-89402.709999999992</v>
      </c>
      <c r="Q58" s="315">
        <f t="shared" si="3"/>
        <v>-1</v>
      </c>
      <c r="R58" s="313">
        <f>'2023'!P58</f>
        <v>0</v>
      </c>
      <c r="S58" s="314">
        <f t="shared" ref="S58:S66" si="12">+N58-R58</f>
        <v>0</v>
      </c>
      <c r="T58" s="481" t="str">
        <f t="shared" si="5"/>
        <v>...</v>
      </c>
      <c r="W58" s="470"/>
      <c r="Y58" s="470"/>
    </row>
    <row r="59" spans="1:25" ht="15.75" thickBot="1">
      <c r="A59" s="129">
        <v>451</v>
      </c>
      <c r="B59" s="575" t="str">
        <f>+VLOOKUP($A59,Master!$D$30:$G$226,4,FALSE)</f>
        <v>Pozajmice i krediti</v>
      </c>
      <c r="C59" s="576"/>
      <c r="D59" s="576"/>
      <c r="E59" s="576"/>
      <c r="F59" s="576"/>
      <c r="G59" s="313">
        <f>'2024'!S59</f>
        <v>6481345.46</v>
      </c>
      <c r="H59" s="313">
        <f>SUM('2024'!G135:P135)</f>
        <v>3993481.0599999996</v>
      </c>
      <c r="I59" s="314">
        <f t="shared" si="9"/>
        <v>2487864.4000000004</v>
      </c>
      <c r="J59" s="315">
        <f t="shared" si="1"/>
        <v>0.62298139458310109</v>
      </c>
      <c r="K59" s="313">
        <f>SUM('2023'!G59:P59)</f>
        <v>9289595.209999999</v>
      </c>
      <c r="L59" s="314">
        <f t="shared" si="10"/>
        <v>-2808249.7499999991</v>
      </c>
      <c r="M59" s="481">
        <f t="shared" si="2"/>
        <v>-0.30230055094079811</v>
      </c>
      <c r="N59" s="313">
        <f>'2024'!P59</f>
        <v>716355.96</v>
      </c>
      <c r="O59" s="313">
        <f>'2024'!P135</f>
        <v>476013.97</v>
      </c>
      <c r="P59" s="314">
        <f t="shared" si="11"/>
        <v>240341.99</v>
      </c>
      <c r="Q59" s="315">
        <f t="shared" si="3"/>
        <v>0.50490532872386074</v>
      </c>
      <c r="R59" s="313">
        <f>'2023'!P59</f>
        <v>512417.52</v>
      </c>
      <c r="S59" s="314">
        <f t="shared" si="12"/>
        <v>203938.43999999994</v>
      </c>
      <c r="T59" s="481">
        <f t="shared" si="5"/>
        <v>0.39799271500318723</v>
      </c>
      <c r="W59" s="470"/>
      <c r="Y59" s="470"/>
    </row>
    <row r="60" spans="1:25" ht="15.75" thickBot="1">
      <c r="A60" s="129">
        <v>1002</v>
      </c>
      <c r="B60" s="609" t="str">
        <f>+VLOOKUP($A60,Master!$D$30:$G$226,4,FALSE)</f>
        <v>Nedostajuća sredstva</v>
      </c>
      <c r="C60" s="610"/>
      <c r="D60" s="610"/>
      <c r="E60" s="610"/>
      <c r="F60" s="610"/>
      <c r="G60" s="298">
        <f>'2024'!S60</f>
        <v>-336840085.90999985</v>
      </c>
      <c r="H60" s="298">
        <f>SUM('2024'!G136:P136)</f>
        <v>-541702212.94638073</v>
      </c>
      <c r="I60" s="300">
        <f t="shared" si="9"/>
        <v>204862127.03638089</v>
      </c>
      <c r="J60" s="301">
        <f t="shared" si="1"/>
        <v>-0.37818218596913644</v>
      </c>
      <c r="K60" s="298">
        <f>SUM('2023'!G60:P60)</f>
        <v>-49035675.649999738</v>
      </c>
      <c r="L60" s="300">
        <f>+G60-K60</f>
        <v>-287804410.26000011</v>
      </c>
      <c r="M60" s="482" t="str">
        <f t="shared" si="2"/>
        <v>...</v>
      </c>
      <c r="N60" s="298">
        <f>'2024'!P60</f>
        <v>-20977682.240000013</v>
      </c>
      <c r="O60" s="298">
        <f>'2024'!P136</f>
        <v>-112215522.42398231</v>
      </c>
      <c r="P60" s="300">
        <f t="shared" si="11"/>
        <v>91237840.183982298</v>
      </c>
      <c r="Q60" s="301">
        <f t="shared" si="3"/>
        <v>-0.81305899766040979</v>
      </c>
      <c r="R60" s="298">
        <f>'2023'!P60</f>
        <v>-1789276.9699999955</v>
      </c>
      <c r="S60" s="300">
        <f t="shared" si="12"/>
        <v>-19188405.270000018</v>
      </c>
      <c r="T60" s="482" t="str">
        <f t="shared" si="5"/>
        <v>...</v>
      </c>
      <c r="W60" s="470"/>
      <c r="Y60" s="470"/>
    </row>
    <row r="61" spans="1:25" ht="15.75" thickBot="1">
      <c r="A61" s="129">
        <v>1003</v>
      </c>
      <c r="B61" s="573" t="str">
        <f>+VLOOKUP($A61,Master!$D$30:$G$226,4,FALSE)</f>
        <v>Finansiranje</v>
      </c>
      <c r="C61" s="574"/>
      <c r="D61" s="574"/>
      <c r="E61" s="574"/>
      <c r="F61" s="574"/>
      <c r="G61" s="136">
        <f>'2024'!S61</f>
        <v>336840085.90999979</v>
      </c>
      <c r="H61" s="136">
        <f>SUM('2024'!G137:P137)</f>
        <v>541702212.94638073</v>
      </c>
      <c r="I61" s="299">
        <f t="shared" si="9"/>
        <v>-204862127.03638095</v>
      </c>
      <c r="J61" s="302">
        <f t="shared" si="1"/>
        <v>-0.37818218596913655</v>
      </c>
      <c r="K61" s="136">
        <f>SUM('2023'!G61:P61)</f>
        <v>49035675.649999745</v>
      </c>
      <c r="L61" s="299">
        <f t="shared" si="10"/>
        <v>287804410.26000005</v>
      </c>
      <c r="M61" s="483" t="str">
        <f t="shared" si="2"/>
        <v>...</v>
      </c>
      <c r="N61" s="136">
        <f>'2024'!P61</f>
        <v>20977682.240000013</v>
      </c>
      <c r="O61" s="136">
        <f>'2024'!P137</f>
        <v>112215522.42398231</v>
      </c>
      <c r="P61" s="300">
        <f t="shared" si="11"/>
        <v>-91237840.183982298</v>
      </c>
      <c r="Q61" s="302">
        <f t="shared" si="3"/>
        <v>-0.81305899766040979</v>
      </c>
      <c r="R61" s="136">
        <f>'2023'!P61</f>
        <v>1789276.9699999955</v>
      </c>
      <c r="S61" s="299">
        <f t="shared" si="12"/>
        <v>19188405.270000018</v>
      </c>
      <c r="T61" s="483" t="str">
        <f t="shared" si="5"/>
        <v>...</v>
      </c>
      <c r="W61" s="470"/>
      <c r="Y61" s="470"/>
    </row>
    <row r="62" spans="1:25">
      <c r="A62" s="129">
        <v>7511</v>
      </c>
      <c r="B62" s="607" t="str">
        <f>+VLOOKUP($A62,Master!$D$30:$G$226,4,FALSE)</f>
        <v>Pozajmice i krediti od domaćih izvora</v>
      </c>
      <c r="C62" s="608"/>
      <c r="D62" s="608"/>
      <c r="E62" s="608"/>
      <c r="F62" s="608"/>
      <c r="G62" s="148">
        <f>'2024'!S62</f>
        <v>0</v>
      </c>
      <c r="H62" s="148">
        <f>SUM('2024'!G138:P138)</f>
        <v>0</v>
      </c>
      <c r="I62" s="197">
        <f t="shared" si="9"/>
        <v>0</v>
      </c>
      <c r="J62" s="199" t="str">
        <f t="shared" si="1"/>
        <v>...</v>
      </c>
      <c r="K62" s="148">
        <f>SUM('2023'!G62:P62)</f>
        <v>0</v>
      </c>
      <c r="L62" s="197">
        <f t="shared" si="10"/>
        <v>0</v>
      </c>
      <c r="M62" s="201" t="str">
        <f t="shared" si="2"/>
        <v>...</v>
      </c>
      <c r="N62" s="148">
        <f>'2024'!P62</f>
        <v>0</v>
      </c>
      <c r="O62" s="148">
        <f>'2024'!P138</f>
        <v>0</v>
      </c>
      <c r="P62" s="197">
        <f t="shared" si="11"/>
        <v>0</v>
      </c>
      <c r="Q62" s="199" t="str">
        <f t="shared" si="3"/>
        <v>...</v>
      </c>
      <c r="R62" s="148">
        <f>'2023'!P62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83" t="str">
        <f>+VLOOKUP($A63,Master!$D$30:$G$226,4,FALSE)</f>
        <v>Pozajmice i krediti od inostranih izvora</v>
      </c>
      <c r="C63" s="584"/>
      <c r="D63" s="584"/>
      <c r="E63" s="584"/>
      <c r="F63" s="584"/>
      <c r="G63" s="148">
        <f>'2024'!S63</f>
        <v>718848819.57999992</v>
      </c>
      <c r="H63" s="148">
        <f>SUM('2024'!G139:P139)</f>
        <v>867000000</v>
      </c>
      <c r="I63" s="197">
        <f t="shared" si="9"/>
        <v>-148151180.42000008</v>
      </c>
      <c r="J63" s="199">
        <f t="shared" si="1"/>
        <v>-0.1708779474279124</v>
      </c>
      <c r="K63" s="148">
        <f>SUM('2023'!G63:P63)</f>
        <v>125764189.48999998</v>
      </c>
      <c r="L63" s="197">
        <f t="shared" si="10"/>
        <v>593084630.08999991</v>
      </c>
      <c r="M63" s="201" t="str">
        <f t="shared" si="2"/>
        <v>...</v>
      </c>
      <c r="N63" s="148">
        <f>'2024'!P63</f>
        <v>6239384.3199999994</v>
      </c>
      <c r="O63" s="148">
        <f>'2024'!P139</f>
        <v>0</v>
      </c>
      <c r="P63" s="197">
        <f t="shared" si="11"/>
        <v>6239384.3199999994</v>
      </c>
      <c r="Q63" s="199" t="str">
        <f t="shared" si="3"/>
        <v>...</v>
      </c>
      <c r="R63" s="148">
        <f>'2023'!P63</f>
        <v>4602266.9400000004</v>
      </c>
      <c r="S63" s="197">
        <f t="shared" si="12"/>
        <v>1637117.379999999</v>
      </c>
      <c r="T63" s="201">
        <f t="shared" si="5"/>
        <v>0.35571977926165199</v>
      </c>
      <c r="W63" s="470"/>
      <c r="Y63" s="470"/>
    </row>
    <row r="64" spans="1:25">
      <c r="A64" s="129">
        <v>72</v>
      </c>
      <c r="B64" s="583" t="str">
        <f>+VLOOKUP($A64,Master!$D$30:$G$226,4,FALSE)</f>
        <v>Primici od prodaje imovine</v>
      </c>
      <c r="C64" s="584"/>
      <c r="D64" s="584"/>
      <c r="E64" s="584"/>
      <c r="F64" s="584"/>
      <c r="G64" s="148">
        <f>'2024'!S64</f>
        <v>1696756.4200000002</v>
      </c>
      <c r="H64" s="148">
        <f>SUM('2024'!G140:P140)</f>
        <v>5000000</v>
      </c>
      <c r="I64" s="197">
        <f t="shared" si="9"/>
        <v>-3303243.58</v>
      </c>
      <c r="J64" s="199">
        <f t="shared" si="1"/>
        <v>-0.66064871599999997</v>
      </c>
      <c r="K64" s="148">
        <f>SUM('2023'!G64:P64)</f>
        <v>2478690.0200000005</v>
      </c>
      <c r="L64" s="197">
        <f t="shared" si="10"/>
        <v>-781933.60000000033</v>
      </c>
      <c r="M64" s="201">
        <f t="shared" si="2"/>
        <v>-0.31546243930897022</v>
      </c>
      <c r="N64" s="148">
        <f>'2024'!P64</f>
        <v>128331.11000000003</v>
      </c>
      <c r="O64" s="148">
        <f>'2024'!P140</f>
        <v>500000</v>
      </c>
      <c r="P64" s="197">
        <f t="shared" si="11"/>
        <v>-371668.88999999996</v>
      </c>
      <c r="Q64" s="199">
        <f t="shared" si="3"/>
        <v>-0.74333777999999995</v>
      </c>
      <c r="R64" s="148">
        <f>'2023'!P64</f>
        <v>61500.47</v>
      </c>
      <c r="S64" s="197">
        <f t="shared" si="12"/>
        <v>66830.640000000029</v>
      </c>
      <c r="T64" s="201">
        <f t="shared" si="5"/>
        <v>1.0866687685476228</v>
      </c>
      <c r="W64" s="470"/>
      <c r="Y64" s="470"/>
    </row>
    <row r="65" spans="1:25">
      <c r="A65" s="129">
        <v>73</v>
      </c>
      <c r="B65" s="583" t="str">
        <f>+VLOOKUP($A65,Master!$D$30:$G$226,4,FALSE)</f>
        <v>Primici od otplate kredita i sredstva prenesena iz prethodne godine</v>
      </c>
      <c r="C65" s="584"/>
      <c r="D65" s="584"/>
      <c r="E65" s="584"/>
      <c r="F65" s="584"/>
      <c r="G65" s="148">
        <f>'2024'!S65</f>
        <v>15026211.810000001</v>
      </c>
      <c r="H65" s="148">
        <f>SUM('2024'!G141:P141)</f>
        <v>5892259.9825796895</v>
      </c>
      <c r="I65" s="197">
        <f t="shared" si="9"/>
        <v>9133951.827420311</v>
      </c>
      <c r="J65" s="199">
        <f t="shared" si="1"/>
        <v>1.5501610340386538</v>
      </c>
      <c r="K65" s="148">
        <f>SUM('2023'!G65:P65)</f>
        <v>10820487.42</v>
      </c>
      <c r="L65" s="197">
        <f t="shared" si="10"/>
        <v>4205724.3900000006</v>
      </c>
      <c r="M65" s="201">
        <f t="shared" si="2"/>
        <v>0.38868160247812567</v>
      </c>
      <c r="N65" s="148">
        <f>'2024'!P65</f>
        <v>672233.76000000013</v>
      </c>
      <c r="O65" s="148">
        <f>'2024'!P141</f>
        <v>263186.6897599264</v>
      </c>
      <c r="P65" s="197">
        <f t="shared" si="11"/>
        <v>409047.07024007372</v>
      </c>
      <c r="Q65" s="199">
        <f t="shared" si="3"/>
        <v>1.5542088036944355</v>
      </c>
      <c r="R65" s="148">
        <f>'2023'!P65</f>
        <v>714145.76</v>
      </c>
      <c r="S65" s="197">
        <f t="shared" si="12"/>
        <v>-41911.999999999884</v>
      </c>
      <c r="T65" s="201">
        <f t="shared" si="5"/>
        <v>-5.8688299150582157E-2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'2024'!S66</f>
        <v>-398731701.89999998</v>
      </c>
      <c r="H66" s="296">
        <f>SUM('2024'!G142:P142)</f>
        <v>-336190047.03619909</v>
      </c>
      <c r="I66" s="211">
        <f t="shared" si="9"/>
        <v>-62541654.863800883</v>
      </c>
      <c r="J66" s="213">
        <f t="shared" si="1"/>
        <v>0.18603065562219556</v>
      </c>
      <c r="K66" s="296">
        <f>SUM('2023'!G66:P66)</f>
        <v>-90027691.280000255</v>
      </c>
      <c r="L66" s="211">
        <f t="shared" si="10"/>
        <v>-308704010.61999971</v>
      </c>
      <c r="M66" s="215" t="str">
        <f t="shared" si="2"/>
        <v>...</v>
      </c>
      <c r="N66" s="296">
        <f>'2024'!P66</f>
        <v>13937733.050000014</v>
      </c>
      <c r="O66" s="296">
        <f>'2024'!P142</f>
        <v>111452335.73422238</v>
      </c>
      <c r="P66" s="211">
        <f t="shared" si="11"/>
        <v>-97514602.68422237</v>
      </c>
      <c r="Q66" s="213">
        <f t="shared" si="3"/>
        <v>-0.87494445084365946</v>
      </c>
      <c r="R66" s="296">
        <f>'2023'!P66</f>
        <v>-3588636.2000000044</v>
      </c>
      <c r="S66" s="211">
        <f t="shared" si="12"/>
        <v>17526369.250000019</v>
      </c>
      <c r="T66" s="215">
        <f t="shared" si="5"/>
        <v>-4.8838523252928221</v>
      </c>
      <c r="W66" s="470"/>
      <c r="Y66" s="470"/>
    </row>
    <row r="67" spans="1:25">
      <c r="G67" s="274"/>
    </row>
    <row r="68" spans="1:25">
      <c r="G68" s="4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GhwxhFcF/w94nqf3Fkdiyi5nxRgaFjvMAwU1Yah6Dn/UZdegDNh9eCuwOSLJ30mVWetDmDgzfC9GXloLNIBQLA==" saltValue="qSORs9wLbznljclH42FlFw==" spinCount="100000" sheet="1" objects="1" scenarios="1"/>
  <mergeCells count="63"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</mergeCells>
  <pageMargins left="0.11811023622047245" right="0.11811023622047245" top="0.19685039370078741" bottom="0.19685039370078741" header="0.31496062992125984" footer="0.31496062992125984"/>
  <pageSetup paperSize="9" scale="37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50"/>
  <sheetViews>
    <sheetView zoomScale="90" zoomScaleNormal="90" workbookViewId="0">
      <pane ySplit="1" topLeftCell="A2" activePane="bottomLeft" state="frozen"/>
      <selection pane="bottomLeft" activeCell="Q4" sqref="Q4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93" t="str">
        <f>+Master!G252</f>
        <v>Ostvarenje budžeta</v>
      </c>
      <c r="C7" s="594"/>
      <c r="D7" s="594"/>
      <c r="E7" s="594"/>
      <c r="F7" s="594"/>
      <c r="G7" s="602">
        <v>2024</v>
      </c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6"/>
      <c r="S7" s="220" t="str">
        <f>+Master!G249</f>
        <v>BDP</v>
      </c>
      <c r="T7" s="221">
        <v>7279700000</v>
      </c>
    </row>
    <row r="8" spans="1:24" ht="16.5" customHeight="1">
      <c r="A8" s="129"/>
      <c r="B8" s="595"/>
      <c r="C8" s="596"/>
      <c r="D8" s="596"/>
      <c r="E8" s="596"/>
      <c r="F8" s="597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2" t="str">
        <f>+Master!G247</f>
        <v>Jan - Dec</v>
      </c>
      <c r="T8" s="606"/>
    </row>
    <row r="9" spans="1:24" ht="13.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73" t="str">
        <f>+VLOOKUP($A10,Master!$D$30:$G$226,4,FALSE)</f>
        <v>Prihodi budžeta</v>
      </c>
      <c r="C10" s="574"/>
      <c r="D10" s="574"/>
      <c r="E10" s="574"/>
      <c r="F10" s="574"/>
      <c r="G10" s="513">
        <f>G11+G19+G24+G25+G26+G27+G28</f>
        <v>150930823.46000001</v>
      </c>
      <c r="H10" s="513">
        <f t="shared" ref="H10:L10" si="2">+H11+H19+SUM(H24:H28)</f>
        <v>180248667.54000002</v>
      </c>
      <c r="I10" s="513">
        <f t="shared" si="2"/>
        <v>244547117.82000002</v>
      </c>
      <c r="J10" s="513">
        <f t="shared" si="2"/>
        <v>317572444.20999998</v>
      </c>
      <c r="K10" s="513">
        <f t="shared" si="2"/>
        <v>195199291.53999999</v>
      </c>
      <c r="L10" s="513">
        <f t="shared" si="2"/>
        <v>222632271.86000001</v>
      </c>
      <c r="M10" s="513">
        <f t="shared" ref="M10:R10" si="3">+M11+M19+SUM(M24:M28)</f>
        <v>263243994.48000005</v>
      </c>
      <c r="N10" s="513">
        <f t="shared" si="3"/>
        <v>254940204.98000002</v>
      </c>
      <c r="O10" s="513">
        <f t="shared" si="3"/>
        <v>247926911.75</v>
      </c>
      <c r="P10" s="513">
        <f t="shared" si="3"/>
        <v>240433854.94999999</v>
      </c>
      <c r="Q10" s="513">
        <f t="shared" si="3"/>
        <v>0</v>
      </c>
      <c r="R10" s="513">
        <f t="shared" si="3"/>
        <v>0</v>
      </c>
      <c r="S10" s="514">
        <f>+SUM(G10:R10)</f>
        <v>2317675582.5899997</v>
      </c>
      <c r="T10" s="515">
        <f>+S10/$T$7*100</f>
        <v>31.837515043064958</v>
      </c>
      <c r="V10" s="493"/>
    </row>
    <row r="11" spans="1:24">
      <c r="A11" s="135">
        <v>711</v>
      </c>
      <c r="B11" s="563" t="str">
        <f>+VLOOKUP($A11,Master!$D$30:$G$226,4,FALSE)</f>
        <v>Porezi</v>
      </c>
      <c r="C11" s="564"/>
      <c r="D11" s="564"/>
      <c r="E11" s="564"/>
      <c r="F11" s="564"/>
      <c r="G11" s="516">
        <f t="shared" ref="G11:I11" si="4">+SUM(G12:G18)</f>
        <v>122011952.05999999</v>
      </c>
      <c r="H11" s="516">
        <f t="shared" si="4"/>
        <v>121308599.17000002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153003406.79000002</v>
      </c>
      <c r="M11" s="516">
        <f t="shared" ref="M11:R11" si="5">+SUM(M12:M18)</f>
        <v>176287449.87000003</v>
      </c>
      <c r="N11" s="516">
        <f t="shared" si="5"/>
        <v>187772027.16000003</v>
      </c>
      <c r="O11" s="516">
        <f t="shared" si="5"/>
        <v>174666714.86000001</v>
      </c>
      <c r="P11" s="516">
        <f t="shared" si="5"/>
        <v>170940704.73000002</v>
      </c>
      <c r="Q11" s="516">
        <f t="shared" si="5"/>
        <v>0</v>
      </c>
      <c r="R11" s="517">
        <f t="shared" si="5"/>
        <v>0</v>
      </c>
      <c r="S11" s="518">
        <f>+SUM(G11:R11)</f>
        <v>1668980871.1700001</v>
      </c>
      <c r="T11" s="519">
        <f t="shared" ref="T11:T66" si="6">+S11/$T$7*100</f>
        <v>22.926506190777094</v>
      </c>
      <c r="V11" s="276"/>
    </row>
    <row r="12" spans="1:24">
      <c r="A12" s="135">
        <v>7111</v>
      </c>
      <c r="B12" s="565" t="str">
        <f>+VLOOKUP($A12,Master!$D$30:$G$226,4,FALSE)</f>
        <v>Porez na dohodak fizičkih lica</v>
      </c>
      <c r="C12" s="566"/>
      <c r="D12" s="566"/>
      <c r="E12" s="566"/>
      <c r="F12" s="566"/>
      <c r="G12" s="499">
        <v>1998079.15</v>
      </c>
      <c r="H12" s="499">
        <v>6162755.9100000001</v>
      </c>
      <c r="I12" s="499">
        <v>6774640.8399999999</v>
      </c>
      <c r="J12" s="499">
        <v>9120679.6699999999</v>
      </c>
      <c r="K12" s="499">
        <v>7999182.8499999996</v>
      </c>
      <c r="L12" s="148">
        <v>5714143.4299999997</v>
      </c>
      <c r="M12" s="148">
        <v>8103849.4699999997</v>
      </c>
      <c r="N12" s="148">
        <v>7506393.2000000002</v>
      </c>
      <c r="O12" s="148">
        <v>6129815.1900000004</v>
      </c>
      <c r="P12" s="148">
        <v>10490866.800000001</v>
      </c>
      <c r="Q12" s="148"/>
      <c r="R12" s="148"/>
      <c r="S12" s="227">
        <f>+SUM(G12:R12)</f>
        <v>70000406.510000005</v>
      </c>
      <c r="T12" s="436">
        <f t="shared" si="6"/>
        <v>0.96158367116776799</v>
      </c>
    </row>
    <row r="13" spans="1:24">
      <c r="A13" s="135">
        <v>7112</v>
      </c>
      <c r="B13" s="565" t="str">
        <f>+VLOOKUP($A13,Master!$D$30:$G$226,4,FALSE)</f>
        <v>Porez na dobit pravnih lica</v>
      </c>
      <c r="C13" s="566"/>
      <c r="D13" s="566"/>
      <c r="E13" s="566"/>
      <c r="F13" s="566"/>
      <c r="G13" s="499">
        <v>1951464.9</v>
      </c>
      <c r="H13" s="499">
        <v>5771727.9400000004</v>
      </c>
      <c r="I13" s="499">
        <v>71210822.510000005</v>
      </c>
      <c r="J13" s="499">
        <v>100269900.84</v>
      </c>
      <c r="K13" s="499">
        <v>6533790.1500000004</v>
      </c>
      <c r="L13" s="148">
        <v>5452063.1399999997</v>
      </c>
      <c r="M13" s="148">
        <v>6399901.1399999997</v>
      </c>
      <c r="N13" s="148">
        <v>3297843.93</v>
      </c>
      <c r="O13" s="148">
        <v>3451625.75</v>
      </c>
      <c r="P13" s="148">
        <v>1559675.82</v>
      </c>
      <c r="Q13" s="148"/>
      <c r="R13" s="148"/>
      <c r="S13" s="227">
        <f t="shared" ref="S13:S65" si="7">+SUM(G13:R13)</f>
        <v>205898816.11999997</v>
      </c>
      <c r="T13" s="436">
        <f t="shared" si="6"/>
        <v>2.8283969960300559</v>
      </c>
      <c r="V13" s="276"/>
      <c r="W13" s="276"/>
      <c r="X13" s="494"/>
    </row>
    <row r="14" spans="1:24">
      <c r="A14" s="135">
        <v>7113</v>
      </c>
      <c r="B14" s="565" t="str">
        <f>+VLOOKUP($A14,Master!$D$30:$G$226,4,FALSE)</f>
        <v>Porez na promet nepokretnosti</v>
      </c>
      <c r="C14" s="566"/>
      <c r="D14" s="566"/>
      <c r="E14" s="566"/>
      <c r="F14" s="566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/>
      <c r="R14" s="148"/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65" t="str">
        <f>+VLOOKUP($A15,Master!$D$30:$G$226,4,FALSE)</f>
        <v>Porez na dodatu vrijednost</v>
      </c>
      <c r="C15" s="566"/>
      <c r="D15" s="566"/>
      <c r="E15" s="566"/>
      <c r="F15" s="566"/>
      <c r="G15" s="499">
        <v>91572726.909999996</v>
      </c>
      <c r="H15" s="499">
        <v>81980319.980000004</v>
      </c>
      <c r="I15" s="499">
        <v>78800496.590000004</v>
      </c>
      <c r="J15" s="499">
        <v>94537941.620000005</v>
      </c>
      <c r="K15" s="499">
        <v>88184792.75</v>
      </c>
      <c r="L15" s="148">
        <v>100885481.09</v>
      </c>
      <c r="M15" s="148">
        <v>119418214.70999999</v>
      </c>
      <c r="N15" s="148">
        <v>126480010.05</v>
      </c>
      <c r="O15" s="148">
        <v>119699878.62</v>
      </c>
      <c r="P15" s="148">
        <v>118929652.58</v>
      </c>
      <c r="Q15" s="148"/>
      <c r="R15" s="148"/>
      <c r="S15" s="227">
        <f t="shared" si="7"/>
        <v>1020489514.9000001</v>
      </c>
      <c r="T15" s="436">
        <f t="shared" si="6"/>
        <v>14.018290793576661</v>
      </c>
      <c r="V15" s="276"/>
      <c r="W15" s="276"/>
      <c r="X15" s="494"/>
    </row>
    <row r="16" spans="1:24">
      <c r="A16" s="135">
        <v>7115</v>
      </c>
      <c r="B16" s="565" t="str">
        <f>+VLOOKUP($A16,Master!$D$30:$G$226,4,FALSE)</f>
        <v>Akcize</v>
      </c>
      <c r="C16" s="566"/>
      <c r="D16" s="566"/>
      <c r="E16" s="566"/>
      <c r="F16" s="566"/>
      <c r="G16" s="499">
        <v>22556344.960000001</v>
      </c>
      <c r="H16" s="499">
        <v>22366846.550000001</v>
      </c>
      <c r="I16" s="499">
        <v>21994790.370000001</v>
      </c>
      <c r="J16" s="499">
        <v>26932676.210000001</v>
      </c>
      <c r="K16" s="499">
        <v>31723753.75</v>
      </c>
      <c r="L16" s="148">
        <v>34644163.43</v>
      </c>
      <c r="M16" s="148">
        <v>34841981.670000002</v>
      </c>
      <c r="N16" s="148">
        <v>43213446.43</v>
      </c>
      <c r="O16" s="148">
        <v>38641287.920000002</v>
      </c>
      <c r="P16" s="148">
        <v>33032024.920000002</v>
      </c>
      <c r="Q16" s="148"/>
      <c r="R16" s="148"/>
      <c r="S16" s="227">
        <f t="shared" si="7"/>
        <v>309947316.21000004</v>
      </c>
      <c r="T16" s="436">
        <f t="shared" si="6"/>
        <v>4.2576935342115751</v>
      </c>
      <c r="V16" s="276"/>
      <c r="W16" s="276"/>
      <c r="X16" s="494"/>
    </row>
    <row r="17" spans="1:24">
      <c r="A17" s="135">
        <v>7116</v>
      </c>
      <c r="B17" s="565" t="str">
        <f>+VLOOKUP($A17,Master!$D$30:$G$226,4,FALSE)</f>
        <v>Porez na međunarodnu trgovinu i transakcije</v>
      </c>
      <c r="C17" s="566"/>
      <c r="D17" s="566"/>
      <c r="E17" s="566"/>
      <c r="F17" s="566"/>
      <c r="G17" s="499">
        <v>2997811.11</v>
      </c>
      <c r="H17" s="499">
        <v>3849203.28</v>
      </c>
      <c r="I17" s="499">
        <v>4636318.09</v>
      </c>
      <c r="J17" s="499">
        <v>5632584.1600000001</v>
      </c>
      <c r="K17" s="499">
        <v>5010618.79</v>
      </c>
      <c r="L17" s="148">
        <v>5120393.08</v>
      </c>
      <c r="M17" s="148">
        <v>6113583.7999999998</v>
      </c>
      <c r="N17" s="148">
        <v>5829872.2699999996</v>
      </c>
      <c r="O17" s="148">
        <v>5498962.25</v>
      </c>
      <c r="P17" s="148">
        <v>5536331.3300000001</v>
      </c>
      <c r="Q17" s="148"/>
      <c r="R17" s="148"/>
      <c r="S17" s="227">
        <f t="shared" si="7"/>
        <v>50225678.159999996</v>
      </c>
      <c r="T17" s="436">
        <f t="shared" si="6"/>
        <v>0.6899415931975218</v>
      </c>
      <c r="V17" s="276"/>
      <c r="W17" s="276"/>
      <c r="X17" s="494"/>
    </row>
    <row r="18" spans="1:24">
      <c r="A18" s="135">
        <v>7118</v>
      </c>
      <c r="B18" s="565" t="str">
        <f>+VLOOKUP($A18,Master!$D$30:$G$226,4,FALSE)</f>
        <v>Ostali državni porezi</v>
      </c>
      <c r="C18" s="566"/>
      <c r="D18" s="566"/>
      <c r="E18" s="566"/>
      <c r="F18" s="566"/>
      <c r="G18" s="499">
        <v>935525.03</v>
      </c>
      <c r="H18" s="499">
        <v>1177745.51</v>
      </c>
      <c r="I18" s="499">
        <v>1140306.55</v>
      </c>
      <c r="J18" s="499">
        <v>1213350.5</v>
      </c>
      <c r="K18" s="499">
        <v>1273370.29</v>
      </c>
      <c r="L18" s="148">
        <v>1187162.6200000001</v>
      </c>
      <c r="M18" s="148">
        <v>1409919.08</v>
      </c>
      <c r="N18" s="148">
        <v>1444461.28</v>
      </c>
      <c r="O18" s="148">
        <v>1245145.1299999999</v>
      </c>
      <c r="P18" s="148">
        <v>1392153.28</v>
      </c>
      <c r="Q18" s="148"/>
      <c r="R18" s="148"/>
      <c r="S18" s="227">
        <f t="shared" si="7"/>
        <v>12419139.269999998</v>
      </c>
      <c r="T18" s="436">
        <f t="shared" si="6"/>
        <v>0.17059960259351345</v>
      </c>
      <c r="V18" s="276"/>
      <c r="W18" s="276"/>
      <c r="X18" s="494"/>
    </row>
    <row r="19" spans="1:24">
      <c r="A19" s="135">
        <v>712</v>
      </c>
      <c r="B19" s="567" t="str">
        <f>+VLOOKUP($A19,Master!$D$30:$G$226,4,FALSE)</f>
        <v>Doprinosi</v>
      </c>
      <c r="C19" s="568"/>
      <c r="D19" s="568"/>
      <c r="E19" s="568"/>
      <c r="F19" s="568"/>
      <c r="G19" s="520">
        <f t="shared" ref="G19" si="8">SUM(G20:G23)</f>
        <v>13548213.42</v>
      </c>
      <c r="H19" s="520">
        <f t="shared" ref="H19:L19" si="9">SUM(H20:H23)</f>
        <v>51209301.960000001</v>
      </c>
      <c r="I19" s="520">
        <f t="shared" si="9"/>
        <v>50079162.990000002</v>
      </c>
      <c r="J19" s="520">
        <f t="shared" si="9"/>
        <v>58312079.649999999</v>
      </c>
      <c r="K19" s="520">
        <f t="shared" si="9"/>
        <v>44239433.410000004</v>
      </c>
      <c r="L19" s="520">
        <f t="shared" si="9"/>
        <v>48567223.640000001</v>
      </c>
      <c r="M19" s="520">
        <f t="shared" ref="M19:R19" si="10">SUM(M20:M23)</f>
        <v>55016979.530000001</v>
      </c>
      <c r="N19" s="520">
        <f t="shared" si="10"/>
        <v>54498567.900000006</v>
      </c>
      <c r="O19" s="520">
        <f t="shared" si="10"/>
        <v>54697462.289999999</v>
      </c>
      <c r="P19" s="520">
        <f t="shared" si="10"/>
        <v>54762650.329999998</v>
      </c>
      <c r="Q19" s="520">
        <f t="shared" si="10"/>
        <v>0</v>
      </c>
      <c r="R19" s="520">
        <f t="shared" si="10"/>
        <v>0</v>
      </c>
      <c r="S19" s="521">
        <f t="shared" si="7"/>
        <v>484931075.12</v>
      </c>
      <c r="T19" s="522">
        <f t="shared" si="6"/>
        <v>6.6614156506449449</v>
      </c>
      <c r="V19" s="276"/>
      <c r="W19" s="276"/>
      <c r="X19" s="494"/>
    </row>
    <row r="20" spans="1:24">
      <c r="A20" s="135">
        <v>7121</v>
      </c>
      <c r="B20" s="565" t="str">
        <f>+VLOOKUP($A20,Master!$D$30:$G$226,4,FALSE)</f>
        <v>Doprinosi za penzijsko i invalidsko osiguranje</v>
      </c>
      <c r="C20" s="566"/>
      <c r="D20" s="566"/>
      <c r="E20" s="566"/>
      <c r="F20" s="566"/>
      <c r="G20" s="499">
        <v>12277377.310000001</v>
      </c>
      <c r="H20" s="499">
        <v>47091163.350000001</v>
      </c>
      <c r="I20" s="499">
        <v>45892077.740000002</v>
      </c>
      <c r="J20" s="499">
        <v>53612426.219999999</v>
      </c>
      <c r="K20" s="499">
        <v>40659761.590000004</v>
      </c>
      <c r="L20" s="148">
        <v>44568700.899999999</v>
      </c>
      <c r="M20" s="148">
        <v>50382564.299999997</v>
      </c>
      <c r="N20" s="148">
        <v>49830258.149999999</v>
      </c>
      <c r="O20" s="148">
        <v>50178879.670000002</v>
      </c>
      <c r="P20" s="148">
        <v>50008955.340000004</v>
      </c>
      <c r="Q20" s="148"/>
      <c r="R20" s="148"/>
      <c r="S20" s="227">
        <f>+SUM(G20:R20)</f>
        <v>444502164.57000005</v>
      </c>
      <c r="T20" s="436">
        <f t="shared" si="6"/>
        <v>6.1060505868373705</v>
      </c>
      <c r="V20" s="276"/>
      <c r="W20" s="276"/>
      <c r="X20" s="494"/>
    </row>
    <row r="21" spans="1:24">
      <c r="A21" s="135">
        <v>7122</v>
      </c>
      <c r="B21" s="565" t="str">
        <f>+VLOOKUP($A21,Master!$D$30:$G$226,4,FALSE)</f>
        <v>Doprinosi za zdravstveno osiguranje</v>
      </c>
      <c r="C21" s="566"/>
      <c r="D21" s="566"/>
      <c r="E21" s="566"/>
      <c r="F21" s="566"/>
      <c r="G21" s="499">
        <v>307850.36</v>
      </c>
      <c r="H21" s="499">
        <v>382153.8</v>
      </c>
      <c r="I21" s="499">
        <v>494660.43</v>
      </c>
      <c r="J21" s="499">
        <v>456232.43</v>
      </c>
      <c r="K21" s="499">
        <v>296984.02</v>
      </c>
      <c r="L21" s="148">
        <v>372046.09</v>
      </c>
      <c r="M21" s="148">
        <v>516613.79</v>
      </c>
      <c r="N21" s="148">
        <v>463962.06</v>
      </c>
      <c r="O21" s="148">
        <v>380875.64</v>
      </c>
      <c r="P21" s="148">
        <v>631287.55000000005</v>
      </c>
      <c r="Q21" s="148"/>
      <c r="R21" s="148"/>
      <c r="S21" s="227">
        <f t="shared" si="7"/>
        <v>4302666.17</v>
      </c>
      <c r="T21" s="436">
        <f t="shared" si="6"/>
        <v>5.9104992925532639E-2</v>
      </c>
      <c r="V21" s="276"/>
      <c r="W21" s="276"/>
      <c r="X21" s="494"/>
    </row>
    <row r="22" spans="1:24">
      <c r="A22" s="135">
        <v>7123</v>
      </c>
      <c r="B22" s="565" t="str">
        <f>+VLOOKUP($A22,Master!$D$30:$G$226,4,FALSE)</f>
        <v>Doprinosi za osiguranje od nezaposlenosti</v>
      </c>
      <c r="C22" s="566"/>
      <c r="D22" s="566"/>
      <c r="E22" s="566"/>
      <c r="F22" s="566"/>
      <c r="G22" s="499">
        <v>569229.31000000006</v>
      </c>
      <c r="H22" s="499">
        <v>2203988.56</v>
      </c>
      <c r="I22" s="499">
        <v>2137007.6800000002</v>
      </c>
      <c r="J22" s="499">
        <v>2464722.08</v>
      </c>
      <c r="K22" s="499">
        <v>1910648.69</v>
      </c>
      <c r="L22" s="148">
        <v>2095564.37</v>
      </c>
      <c r="M22" s="148">
        <v>2381944.41</v>
      </c>
      <c r="N22" s="148">
        <v>2401758.41</v>
      </c>
      <c r="O22" s="148">
        <v>2372941.4300000002</v>
      </c>
      <c r="P22" s="148">
        <v>2360830.64</v>
      </c>
      <c r="Q22" s="148"/>
      <c r="R22" s="148"/>
      <c r="S22" s="227">
        <f t="shared" si="7"/>
        <v>20898635.580000002</v>
      </c>
      <c r="T22" s="436">
        <f t="shared" si="6"/>
        <v>0.28708100031594713</v>
      </c>
    </row>
    <row r="23" spans="1:24">
      <c r="A23" s="135">
        <v>7124</v>
      </c>
      <c r="B23" s="565" t="str">
        <f>+VLOOKUP($A23,Master!$D$30:$G$226,4,FALSE)</f>
        <v>Ostali doprinosi</v>
      </c>
      <c r="C23" s="566"/>
      <c r="D23" s="566"/>
      <c r="E23" s="566"/>
      <c r="F23" s="566"/>
      <c r="G23" s="499">
        <v>393756.44</v>
      </c>
      <c r="H23" s="499">
        <v>1531996.25</v>
      </c>
      <c r="I23" s="499">
        <v>1555417.14</v>
      </c>
      <c r="J23" s="499">
        <v>1778698.92</v>
      </c>
      <c r="K23" s="499">
        <v>1372039.11</v>
      </c>
      <c r="L23" s="148">
        <v>1530912.28</v>
      </c>
      <c r="M23" s="148">
        <v>1735857.03</v>
      </c>
      <c r="N23" s="148">
        <v>1802589.28</v>
      </c>
      <c r="O23" s="148">
        <v>1764765.55</v>
      </c>
      <c r="P23" s="148">
        <v>1761576.8</v>
      </c>
      <c r="Q23" s="148"/>
      <c r="R23" s="148"/>
      <c r="S23" s="227">
        <f t="shared" si="7"/>
        <v>15227608.800000001</v>
      </c>
      <c r="T23" s="436">
        <f t="shared" si="6"/>
        <v>0.20917907056609478</v>
      </c>
      <c r="V23" s="495"/>
      <c r="W23" s="495"/>
      <c r="X23" s="494"/>
    </row>
    <row r="24" spans="1:24">
      <c r="A24" s="135">
        <v>713</v>
      </c>
      <c r="B24" s="567" t="str">
        <f>+VLOOKUP($A24,Master!$D$30:$G$226,4,FALSE)</f>
        <v>Takse</v>
      </c>
      <c r="C24" s="568"/>
      <c r="D24" s="568"/>
      <c r="E24" s="568"/>
      <c r="F24" s="568"/>
      <c r="G24" s="160">
        <v>859681.09</v>
      </c>
      <c r="H24" s="160">
        <v>998586.78</v>
      </c>
      <c r="I24" s="160">
        <v>986568.83000000007</v>
      </c>
      <c r="J24" s="160">
        <v>1424375.7499999998</v>
      </c>
      <c r="K24" s="160">
        <v>1250720.22</v>
      </c>
      <c r="L24" s="523">
        <v>1305037.74</v>
      </c>
      <c r="M24" s="523">
        <v>1842088.0599999998</v>
      </c>
      <c r="N24" s="523">
        <v>1839749.14</v>
      </c>
      <c r="O24" s="523">
        <v>1512960.99</v>
      </c>
      <c r="P24" s="523">
        <v>1438790.56</v>
      </c>
      <c r="Q24" s="523"/>
      <c r="R24" s="523"/>
      <c r="S24" s="521">
        <f t="shared" si="7"/>
        <v>13458559.160000002</v>
      </c>
      <c r="T24" s="522">
        <f t="shared" si="6"/>
        <v>0.18487793672816191</v>
      </c>
    </row>
    <row r="25" spans="1:24">
      <c r="A25" s="135">
        <v>714</v>
      </c>
      <c r="B25" s="567" t="str">
        <f>+VLOOKUP($A25,Master!$D$30:$G$226,4,FALSE)</f>
        <v>Naknade</v>
      </c>
      <c r="C25" s="568"/>
      <c r="D25" s="568"/>
      <c r="E25" s="568"/>
      <c r="F25" s="568"/>
      <c r="G25" s="160">
        <v>2491580.6799999997</v>
      </c>
      <c r="H25" s="160">
        <v>4111753.23</v>
      </c>
      <c r="I25" s="160">
        <v>3497306.59</v>
      </c>
      <c r="J25" s="160">
        <v>5307671.18</v>
      </c>
      <c r="K25" s="160">
        <v>3457943.4</v>
      </c>
      <c r="L25" s="523">
        <v>4104367.62</v>
      </c>
      <c r="M25" s="523">
        <v>6739444.4199999999</v>
      </c>
      <c r="N25" s="523">
        <v>3916013.25</v>
      </c>
      <c r="O25" s="523">
        <v>4184422.2199999997</v>
      </c>
      <c r="P25" s="523">
        <v>5561939.7699999996</v>
      </c>
      <c r="Q25" s="523"/>
      <c r="R25" s="523"/>
      <c r="S25" s="521">
        <f t="shared" si="7"/>
        <v>43372442.359999999</v>
      </c>
      <c r="T25" s="522">
        <f t="shared" si="6"/>
        <v>0.59579985933486268</v>
      </c>
    </row>
    <row r="26" spans="1:24">
      <c r="A26" s="135">
        <v>715</v>
      </c>
      <c r="B26" s="567" t="str">
        <f>+VLOOKUP($A26,Master!$D$30:$G$226,4,FALSE)</f>
        <v>Ostali prihodi</v>
      </c>
      <c r="C26" s="568"/>
      <c r="D26" s="568"/>
      <c r="E26" s="568"/>
      <c r="F26" s="568"/>
      <c r="G26" s="160">
        <v>7787071.8500000006</v>
      </c>
      <c r="H26" s="160">
        <v>2506490.67</v>
      </c>
      <c r="I26" s="160">
        <v>2145824.85</v>
      </c>
      <c r="J26" s="160">
        <v>12834932.449999999</v>
      </c>
      <c r="K26" s="160">
        <v>3927502.05</v>
      </c>
      <c r="L26" s="523">
        <v>13138766.17</v>
      </c>
      <c r="M26" s="523">
        <v>20196198.690000001</v>
      </c>
      <c r="N26" s="523">
        <v>3567908.3099999996</v>
      </c>
      <c r="O26" s="523">
        <v>9680884.0299999993</v>
      </c>
      <c r="P26" s="523">
        <v>2158978.42</v>
      </c>
      <c r="Q26" s="523"/>
      <c r="R26" s="523"/>
      <c r="S26" s="521">
        <f t="shared" si="7"/>
        <v>77944557.49000001</v>
      </c>
      <c r="T26" s="522">
        <f t="shared" si="6"/>
        <v>1.0707111212000495</v>
      </c>
    </row>
    <row r="27" spans="1:24">
      <c r="A27" s="135">
        <v>73</v>
      </c>
      <c r="B27" s="567" t="str">
        <f>+VLOOKUP($A27,Master!$D$30:$G$226,4,FALSE)</f>
        <v>Primici od otplate kredita i sredstva prenesena iz prethodne godine</v>
      </c>
      <c r="C27" s="568"/>
      <c r="D27" s="568"/>
      <c r="E27" s="568"/>
      <c r="F27" s="568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/>
      <c r="R27" s="523"/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567" t="str">
        <f>+VLOOKUP($A28,Master!$D$30:$G$226,4,FALSE)</f>
        <v>Donacije i transferi</v>
      </c>
      <c r="C28" s="568"/>
      <c r="D28" s="568"/>
      <c r="E28" s="568"/>
      <c r="F28" s="568"/>
      <c r="G28" s="160">
        <v>4232324.3600000003</v>
      </c>
      <c r="H28" s="160">
        <v>113935.73</v>
      </c>
      <c r="I28" s="160">
        <v>3280879.61</v>
      </c>
      <c r="J28" s="160">
        <v>1986252.18</v>
      </c>
      <c r="K28" s="160">
        <v>1598183.88</v>
      </c>
      <c r="L28" s="523">
        <v>2513469.9</v>
      </c>
      <c r="M28" s="523">
        <v>3161833.91</v>
      </c>
      <c r="N28" s="523">
        <v>3345939.22</v>
      </c>
      <c r="O28" s="523">
        <v>3184467.36</v>
      </c>
      <c r="P28" s="523">
        <v>5570791.1399999997</v>
      </c>
      <c r="Q28" s="523"/>
      <c r="R28" s="523"/>
      <c r="S28" s="521">
        <f t="shared" si="7"/>
        <v>28988077.289999999</v>
      </c>
      <c r="T28" s="524">
        <f t="shared" si="6"/>
        <v>0.39820428437985084</v>
      </c>
    </row>
    <row r="29" spans="1:24" ht="13.5" thickBot="1">
      <c r="A29" s="135">
        <v>4</v>
      </c>
      <c r="B29" s="573" t="str">
        <f>+VLOOKUP($A29,Master!$D$30:$G$226,4,FALSE)</f>
        <v>Izdaci budžeta</v>
      </c>
      <c r="C29" s="574"/>
      <c r="D29" s="574"/>
      <c r="E29" s="574"/>
      <c r="F29" s="574"/>
      <c r="G29" s="136">
        <f>+G30+G40+G46+SUM(G47:G51)</f>
        <v>137917013.63</v>
      </c>
      <c r="H29" s="136">
        <f t="shared" ref="H29:L29" si="11">+H30+H40+H46+SUM(H47:H51)</f>
        <v>214357140.56999999</v>
      </c>
      <c r="I29" s="136">
        <f t="shared" si="11"/>
        <v>231127145.44999996</v>
      </c>
      <c r="J29" s="136">
        <f t="shared" si="11"/>
        <v>258889877.91999999</v>
      </c>
      <c r="K29" s="136">
        <f t="shared" si="11"/>
        <v>214734194.55000004</v>
      </c>
      <c r="L29" s="136">
        <f t="shared" si="11"/>
        <v>224350537.5</v>
      </c>
      <c r="M29" s="136">
        <f t="shared" ref="M29:R29" si="12">+M30+M40+M46+SUM(M47:M51)</f>
        <v>248902090.77999997</v>
      </c>
      <c r="N29" s="136">
        <f t="shared" si="12"/>
        <v>204283294.99999997</v>
      </c>
      <c r="O29" s="136">
        <f t="shared" si="12"/>
        <v>254468151.64999998</v>
      </c>
      <c r="P29" s="136">
        <f t="shared" si="12"/>
        <v>253541261.47</v>
      </c>
      <c r="Q29" s="136">
        <f t="shared" si="12"/>
        <v>0</v>
      </c>
      <c r="R29" s="136">
        <f t="shared" si="12"/>
        <v>0</v>
      </c>
      <c r="S29" s="525">
        <f t="shared" si="7"/>
        <v>2242570708.5199995</v>
      </c>
      <c r="T29" s="526">
        <f t="shared" si="6"/>
        <v>30.80581216973226</v>
      </c>
    </row>
    <row r="30" spans="1:24">
      <c r="A30" s="135">
        <v>41</v>
      </c>
      <c r="B30" s="577" t="str">
        <f>+VLOOKUP($A30,Master!$D$30:$G$226,4,FALSE)</f>
        <v>Tekući izdaci</v>
      </c>
      <c r="C30" s="578"/>
      <c r="D30" s="578"/>
      <c r="E30" s="578"/>
      <c r="F30" s="578"/>
      <c r="G30" s="172">
        <f t="shared" ref="G30" si="13">+SUM(G31:G39)</f>
        <v>61605376.840000004</v>
      </c>
      <c r="H30" s="172">
        <f t="shared" ref="H30:L30" si="14">+SUM(H31:H39)</f>
        <v>82044417.609999955</v>
      </c>
      <c r="I30" s="172">
        <f t="shared" si="14"/>
        <v>89985207.119999975</v>
      </c>
      <c r="J30" s="172">
        <f t="shared" si="14"/>
        <v>107677776.29000001</v>
      </c>
      <c r="K30" s="172">
        <f t="shared" si="14"/>
        <v>86442522.650000036</v>
      </c>
      <c r="L30" s="172">
        <f t="shared" si="14"/>
        <v>85968333.140000015</v>
      </c>
      <c r="M30" s="172">
        <f t="shared" ref="M30:R30" si="15">+SUM(M31:M39)</f>
        <v>88278051.740000039</v>
      </c>
      <c r="N30" s="172">
        <f t="shared" si="15"/>
        <v>78701468.75</v>
      </c>
      <c r="O30" s="172">
        <f t="shared" si="15"/>
        <v>109969748.44000001</v>
      </c>
      <c r="P30" s="172">
        <f t="shared" si="15"/>
        <v>104934247.92</v>
      </c>
      <c r="Q30" s="172">
        <f t="shared" si="15"/>
        <v>0</v>
      </c>
      <c r="R30" s="231">
        <f t="shared" si="15"/>
        <v>0</v>
      </c>
      <c r="S30" s="527">
        <f t="shared" si="7"/>
        <v>895607150.5</v>
      </c>
      <c r="T30" s="519">
        <f t="shared" si="6"/>
        <v>12.302803006992047</v>
      </c>
      <c r="U30" s="472"/>
    </row>
    <row r="31" spans="1:24">
      <c r="A31" s="135">
        <v>411</v>
      </c>
      <c r="B31" s="565" t="str">
        <f>+VLOOKUP($A31,Master!$D$30:$G$226,4,FALSE)</f>
        <v>Bruto zarade i doprinosi na teret poslodavca</v>
      </c>
      <c r="C31" s="566"/>
      <c r="D31" s="566"/>
      <c r="E31" s="566"/>
      <c r="F31" s="566"/>
      <c r="G31" s="558">
        <v>55136615.750000007</v>
      </c>
      <c r="H31" s="499">
        <v>55692244.729999967</v>
      </c>
      <c r="I31" s="499">
        <v>55409720.469999999</v>
      </c>
      <c r="J31" s="499">
        <v>52206366.690000013</v>
      </c>
      <c r="K31" s="499">
        <v>59775945.540000021</v>
      </c>
      <c r="L31" s="148">
        <v>56818382.910000011</v>
      </c>
      <c r="M31" s="148">
        <v>56266659.160000019</v>
      </c>
      <c r="N31" s="148">
        <v>55238876.089999989</v>
      </c>
      <c r="O31" s="148">
        <v>57435269.210000031</v>
      </c>
      <c r="P31" s="498">
        <v>57172944.25</v>
      </c>
      <c r="Q31" s="148"/>
      <c r="R31" s="148"/>
      <c r="S31" s="227">
        <f t="shared" si="7"/>
        <v>561153024.80000007</v>
      </c>
      <c r="T31" s="436">
        <f t="shared" si="6"/>
        <v>7.708463601522042</v>
      </c>
      <c r="U31" s="472"/>
    </row>
    <row r="32" spans="1:24">
      <c r="A32" s="135">
        <v>412</v>
      </c>
      <c r="B32" s="565" t="str">
        <f>+VLOOKUP($A32,Master!$D$30:$G$226,4,FALSE)</f>
        <v>Ostala lična primanja</v>
      </c>
      <c r="C32" s="566"/>
      <c r="D32" s="566"/>
      <c r="E32" s="566"/>
      <c r="F32" s="566"/>
      <c r="G32" s="558">
        <v>104790.61</v>
      </c>
      <c r="H32" s="499">
        <v>1837884.4900000002</v>
      </c>
      <c r="I32" s="499">
        <v>2257740.919999999</v>
      </c>
      <c r="J32" s="499">
        <v>1683790.7199999997</v>
      </c>
      <c r="K32" s="499">
        <v>1510365</v>
      </c>
      <c r="L32" s="148">
        <v>1609176.6600000001</v>
      </c>
      <c r="M32" s="148">
        <v>1737204.9199999995</v>
      </c>
      <c r="N32" s="148">
        <v>1253291.9899999995</v>
      </c>
      <c r="O32" s="148">
        <v>1536869.6700000002</v>
      </c>
      <c r="P32" s="148">
        <v>1989821.8199999996</v>
      </c>
      <c r="Q32" s="148"/>
      <c r="R32" s="148"/>
      <c r="S32" s="227">
        <f t="shared" si="7"/>
        <v>15520936.799999999</v>
      </c>
      <c r="T32" s="436">
        <f t="shared" si="6"/>
        <v>0.21320846738189761</v>
      </c>
      <c r="U32" s="472"/>
      <c r="V32" s="275"/>
    </row>
    <row r="33" spans="1:24">
      <c r="A33" s="135">
        <v>413</v>
      </c>
      <c r="B33" s="565" t="str">
        <f>+VLOOKUP($A33,Master!$D$30:$G$226,4,FALSE)</f>
        <v>Rashodi za materijal</v>
      </c>
      <c r="C33" s="566"/>
      <c r="D33" s="566"/>
      <c r="E33" s="566"/>
      <c r="F33" s="566"/>
      <c r="G33" s="558">
        <v>201738.93999999997</v>
      </c>
      <c r="H33" s="499">
        <v>3185464.5300000003</v>
      </c>
      <c r="I33" s="499">
        <v>3529714.7899999996</v>
      </c>
      <c r="J33" s="499">
        <v>3288871.4699999997</v>
      </c>
      <c r="K33" s="499">
        <v>2243018</v>
      </c>
      <c r="L33" s="148">
        <v>2355582.7499999995</v>
      </c>
      <c r="M33" s="148">
        <v>3349316.5599999996</v>
      </c>
      <c r="N33" s="148">
        <v>1740999.7799999998</v>
      </c>
      <c r="O33" s="148">
        <v>4498026.6500000013</v>
      </c>
      <c r="P33" s="148">
        <v>3461755.82</v>
      </c>
      <c r="Q33" s="148"/>
      <c r="R33" s="148"/>
      <c r="S33" s="227">
        <f t="shared" si="7"/>
        <v>27854489.290000003</v>
      </c>
      <c r="T33" s="436">
        <f t="shared" si="6"/>
        <v>0.38263237894418728</v>
      </c>
      <c r="U33" s="472"/>
    </row>
    <row r="34" spans="1:24" s="334" customFormat="1">
      <c r="A34" s="333">
        <v>414</v>
      </c>
      <c r="B34" s="660" t="str">
        <f>+VLOOKUP($A34,Master!$D$30:$G$226,4,FALSE)</f>
        <v>Rashodi za usluge</v>
      </c>
      <c r="C34" s="661"/>
      <c r="D34" s="661"/>
      <c r="E34" s="661"/>
      <c r="F34" s="661"/>
      <c r="G34" s="558">
        <v>768611.57000000007</v>
      </c>
      <c r="H34" s="499">
        <v>3306116.05</v>
      </c>
      <c r="I34" s="499">
        <v>6882661.3600000003</v>
      </c>
      <c r="J34" s="499">
        <v>6039146.9399999995</v>
      </c>
      <c r="K34" s="499">
        <v>4178033.2299999995</v>
      </c>
      <c r="L34" s="148">
        <v>5584622.5299999984</v>
      </c>
      <c r="M34" s="148">
        <v>6879718.1200000001</v>
      </c>
      <c r="N34" s="148">
        <v>3803417.7099999995</v>
      </c>
      <c r="O34" s="148">
        <v>4395037.3</v>
      </c>
      <c r="P34" s="148">
        <v>7261158.9799999995</v>
      </c>
      <c r="Q34" s="148"/>
      <c r="R34" s="148"/>
      <c r="S34" s="227">
        <f t="shared" si="7"/>
        <v>49098523.789999992</v>
      </c>
      <c r="T34" s="436">
        <f t="shared" si="6"/>
        <v>0.67445806544225706</v>
      </c>
      <c r="U34" s="472"/>
    </row>
    <row r="35" spans="1:24">
      <c r="A35" s="135">
        <v>415</v>
      </c>
      <c r="B35" s="565" t="str">
        <f>+VLOOKUP($A35,Master!$D$30:$G$226,4,FALSE)</f>
        <v>Rashodi za tekuće održavanje</v>
      </c>
      <c r="C35" s="566"/>
      <c r="D35" s="566"/>
      <c r="E35" s="566"/>
      <c r="F35" s="566"/>
      <c r="G35" s="558">
        <v>4201.5999999999995</v>
      </c>
      <c r="H35" s="499">
        <v>1444596.6199999996</v>
      </c>
      <c r="I35" s="499">
        <v>1881542.3199999998</v>
      </c>
      <c r="J35" s="499">
        <v>3225908.9499999997</v>
      </c>
      <c r="K35" s="499">
        <v>504578.94999999995</v>
      </c>
      <c r="L35" s="148">
        <v>3145877.9800000004</v>
      </c>
      <c r="M35" s="148">
        <v>3731629.6500000004</v>
      </c>
      <c r="N35" s="148">
        <v>2811315.1200000006</v>
      </c>
      <c r="O35" s="148">
        <v>4062574.1599999997</v>
      </c>
      <c r="P35" s="148">
        <v>2530485.4200000004</v>
      </c>
      <c r="Q35" s="148"/>
      <c r="R35" s="148"/>
      <c r="S35" s="227">
        <f t="shared" si="7"/>
        <v>23342710.770000003</v>
      </c>
      <c r="T35" s="436">
        <f t="shared" si="6"/>
        <v>0.32065484525461219</v>
      </c>
      <c r="U35" s="472"/>
    </row>
    <row r="36" spans="1:24">
      <c r="A36" s="135">
        <v>416</v>
      </c>
      <c r="B36" s="565" t="str">
        <f>+VLOOKUP($A36,Master!$D$30:$G$226,4,FALSE)</f>
        <v>Kamate</v>
      </c>
      <c r="C36" s="566"/>
      <c r="D36" s="566"/>
      <c r="E36" s="566"/>
      <c r="F36" s="566"/>
      <c r="G36" s="558">
        <v>4029329.47</v>
      </c>
      <c r="H36" s="499">
        <v>4129191.9600000004</v>
      </c>
      <c r="I36" s="499">
        <v>7187848.6899999976</v>
      </c>
      <c r="J36" s="499">
        <v>31152856.879999992</v>
      </c>
      <c r="K36" s="499">
        <v>8072726.5900000008</v>
      </c>
      <c r="L36" s="148">
        <v>5854363.290000001</v>
      </c>
      <c r="M36" s="148">
        <v>3738849.7</v>
      </c>
      <c r="N36" s="148">
        <v>3977652.6799999997</v>
      </c>
      <c r="O36" s="148">
        <v>25966444.500000004</v>
      </c>
      <c r="P36" s="148">
        <v>14869850.659999998</v>
      </c>
      <c r="Q36" s="148"/>
      <c r="R36" s="148"/>
      <c r="S36" s="227">
        <f>+SUM(G36:R36)</f>
        <v>108979114.41999999</v>
      </c>
      <c r="T36" s="436">
        <f t="shared" si="6"/>
        <v>1.4970275481132462</v>
      </c>
      <c r="U36" s="472"/>
      <c r="V36" s="275"/>
    </row>
    <row r="37" spans="1:24">
      <c r="A37" s="135">
        <v>417</v>
      </c>
      <c r="B37" s="565" t="str">
        <f>+VLOOKUP($A37,Master!$D$30:$G$226,4,FALSE)</f>
        <v>Renta</v>
      </c>
      <c r="C37" s="566"/>
      <c r="D37" s="566"/>
      <c r="E37" s="566"/>
      <c r="F37" s="566"/>
      <c r="G37" s="558">
        <v>155.47</v>
      </c>
      <c r="H37" s="499">
        <v>1060132.9999999998</v>
      </c>
      <c r="I37" s="499">
        <v>1228548.2700000005</v>
      </c>
      <c r="J37" s="499">
        <v>1368144.23</v>
      </c>
      <c r="K37" s="499">
        <v>707637.62000000023</v>
      </c>
      <c r="L37" s="148">
        <v>996164.27000000025</v>
      </c>
      <c r="M37" s="148">
        <v>1022257.5800000003</v>
      </c>
      <c r="N37" s="148">
        <v>1097677.0900000001</v>
      </c>
      <c r="O37" s="148">
        <v>582375.03000000014</v>
      </c>
      <c r="P37" s="148">
        <v>871596.95000000019</v>
      </c>
      <c r="Q37" s="148"/>
      <c r="R37" s="148"/>
      <c r="S37" s="227">
        <f t="shared" si="7"/>
        <v>8934689.5100000016</v>
      </c>
      <c r="T37" s="436">
        <f t="shared" si="6"/>
        <v>0.12273430924351281</v>
      </c>
      <c r="U37" s="472"/>
      <c r="V37" s="275"/>
    </row>
    <row r="38" spans="1:24">
      <c r="A38" s="135">
        <v>418</v>
      </c>
      <c r="B38" s="565" t="str">
        <f>+VLOOKUP($A38,Master!$D$30:$G$226,4,FALSE)</f>
        <v>Subvencije</v>
      </c>
      <c r="C38" s="566"/>
      <c r="D38" s="566"/>
      <c r="E38" s="566"/>
      <c r="F38" s="566"/>
      <c r="G38" s="558">
        <v>1261570.0099999986</v>
      </c>
      <c r="H38" s="499">
        <v>3823193.8399999933</v>
      </c>
      <c r="I38" s="499">
        <v>6034941.5099999923</v>
      </c>
      <c r="J38" s="499">
        <v>4256461.2399999993</v>
      </c>
      <c r="K38" s="499">
        <v>4091213.4399999962</v>
      </c>
      <c r="L38" s="148">
        <v>5603254.6099999957</v>
      </c>
      <c r="M38" s="148">
        <v>6020163.6199999992</v>
      </c>
      <c r="N38" s="148">
        <v>5377628.4600000018</v>
      </c>
      <c r="O38" s="148">
        <v>8420721.0699999966</v>
      </c>
      <c r="P38" s="148">
        <v>11936637.319999991</v>
      </c>
      <c r="Q38" s="148"/>
      <c r="R38" s="148"/>
      <c r="S38" s="227">
        <f t="shared" si="7"/>
        <v>56825785.11999996</v>
      </c>
      <c r="T38" s="436">
        <f t="shared" si="6"/>
        <v>0.78060613926398015</v>
      </c>
      <c r="U38" s="472"/>
    </row>
    <row r="39" spans="1:24">
      <c r="A39" s="135">
        <v>419</v>
      </c>
      <c r="B39" s="565" t="str">
        <f>+VLOOKUP($A39,Master!$D$30:$G$226,4,FALSE)</f>
        <v>Ostali izdaci</v>
      </c>
      <c r="C39" s="566"/>
      <c r="D39" s="566"/>
      <c r="E39" s="566"/>
      <c r="F39" s="566"/>
      <c r="G39" s="558">
        <v>98363.42</v>
      </c>
      <c r="H39" s="499">
        <v>7565592.3899999987</v>
      </c>
      <c r="I39" s="499">
        <v>5572488.7899999991</v>
      </c>
      <c r="J39" s="499">
        <v>4456229.17</v>
      </c>
      <c r="K39" s="499">
        <v>5359004.28</v>
      </c>
      <c r="L39" s="148">
        <v>4000908.1399999997</v>
      </c>
      <c r="M39" s="148">
        <v>5532252.4299999997</v>
      </c>
      <c r="N39" s="148">
        <v>3400609.830000001</v>
      </c>
      <c r="O39" s="148">
        <v>3072430.8499999996</v>
      </c>
      <c r="P39" s="148">
        <v>4839996.7</v>
      </c>
      <c r="Q39" s="148"/>
      <c r="R39" s="148"/>
      <c r="S39" s="227">
        <f t="shared" si="7"/>
        <v>43897876</v>
      </c>
      <c r="T39" s="436">
        <f t="shared" si="6"/>
        <v>0.60301765182631151</v>
      </c>
      <c r="U39" s="472"/>
      <c r="V39" s="275"/>
    </row>
    <row r="40" spans="1:24">
      <c r="A40" s="135">
        <v>42</v>
      </c>
      <c r="B40" s="581" t="str">
        <f>+VLOOKUP($A40,Master!$D$30:$G$226,4,FALSE)</f>
        <v>Transferi za socijalnu zaštitu</v>
      </c>
      <c r="C40" s="582"/>
      <c r="D40" s="582"/>
      <c r="E40" s="582"/>
      <c r="F40" s="582"/>
      <c r="G40" s="178">
        <f>+SUM(G41:G45)</f>
        <v>68104395.889999986</v>
      </c>
      <c r="H40" s="178">
        <f t="shared" ref="H40:L40" si="16">+SUM(H41:H45)</f>
        <v>82001953.830000028</v>
      </c>
      <c r="I40" s="178">
        <f t="shared" si="16"/>
        <v>83535130.719999999</v>
      </c>
      <c r="J40" s="178">
        <f t="shared" si="16"/>
        <v>83363793.789999992</v>
      </c>
      <c r="K40" s="178">
        <f t="shared" si="16"/>
        <v>82007767.449999988</v>
      </c>
      <c r="L40" s="178">
        <f t="shared" si="16"/>
        <v>84080432.439999953</v>
      </c>
      <c r="M40" s="178">
        <f t="shared" ref="M40:R40" si="17">+SUM(M41:M45)</f>
        <v>88657241.409999952</v>
      </c>
      <c r="N40" s="178">
        <f t="shared" si="17"/>
        <v>85114815.50999999</v>
      </c>
      <c r="O40" s="178">
        <f t="shared" si="17"/>
        <v>83189568.569999978</v>
      </c>
      <c r="P40" s="178">
        <f t="shared" si="17"/>
        <v>86741421.589999989</v>
      </c>
      <c r="Q40" s="178">
        <f t="shared" si="17"/>
        <v>0</v>
      </c>
      <c r="R40" s="178">
        <f t="shared" si="17"/>
        <v>0</v>
      </c>
      <c r="S40" s="528">
        <f t="shared" si="7"/>
        <v>826796521.19999981</v>
      </c>
      <c r="T40" s="529">
        <f t="shared" si="6"/>
        <v>11.357563102875117</v>
      </c>
      <c r="U40" s="472"/>
    </row>
    <row r="41" spans="1:24">
      <c r="A41" s="135">
        <v>421</v>
      </c>
      <c r="B41" s="565" t="str">
        <f>+VLOOKUP($A41,Master!$D$30:$G$226,4,FALSE)</f>
        <v>Prava iz oblasti socijalne zaštite</v>
      </c>
      <c r="C41" s="566"/>
      <c r="D41" s="566"/>
      <c r="E41" s="566"/>
      <c r="F41" s="566"/>
      <c r="G41" s="558">
        <v>17183646.739999998</v>
      </c>
      <c r="H41" s="499">
        <v>17507547.41</v>
      </c>
      <c r="I41" s="499">
        <v>16928238.349999998</v>
      </c>
      <c r="J41" s="499">
        <v>17627062.289999999</v>
      </c>
      <c r="K41" s="499">
        <v>17001906.07</v>
      </c>
      <c r="L41" s="148">
        <v>17979185.619999997</v>
      </c>
      <c r="M41" s="148">
        <v>16917527.130000003</v>
      </c>
      <c r="N41" s="148">
        <v>18622201.02</v>
      </c>
      <c r="O41" s="148">
        <v>16239772.940000001</v>
      </c>
      <c r="P41" s="148">
        <v>18980290.810000002</v>
      </c>
      <c r="Q41" s="148"/>
      <c r="R41" s="148"/>
      <c r="S41" s="227">
        <f t="shared" si="7"/>
        <v>174987378.38</v>
      </c>
      <c r="T41" s="436">
        <f t="shared" si="6"/>
        <v>2.4037718364767779</v>
      </c>
      <c r="U41" s="472"/>
    </row>
    <row r="42" spans="1:24">
      <c r="A42" s="135">
        <v>422</v>
      </c>
      <c r="B42" s="565" t="str">
        <f>+VLOOKUP($A42,Master!$D$30:$G$226,4,FALSE)</f>
        <v>Sredstva za tehnološke viškove</v>
      </c>
      <c r="C42" s="566"/>
      <c r="D42" s="566"/>
      <c r="E42" s="566"/>
      <c r="F42" s="566"/>
      <c r="G42" s="558">
        <v>0</v>
      </c>
      <c r="H42" s="499">
        <v>1977301.41</v>
      </c>
      <c r="I42" s="499">
        <v>1962698.7999999998</v>
      </c>
      <c r="J42" s="499">
        <v>1911485.76</v>
      </c>
      <c r="K42" s="499">
        <v>1876474.2999999998</v>
      </c>
      <c r="L42" s="148">
        <v>1850184.16</v>
      </c>
      <c r="M42" s="148">
        <v>1906089.0599999998</v>
      </c>
      <c r="N42" s="148">
        <v>1848788.09</v>
      </c>
      <c r="O42" s="148">
        <v>1914382.2699999998</v>
      </c>
      <c r="P42" s="148">
        <v>1817889.25</v>
      </c>
      <c r="Q42" s="148"/>
      <c r="R42" s="148"/>
      <c r="S42" s="227">
        <f t="shared" si="7"/>
        <v>17065293.100000001</v>
      </c>
      <c r="T42" s="436">
        <f t="shared" si="6"/>
        <v>0.23442302704781795</v>
      </c>
      <c r="U42" s="472"/>
      <c r="V42" s="275"/>
    </row>
    <row r="43" spans="1:24">
      <c r="A43" s="135">
        <v>423</v>
      </c>
      <c r="B43" s="565" t="str">
        <f>+VLOOKUP($A43,Master!$D$30:$G$226,4,FALSE)</f>
        <v>Prava iz oblasti penzijskog i invalidskog osiguranja</v>
      </c>
      <c r="C43" s="566"/>
      <c r="D43" s="566"/>
      <c r="E43" s="566"/>
      <c r="F43" s="566"/>
      <c r="G43" s="558">
        <v>49992836.859999999</v>
      </c>
      <c r="H43" s="499">
        <v>60436837.38000001</v>
      </c>
      <c r="I43" s="499">
        <v>61009059.659999989</v>
      </c>
      <c r="J43" s="499">
        <v>61180414.659999989</v>
      </c>
      <c r="K43" s="499">
        <v>60912897.669999979</v>
      </c>
      <c r="L43" s="148">
        <v>61972227.06999997</v>
      </c>
      <c r="M43" s="148">
        <v>61550827.919999957</v>
      </c>
      <c r="N43" s="148">
        <v>62111987.969999999</v>
      </c>
      <c r="O43" s="148">
        <v>62041259.769999973</v>
      </c>
      <c r="P43" s="148">
        <v>62741828.979999974</v>
      </c>
      <c r="Q43" s="148"/>
      <c r="R43" s="148"/>
      <c r="S43" s="227">
        <f t="shared" si="7"/>
        <v>603950177.93999994</v>
      </c>
      <c r="T43" s="436">
        <f t="shared" si="6"/>
        <v>8.2963608107476947</v>
      </c>
      <c r="U43" s="472"/>
    </row>
    <row r="44" spans="1:24">
      <c r="A44" s="135">
        <v>424</v>
      </c>
      <c r="B44" s="565" t="str">
        <f>+VLOOKUP($A44,Master!$D$30:$G$226,4,FALSE)</f>
        <v>Ostala prava iz oblasti zdravstvene zaštite</v>
      </c>
      <c r="C44" s="566"/>
      <c r="D44" s="566"/>
      <c r="E44" s="566"/>
      <c r="F44" s="566"/>
      <c r="G44" s="558">
        <v>893164.23999999976</v>
      </c>
      <c r="H44" s="499">
        <v>857362.14999999979</v>
      </c>
      <c r="I44" s="499">
        <v>1261874.7299999995</v>
      </c>
      <c r="J44" s="499">
        <v>1234497.5799999998</v>
      </c>
      <c r="K44" s="499">
        <v>1046920.1199999999</v>
      </c>
      <c r="L44" s="148">
        <v>1033640.7399999999</v>
      </c>
      <c r="M44" s="148">
        <v>6613796.0999999996</v>
      </c>
      <c r="N44" s="148">
        <v>1831545.6900000004</v>
      </c>
      <c r="O44" s="148">
        <v>1235670.44</v>
      </c>
      <c r="P44" s="148">
        <v>1750407.2900000003</v>
      </c>
      <c r="Q44" s="148"/>
      <c r="R44" s="148"/>
      <c r="S44" s="227">
        <f t="shared" si="7"/>
        <v>17758879.080000002</v>
      </c>
      <c r="T44" s="436">
        <f t="shared" si="6"/>
        <v>0.24395069961674248</v>
      </c>
      <c r="U44" s="472"/>
    </row>
    <row r="45" spans="1:24" s="334" customFormat="1">
      <c r="A45" s="333">
        <v>425</v>
      </c>
      <c r="B45" s="656" t="str">
        <f>+VLOOKUP($A45,Master!$D$30:$G$226,4,FALSE)</f>
        <v>Ostala prava iz zdravstvenog osiguranja</v>
      </c>
      <c r="C45" s="657"/>
      <c r="D45" s="657"/>
      <c r="E45" s="657"/>
      <c r="F45" s="657"/>
      <c r="G45" s="558">
        <v>34748.049999999996</v>
      </c>
      <c r="H45" s="499">
        <v>1222905.48</v>
      </c>
      <c r="I45" s="499">
        <v>2373259.1799999997</v>
      </c>
      <c r="J45" s="499">
        <v>1410333.5000000005</v>
      </c>
      <c r="K45" s="499">
        <v>1169569.2899999991</v>
      </c>
      <c r="L45" s="148">
        <v>1245194.8499999996</v>
      </c>
      <c r="M45" s="148">
        <v>1669001.2000000009</v>
      </c>
      <c r="N45" s="148">
        <v>700292.73999999987</v>
      </c>
      <c r="O45" s="148">
        <v>1758483.15</v>
      </c>
      <c r="P45" s="148">
        <v>1451005.2600000005</v>
      </c>
      <c r="Q45" s="148"/>
      <c r="R45" s="148"/>
      <c r="S45" s="227">
        <f t="shared" si="7"/>
        <v>13034792.700000001</v>
      </c>
      <c r="T45" s="436">
        <f t="shared" si="6"/>
        <v>0.1790567289860846</v>
      </c>
      <c r="U45" s="472"/>
    </row>
    <row r="46" spans="1:24">
      <c r="A46" s="135">
        <v>43</v>
      </c>
      <c r="B46" s="579" t="str">
        <f>+VLOOKUP($A46,Master!$D$30:$G$226,4,FALSE)</f>
        <v xml:space="preserve">Transferi institucijama, pojedincima, nevladinom i javnom sektoru </v>
      </c>
      <c r="C46" s="580"/>
      <c r="D46" s="580"/>
      <c r="E46" s="580"/>
      <c r="F46" s="580"/>
      <c r="G46" s="556">
        <v>3021521.19</v>
      </c>
      <c r="H46" s="160">
        <v>35873257.970000006</v>
      </c>
      <c r="I46" s="160">
        <v>38914285.890000001</v>
      </c>
      <c r="J46" s="160">
        <v>41204027.49000001</v>
      </c>
      <c r="K46" s="160">
        <v>24558346.619999997</v>
      </c>
      <c r="L46" s="160">
        <v>33632618.140000008</v>
      </c>
      <c r="M46" s="160">
        <v>42236253.310000002</v>
      </c>
      <c r="N46" s="160">
        <v>25403126.260000002</v>
      </c>
      <c r="O46" s="160">
        <v>33680575.530000001</v>
      </c>
      <c r="P46" s="160">
        <v>30734173.659999993</v>
      </c>
      <c r="Q46" s="160"/>
      <c r="R46" s="160"/>
      <c r="S46" s="521">
        <f t="shared" si="7"/>
        <v>309258186.06</v>
      </c>
      <c r="T46" s="522">
        <f t="shared" si="6"/>
        <v>4.2482270706210423</v>
      </c>
      <c r="U46" s="472"/>
    </row>
    <row r="47" spans="1:24">
      <c r="A47" s="135">
        <v>44</v>
      </c>
      <c r="B47" s="579" t="str">
        <f>+VLOOKUP($A47,Master!$D$30:$G$226,4,FALSE)</f>
        <v>Kapitalni izdaci</v>
      </c>
      <c r="C47" s="580"/>
      <c r="D47" s="580"/>
      <c r="E47" s="580"/>
      <c r="F47" s="580"/>
      <c r="G47" s="556">
        <v>3531423.4500000007</v>
      </c>
      <c r="H47" s="160">
        <v>9832570.8200000003</v>
      </c>
      <c r="I47" s="160">
        <v>15207243.570000002</v>
      </c>
      <c r="J47" s="160">
        <v>22608925.77</v>
      </c>
      <c r="K47" s="160">
        <v>11794812.940000001</v>
      </c>
      <c r="L47" s="160">
        <v>14825602.35</v>
      </c>
      <c r="M47" s="160">
        <v>21925196.23</v>
      </c>
      <c r="N47" s="160">
        <v>10857865.770000001</v>
      </c>
      <c r="O47" s="160">
        <v>26563035.799999997</v>
      </c>
      <c r="P47" s="160">
        <v>27895963.32</v>
      </c>
      <c r="Q47" s="160"/>
      <c r="R47" s="160"/>
      <c r="S47" s="521">
        <f t="shared" si="7"/>
        <v>165042640.01999998</v>
      </c>
      <c r="T47" s="522">
        <f t="shared" si="6"/>
        <v>2.2671626580765691</v>
      </c>
      <c r="U47" s="472"/>
      <c r="V47" s="275"/>
      <c r="W47" s="292"/>
      <c r="X47" s="292"/>
    </row>
    <row r="48" spans="1:24">
      <c r="A48" s="135">
        <v>451</v>
      </c>
      <c r="B48" s="658" t="str">
        <f>+VLOOKUP($A48,Master!$D$30:$G$226,4,FALSE)</f>
        <v>Pozajmice i krediti</v>
      </c>
      <c r="C48" s="659"/>
      <c r="D48" s="659"/>
      <c r="E48" s="659"/>
      <c r="F48" s="659"/>
      <c r="G48" s="558">
        <v>0</v>
      </c>
      <c r="H48" s="499">
        <v>0</v>
      </c>
      <c r="I48" s="499">
        <v>0</v>
      </c>
      <c r="J48" s="499">
        <v>0</v>
      </c>
      <c r="K48" s="499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/>
      <c r="R48" s="148"/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50" t="str">
        <f>+VLOOKUP($A49,Master!$D$30:$G$226,4,FALSE)</f>
        <v>Rezerve</v>
      </c>
      <c r="C49" s="651"/>
      <c r="D49" s="651"/>
      <c r="E49" s="651"/>
      <c r="F49" s="651"/>
      <c r="G49" s="558">
        <v>0</v>
      </c>
      <c r="H49" s="499">
        <v>0</v>
      </c>
      <c r="I49" s="499">
        <v>754804.72</v>
      </c>
      <c r="J49" s="499">
        <v>2241991.63</v>
      </c>
      <c r="K49" s="499">
        <v>8144950</v>
      </c>
      <c r="L49" s="148">
        <v>3778637.9000000004</v>
      </c>
      <c r="M49" s="148">
        <v>5528221.54</v>
      </c>
      <c r="N49" s="148">
        <v>13662.199999999999</v>
      </c>
      <c r="O49" s="148">
        <v>5725</v>
      </c>
      <c r="P49" s="148">
        <v>2349062.9400000004</v>
      </c>
      <c r="Q49" s="148"/>
      <c r="R49" s="148"/>
      <c r="S49" s="227">
        <f t="shared" si="7"/>
        <v>22817055.93</v>
      </c>
      <c r="T49" s="436">
        <f t="shared" si="6"/>
        <v>0.31343401417640837</v>
      </c>
      <c r="U49" s="472"/>
    </row>
    <row r="50" spans="1:21" ht="13.5" thickBot="1">
      <c r="A50" s="135">
        <v>462</v>
      </c>
      <c r="B50" s="585" t="str">
        <f>+VLOOKUP($A50,Master!$D$30:$G$226,4,FALSE)</f>
        <v>Otplata garancija</v>
      </c>
      <c r="C50" s="586"/>
      <c r="D50" s="586"/>
      <c r="E50" s="586"/>
      <c r="F50" s="586"/>
      <c r="G50" s="558">
        <v>0</v>
      </c>
      <c r="H50" s="499">
        <v>2301161.16</v>
      </c>
      <c r="I50" s="499">
        <v>0</v>
      </c>
      <c r="J50" s="499">
        <v>0</v>
      </c>
      <c r="K50" s="499">
        <v>0</v>
      </c>
      <c r="L50" s="148">
        <v>0</v>
      </c>
      <c r="M50" s="148">
        <v>0</v>
      </c>
      <c r="N50" s="148">
        <v>3548206.51</v>
      </c>
      <c r="O50" s="148">
        <v>0</v>
      </c>
      <c r="P50" s="148">
        <v>0</v>
      </c>
      <c r="Q50" s="148"/>
      <c r="R50" s="148"/>
      <c r="S50" s="227">
        <f t="shared" si="7"/>
        <v>5849367.6699999999</v>
      </c>
      <c r="T50" s="436">
        <f t="shared" si="6"/>
        <v>8.035176820473372E-2</v>
      </c>
      <c r="U50" s="472"/>
    </row>
    <row r="51" spans="1:21" ht="13.5" thickBot="1">
      <c r="A51" s="129">
        <v>4630</v>
      </c>
      <c r="B51" s="652" t="str">
        <f>+VLOOKUP($A51,Master!$D$30:$G$226,4,TRUE)</f>
        <v>Otplata obaveza iz prethodnog perioda</v>
      </c>
      <c r="C51" s="653"/>
      <c r="D51" s="653"/>
      <c r="E51" s="653"/>
      <c r="F51" s="653"/>
      <c r="G51" s="559">
        <v>1654296.2599999998</v>
      </c>
      <c r="H51" s="430">
        <v>2303779.1800000002</v>
      </c>
      <c r="I51" s="430">
        <v>2730473.4299999997</v>
      </c>
      <c r="J51" s="430">
        <v>1793362.9499999997</v>
      </c>
      <c r="K51" s="430">
        <v>1785794.8900000004</v>
      </c>
      <c r="L51" s="430">
        <v>2064913.53</v>
      </c>
      <c r="M51" s="430">
        <v>2277126.5499999989</v>
      </c>
      <c r="N51" s="430">
        <v>644150.00000000012</v>
      </c>
      <c r="O51" s="430">
        <v>1059498.3099999998</v>
      </c>
      <c r="P51" s="430">
        <v>886392.03999999992</v>
      </c>
      <c r="Q51" s="430"/>
      <c r="R51" s="430"/>
      <c r="S51" s="398">
        <f>+SUM(G51:R51)</f>
        <v>17199787.139999997</v>
      </c>
      <c r="T51" s="440">
        <f t="shared" si="6"/>
        <v>0.23627054878635106</v>
      </c>
      <c r="U51" s="472"/>
    </row>
    <row r="52" spans="1:21" ht="13.5" thickBot="1">
      <c r="A52" s="61">
        <v>1005</v>
      </c>
      <c r="B52" s="654" t="str">
        <f>+VLOOKUP($A52,Master!$D$30:$G$228,4,FALSE)</f>
        <v>Neto povećanje obaveza</v>
      </c>
      <c r="C52" s="655"/>
      <c r="D52" s="655"/>
      <c r="E52" s="655"/>
      <c r="F52" s="655"/>
      <c r="G52" s="560">
        <v>0</v>
      </c>
      <c r="H52" s="84">
        <v>0</v>
      </c>
      <c r="I52" s="84">
        <v>0</v>
      </c>
      <c r="J52" s="84">
        <v>0</v>
      </c>
      <c r="K52" s="84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87" t="str">
        <f>+VLOOKUP($A53,Master!$D$30:$G$226,4,FALSE)</f>
        <v>Suficit / deficit</v>
      </c>
      <c r="C53" s="588"/>
      <c r="D53" s="588"/>
      <c r="E53" s="588"/>
      <c r="F53" s="588"/>
      <c r="G53" s="136">
        <f t="shared" ref="G53" si="18">+G10-G29</f>
        <v>13013809.830000013</v>
      </c>
      <c r="H53" s="136">
        <f t="shared" ref="H53:L53" si="19">+H10-H29</f>
        <v>-34108473.029999971</v>
      </c>
      <c r="I53" s="136">
        <f t="shared" si="19"/>
        <v>13419972.370000064</v>
      </c>
      <c r="J53" s="136">
        <f t="shared" si="19"/>
        <v>58682566.289999992</v>
      </c>
      <c r="K53" s="136">
        <f t="shared" si="19"/>
        <v>-19534903.01000005</v>
      </c>
      <c r="L53" s="136">
        <f t="shared" si="19"/>
        <v>-1718265.6399999857</v>
      </c>
      <c r="M53" s="136">
        <f t="shared" ref="M53:R53" si="20">+M10-M29</f>
        <v>14341903.700000077</v>
      </c>
      <c r="N53" s="136">
        <f t="shared" si="20"/>
        <v>50656909.980000049</v>
      </c>
      <c r="O53" s="136">
        <f t="shared" si="20"/>
        <v>-6541239.8999999762</v>
      </c>
      <c r="P53" s="136">
        <f t="shared" si="20"/>
        <v>-13107406.520000011</v>
      </c>
      <c r="Q53" s="136">
        <f t="shared" si="20"/>
        <v>0</v>
      </c>
      <c r="R53" s="136">
        <f t="shared" si="20"/>
        <v>0</v>
      </c>
      <c r="S53" s="530">
        <f>SUM(G53:R53)</f>
        <v>75104874.070000201</v>
      </c>
      <c r="T53" s="531">
        <f t="shared" si="6"/>
        <v>1.0317028733326949</v>
      </c>
    </row>
    <row r="54" spans="1:21" ht="13.5" thickBot="1">
      <c r="A54" s="129">
        <v>1001</v>
      </c>
      <c r="B54" s="589" t="str">
        <f>+VLOOKUP($A54,Master!$D$30:$G$226,4,FALSE)</f>
        <v>Primarni suficit/deficit</v>
      </c>
      <c r="C54" s="590"/>
      <c r="D54" s="590"/>
      <c r="E54" s="590"/>
      <c r="F54" s="590"/>
      <c r="G54" s="190">
        <f t="shared" ref="G54" si="21">+G53+G36</f>
        <v>17043139.300000012</v>
      </c>
      <c r="H54" s="190">
        <f t="shared" ref="H54:L54" si="22">+H53+H36</f>
        <v>-29979281.06999997</v>
      </c>
      <c r="I54" s="190">
        <f t="shared" si="22"/>
        <v>20607821.060000062</v>
      </c>
      <c r="J54" s="190">
        <f t="shared" si="22"/>
        <v>89835423.169999987</v>
      </c>
      <c r="K54" s="190">
        <f t="shared" si="22"/>
        <v>-11462176.42000005</v>
      </c>
      <c r="L54" s="190">
        <f t="shared" si="22"/>
        <v>4136097.6500000153</v>
      </c>
      <c r="M54" s="190">
        <f t="shared" ref="M54:R54" si="23">+M53+M36</f>
        <v>18080753.400000077</v>
      </c>
      <c r="N54" s="190">
        <f t="shared" si="23"/>
        <v>54634562.660000049</v>
      </c>
      <c r="O54" s="190">
        <f t="shared" si="23"/>
        <v>19425204.600000028</v>
      </c>
      <c r="P54" s="190">
        <f t="shared" si="23"/>
        <v>1762444.1399999876</v>
      </c>
      <c r="Q54" s="190">
        <f t="shared" si="23"/>
        <v>0</v>
      </c>
      <c r="R54" s="190">
        <f t="shared" si="23"/>
        <v>0</v>
      </c>
      <c r="S54" s="530">
        <f t="shared" si="7"/>
        <v>184083988.49000022</v>
      </c>
      <c r="T54" s="531">
        <f t="shared" si="6"/>
        <v>2.5287304214459416</v>
      </c>
    </row>
    <row r="55" spans="1:21">
      <c r="A55" s="129">
        <v>46</v>
      </c>
      <c r="B55" s="611" t="str">
        <f>+VLOOKUP($A55,Master!$D$30:$G$226,4,FALSE)</f>
        <v>Otplata dugova</v>
      </c>
      <c r="C55" s="612"/>
      <c r="D55" s="612"/>
      <c r="E55" s="612"/>
      <c r="F55" s="612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59757330.13000001</v>
      </c>
      <c r="J55" s="160">
        <f t="shared" si="25"/>
        <v>117170926.2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35337295.060000002</v>
      </c>
      <c r="N55" s="178">
        <f t="shared" si="26"/>
        <v>7581311.2700000014</v>
      </c>
      <c r="O55" s="178">
        <f t="shared" si="26"/>
        <v>44525643.039999999</v>
      </c>
      <c r="P55" s="178">
        <f t="shared" si="26"/>
        <v>7153919.7600000007</v>
      </c>
      <c r="Q55" s="178">
        <f t="shared" si="26"/>
        <v>0</v>
      </c>
      <c r="R55" s="178">
        <f t="shared" si="26"/>
        <v>0</v>
      </c>
      <c r="S55" s="532">
        <f t="shared" si="7"/>
        <v>402197156.07000005</v>
      </c>
      <c r="T55" s="533">
        <f t="shared" si="6"/>
        <v>5.5249138847754722</v>
      </c>
    </row>
    <row r="56" spans="1:21">
      <c r="A56" s="129">
        <v>4611</v>
      </c>
      <c r="B56" s="607" t="str">
        <f>+VLOOKUP($A56,Master!$D$30:$G$226,4,FALSE)</f>
        <v>Otplata hartija od vrijednosti i kredita rezidentima</v>
      </c>
      <c r="C56" s="608"/>
      <c r="D56" s="608"/>
      <c r="E56" s="608"/>
      <c r="F56" s="608"/>
      <c r="G56" s="555">
        <v>2494755.4499999997</v>
      </c>
      <c r="H56" s="554">
        <v>2954245.6799999997</v>
      </c>
      <c r="I56" s="554">
        <v>23477657.120000005</v>
      </c>
      <c r="J56" s="554">
        <v>95643965.920000002</v>
      </c>
      <c r="K56" s="554">
        <v>9858911.2700000014</v>
      </c>
      <c r="L56" s="196">
        <v>27246632.220000003</v>
      </c>
      <c r="M56" s="196">
        <v>2591103.59</v>
      </c>
      <c r="N56" s="196">
        <v>3042001.86</v>
      </c>
      <c r="O56" s="196">
        <v>13593166.439999999</v>
      </c>
      <c r="P56" s="196">
        <v>2641469.5200000005</v>
      </c>
      <c r="Q56" s="196"/>
      <c r="R56" s="196"/>
      <c r="S56" s="235">
        <f t="shared" si="7"/>
        <v>183543909.07000002</v>
      </c>
      <c r="T56" s="444">
        <f t="shared" si="6"/>
        <v>2.5213114423671308</v>
      </c>
    </row>
    <row r="57" spans="1:21" ht="13.5" thickBot="1">
      <c r="A57" s="129">
        <v>4612</v>
      </c>
      <c r="B57" s="583" t="str">
        <f>+VLOOKUP($A57,Master!$D$30:$G$226,4,FALSE)</f>
        <v>Otplata hartija od vrijednosti i kredita nerezidentima</v>
      </c>
      <c r="C57" s="584"/>
      <c r="D57" s="584"/>
      <c r="E57" s="584"/>
      <c r="F57" s="584"/>
      <c r="G57" s="555">
        <v>32313186.740000002</v>
      </c>
      <c r="H57" s="554">
        <v>3787783.5300000007</v>
      </c>
      <c r="I57" s="554">
        <v>36279673.010000005</v>
      </c>
      <c r="J57" s="554">
        <v>21526960.279999997</v>
      </c>
      <c r="K57" s="554">
        <v>29335488.09</v>
      </c>
      <c r="L57" s="196">
        <v>22679727.629999999</v>
      </c>
      <c r="M57" s="196">
        <v>32746191.469999999</v>
      </c>
      <c r="N57" s="196">
        <v>4539309.4100000011</v>
      </c>
      <c r="O57" s="196">
        <v>30932476.600000001</v>
      </c>
      <c r="P57" s="196">
        <v>4512450.24</v>
      </c>
      <c r="Q57" s="196"/>
      <c r="R57" s="196"/>
      <c r="S57" s="235">
        <f t="shared" si="7"/>
        <v>218653247</v>
      </c>
      <c r="T57" s="444">
        <f t="shared" si="6"/>
        <v>3.003602442408341</v>
      </c>
    </row>
    <row r="58" spans="1:21" ht="13.5" thickBot="1">
      <c r="A58" s="129">
        <v>4418</v>
      </c>
      <c r="B58" s="575" t="str">
        <f>+VLOOKUP($A58,Master!$D$30:$G$226,4,FALSE)</f>
        <v>Izdaci za kupovinu hartija od vrijednosti</v>
      </c>
      <c r="C58" s="576"/>
      <c r="D58" s="576"/>
      <c r="E58" s="576"/>
      <c r="F58" s="576"/>
      <c r="G58" s="557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>
        <v>360695.5</v>
      </c>
      <c r="M58" s="432">
        <v>0</v>
      </c>
      <c r="N58" s="432">
        <v>0</v>
      </c>
      <c r="O58" s="432">
        <v>0</v>
      </c>
      <c r="P58" s="432">
        <v>0</v>
      </c>
      <c r="Q58" s="432"/>
      <c r="R58" s="432"/>
      <c r="S58" s="532">
        <f>SUM(G58:R58)</f>
        <v>3266458.45</v>
      </c>
      <c r="T58" s="534">
        <f t="shared" si="6"/>
        <v>4.4870783823509217E-2</v>
      </c>
    </row>
    <row r="59" spans="1:21" ht="13.5" thickBot="1">
      <c r="A59" s="135">
        <v>451</v>
      </c>
      <c r="B59" s="575" t="str">
        <f>+VLOOKUP($A59,Master!$D$30:$G$226,4,FALSE)</f>
        <v>Pozajmice i krediti</v>
      </c>
      <c r="C59" s="576"/>
      <c r="D59" s="576"/>
      <c r="E59" s="576"/>
      <c r="F59" s="576"/>
      <c r="G59" s="558">
        <v>714721.61</v>
      </c>
      <c r="H59" s="499">
        <v>511310</v>
      </c>
      <c r="I59" s="499">
        <v>913671.44</v>
      </c>
      <c r="J59" s="499">
        <v>968084.1</v>
      </c>
      <c r="K59" s="499">
        <v>667226.13</v>
      </c>
      <c r="L59" s="432">
        <v>1012363.69</v>
      </c>
      <c r="M59" s="432">
        <v>136349.23000000001</v>
      </c>
      <c r="N59" s="432">
        <v>0</v>
      </c>
      <c r="O59" s="432">
        <v>841263.3</v>
      </c>
      <c r="P59" s="432">
        <v>716355.96</v>
      </c>
      <c r="Q59" s="432"/>
      <c r="R59" s="432"/>
      <c r="S59" s="532">
        <f>SUM(G59:R59)</f>
        <v>6481345.46</v>
      </c>
      <c r="T59" s="534">
        <f t="shared" si="6"/>
        <v>8.903313955245408E-2</v>
      </c>
    </row>
    <row r="60" spans="1:21" ht="13.5" thickBot="1">
      <c r="A60" s="129">
        <v>1002</v>
      </c>
      <c r="B60" s="609" t="str">
        <f>+VLOOKUP($A60,Master!$D$30:$G$226,4,FALSE)</f>
        <v>Nedostajuća sredstva</v>
      </c>
      <c r="C60" s="610"/>
      <c r="D60" s="610"/>
      <c r="E60" s="610"/>
      <c r="F60" s="610"/>
      <c r="G60" s="202">
        <f>+G53-G55-G58-G59</f>
        <v>-22508853.969999991</v>
      </c>
      <c r="H60" s="202">
        <f t="shared" ref="H60:L60" si="27">+H53-H55-H58-H59</f>
        <v>-41361812.239999972</v>
      </c>
      <c r="I60" s="202">
        <f t="shared" si="27"/>
        <v>-48661419.959999941</v>
      </c>
      <c r="J60" s="202">
        <f t="shared" si="27"/>
        <v>-59456444.010000013</v>
      </c>
      <c r="K60" s="202">
        <f t="shared" si="27"/>
        <v>-60891900.69000005</v>
      </c>
      <c r="L60" s="202">
        <f t="shared" si="27"/>
        <v>-53017684.679999985</v>
      </c>
      <c r="M60" s="202">
        <f t="shared" ref="M60" si="28">+M53-M55-M58-M59</f>
        <v>-21131740.589999925</v>
      </c>
      <c r="N60" s="202">
        <f t="shared" ref="N60" si="29">+N53-N55-N58-N59</f>
        <v>43075598.710000046</v>
      </c>
      <c r="O60" s="202">
        <f t="shared" ref="O60" si="30">+O53-O55-O58-O59</f>
        <v>-51908146.239999972</v>
      </c>
      <c r="P60" s="202">
        <f t="shared" ref="P60" si="31">+P53-P55-P58-P59</f>
        <v>-20977682.240000013</v>
      </c>
      <c r="Q60" s="202">
        <f t="shared" ref="Q60" si="32">+Q53-Q55-Q58-Q59</f>
        <v>0</v>
      </c>
      <c r="R60" s="202">
        <f t="shared" ref="R60:S60" si="33">+R53-R55-R58-R59</f>
        <v>0</v>
      </c>
      <c r="S60" s="532">
        <f t="shared" si="33"/>
        <v>-336840085.90999985</v>
      </c>
      <c r="T60" s="535">
        <f t="shared" si="6"/>
        <v>-4.6271149348187404</v>
      </c>
    </row>
    <row r="61" spans="1:21" ht="13.5" thickBot="1">
      <c r="A61" s="129">
        <v>1003</v>
      </c>
      <c r="B61" s="573" t="str">
        <f>+VLOOKUP($A61,Master!$D$30:$G$226,4,FALSE)</f>
        <v>Finansiranje</v>
      </c>
      <c r="C61" s="574"/>
      <c r="D61" s="574"/>
      <c r="E61" s="574"/>
      <c r="F61" s="574"/>
      <c r="G61" s="136">
        <f>+SUM(G62:G66)</f>
        <v>22508853.969999991</v>
      </c>
      <c r="H61" s="136">
        <f t="shared" ref="H61:L61" si="34">+SUM(H62:H66)</f>
        <v>41361812.239999972</v>
      </c>
      <c r="I61" s="136">
        <f t="shared" si="34"/>
        <v>48661419.959999919</v>
      </c>
      <c r="J61" s="136">
        <f t="shared" si="34"/>
        <v>59456444.01000002</v>
      </c>
      <c r="K61" s="136">
        <f t="shared" si="34"/>
        <v>60891900.69000005</v>
      </c>
      <c r="L61" s="136">
        <f t="shared" si="34"/>
        <v>53017684.679999985</v>
      </c>
      <c r="M61" s="136">
        <f t="shared" ref="M61:R61" si="35">+SUM(M62:M66)</f>
        <v>21131740.589999925</v>
      </c>
      <c r="N61" s="136">
        <f t="shared" si="35"/>
        <v>-43075598.710000046</v>
      </c>
      <c r="O61" s="136">
        <f t="shared" si="35"/>
        <v>51908146.239999972</v>
      </c>
      <c r="P61" s="136">
        <f t="shared" si="35"/>
        <v>20977682.240000013</v>
      </c>
      <c r="Q61" s="136">
        <f t="shared" si="35"/>
        <v>0</v>
      </c>
      <c r="R61" s="136">
        <f t="shared" si="35"/>
        <v>0</v>
      </c>
      <c r="S61" s="536">
        <f t="shared" si="7"/>
        <v>336840085.90999979</v>
      </c>
      <c r="T61" s="537">
        <f t="shared" si="6"/>
        <v>4.6271149348187395</v>
      </c>
    </row>
    <row r="62" spans="1:21">
      <c r="A62" s="129">
        <v>7511</v>
      </c>
      <c r="B62" s="607" t="str">
        <f>+VLOOKUP($A62,Master!$D$30:$G$226,4,FALSE)</f>
        <v>Pozajmice i krediti od domaćih izvora</v>
      </c>
      <c r="C62" s="608"/>
      <c r="D62" s="608"/>
      <c r="E62" s="608"/>
      <c r="F62" s="608"/>
      <c r="G62" s="555">
        <v>0</v>
      </c>
      <c r="H62" s="554">
        <v>0</v>
      </c>
      <c r="I62" s="554">
        <v>0</v>
      </c>
      <c r="J62" s="554">
        <v>0</v>
      </c>
      <c r="K62" s="554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/>
      <c r="R62" s="196"/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83" t="str">
        <f>+VLOOKUP($A63,Master!$D$30:$G$226,4,FALSE)</f>
        <v>Pozajmice i krediti od inostranih izvora</v>
      </c>
      <c r="C63" s="584"/>
      <c r="D63" s="584"/>
      <c r="E63" s="584"/>
      <c r="F63" s="584"/>
      <c r="G63" s="555">
        <v>1570614.04</v>
      </c>
      <c r="H63" s="554">
        <v>1779527.23</v>
      </c>
      <c r="I63" s="554">
        <v>691084422.79999995</v>
      </c>
      <c r="J63" s="554">
        <v>4579976.1000000006</v>
      </c>
      <c r="K63" s="554">
        <v>275366.86</v>
      </c>
      <c r="L63" s="196">
        <v>3040803.26</v>
      </c>
      <c r="M63" s="196">
        <v>5323879.3100000005</v>
      </c>
      <c r="N63" s="196">
        <v>98091.86</v>
      </c>
      <c r="O63" s="196">
        <v>4856753.8</v>
      </c>
      <c r="P63" s="196">
        <v>6239384.3199999994</v>
      </c>
      <c r="Q63" s="196"/>
      <c r="R63" s="196"/>
      <c r="S63" s="235">
        <f t="shared" si="7"/>
        <v>718848819.57999992</v>
      </c>
      <c r="T63" s="444">
        <f t="shared" si="6"/>
        <v>9.8747038968638812</v>
      </c>
    </row>
    <row r="64" spans="1:21">
      <c r="A64" s="129">
        <v>72</v>
      </c>
      <c r="B64" s="583" t="str">
        <f>+VLOOKUP($A64,Master!$D$30:$G$226,4,FALSE)</f>
        <v>Primici od prodaje imovine</v>
      </c>
      <c r="C64" s="584"/>
      <c r="D64" s="584"/>
      <c r="E64" s="584"/>
      <c r="F64" s="584"/>
      <c r="G64" s="555">
        <v>29140.719999999998</v>
      </c>
      <c r="H64" s="554">
        <v>223106.54</v>
      </c>
      <c r="I64" s="554">
        <v>24726.440000000002</v>
      </c>
      <c r="J64" s="554">
        <v>107366.27000000003</v>
      </c>
      <c r="K64" s="554">
        <v>292415.26</v>
      </c>
      <c r="L64" s="196">
        <v>390561.8</v>
      </c>
      <c r="M64" s="196">
        <v>369935.11</v>
      </c>
      <c r="N64" s="196">
        <v>79361.94</v>
      </c>
      <c r="O64" s="196">
        <v>51811.229999999996</v>
      </c>
      <c r="P64" s="196">
        <v>128331.11000000003</v>
      </c>
      <c r="Q64" s="196"/>
      <c r="R64" s="196"/>
      <c r="S64" s="235">
        <f t="shared" si="7"/>
        <v>1696756.4200000002</v>
      </c>
      <c r="T64" s="444">
        <f t="shared" si="6"/>
        <v>2.330805417805679E-2</v>
      </c>
    </row>
    <row r="65" spans="1:20">
      <c r="A65" s="129">
        <v>73</v>
      </c>
      <c r="B65" s="567" t="s">
        <v>101</v>
      </c>
      <c r="C65" s="568"/>
      <c r="D65" s="568"/>
      <c r="E65" s="568"/>
      <c r="F65" s="568"/>
      <c r="G65" s="556">
        <v>3141945.9600000004</v>
      </c>
      <c r="H65" s="160">
        <v>1296535.4000000001</v>
      </c>
      <c r="I65" s="160">
        <v>960869.5</v>
      </c>
      <c r="J65" s="160">
        <v>1155440.2500000002</v>
      </c>
      <c r="K65" s="160">
        <v>1453164</v>
      </c>
      <c r="L65" s="160">
        <v>2214616.3699999996</v>
      </c>
      <c r="M65" s="160">
        <v>3057323.5199999996</v>
      </c>
      <c r="N65" s="160">
        <v>591472.64000000001</v>
      </c>
      <c r="O65" s="160">
        <v>482610.40999999992</v>
      </c>
      <c r="P65" s="160">
        <v>672233.76000000013</v>
      </c>
      <c r="Q65" s="160"/>
      <c r="R65" s="160"/>
      <c r="S65" s="228">
        <f t="shared" si="7"/>
        <v>15026211.810000001</v>
      </c>
      <c r="T65" s="437">
        <f t="shared" si="6"/>
        <v>0.20641251438932923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17767153.249999993</v>
      </c>
      <c r="H66" s="210">
        <f t="shared" ref="H66:L66" si="36">-H60-SUM(H62:H65)</f>
        <v>38062643.06999997</v>
      </c>
      <c r="I66" s="210">
        <f t="shared" si="36"/>
        <v>-643408598.78000009</v>
      </c>
      <c r="J66" s="210">
        <f t="shared" si="36"/>
        <v>53613661.390000015</v>
      </c>
      <c r="K66" s="210">
        <f t="shared" si="36"/>
        <v>58870954.570000052</v>
      </c>
      <c r="L66" s="210">
        <f t="shared" si="36"/>
        <v>47371703.249999985</v>
      </c>
      <c r="M66" s="210">
        <f t="shared" ref="M66:S66" si="37">-M60-SUM(M62:M65)</f>
        <v>12380602.649999924</v>
      </c>
      <c r="N66" s="210">
        <f t="shared" si="37"/>
        <v>-43844525.150000043</v>
      </c>
      <c r="O66" s="210">
        <f t="shared" si="37"/>
        <v>46516970.799999975</v>
      </c>
      <c r="P66" s="210">
        <f t="shared" si="37"/>
        <v>13937733.050000014</v>
      </c>
      <c r="Q66" s="210">
        <f t="shared" si="37"/>
        <v>0</v>
      </c>
      <c r="R66" s="210">
        <f t="shared" si="37"/>
        <v>0</v>
      </c>
      <c r="S66" s="238">
        <f t="shared" si="37"/>
        <v>-398731701.89999998</v>
      </c>
      <c r="T66" s="448">
        <f t="shared" si="6"/>
        <v>-5.4773095306125255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39" t="str">
        <f>+Master!G253</f>
        <v>Plan ostvarenja budžeta</v>
      </c>
      <c r="C83" s="640"/>
      <c r="D83" s="640"/>
      <c r="E83" s="640"/>
      <c r="F83" s="640"/>
      <c r="G83" s="647">
        <v>2024</v>
      </c>
      <c r="H83" s="648"/>
      <c r="I83" s="648"/>
      <c r="J83" s="648"/>
      <c r="K83" s="648"/>
      <c r="L83" s="648"/>
      <c r="M83" s="648"/>
      <c r="N83" s="648"/>
      <c r="O83" s="648"/>
      <c r="P83" s="648"/>
      <c r="Q83" s="648"/>
      <c r="R83" s="649"/>
      <c r="S83" s="96" t="str">
        <f>+S7</f>
        <v>BDP</v>
      </c>
      <c r="T83" s="97">
        <v>7279700000</v>
      </c>
    </row>
    <row r="84" spans="1:26" ht="15.75" customHeight="1">
      <c r="B84" s="641"/>
      <c r="C84" s="642"/>
      <c r="D84" s="642"/>
      <c r="E84" s="642"/>
      <c r="F84" s="643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47" t="str">
        <f>+Master!G247</f>
        <v>Jan - Dec</v>
      </c>
      <c r="T84" s="649">
        <f>+T8</f>
        <v>0</v>
      </c>
    </row>
    <row r="85" spans="1:26" ht="13.5" thickBot="1">
      <c r="B85" s="644"/>
      <c r="C85" s="645"/>
      <c r="D85" s="645"/>
      <c r="E85" s="645"/>
      <c r="F85" s="64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13" t="str">
        <f>+VLOOKUP(LEFT($A86,LEN(A86)-1)*1,Master!$D$30:$G$226,4,FALSE)</f>
        <v>Prihodi budžeta</v>
      </c>
      <c r="C86" s="614"/>
      <c r="D86" s="614"/>
      <c r="E86" s="614"/>
      <c r="F86" s="614"/>
      <c r="G86" s="504">
        <f t="shared" ref="G86:L86" si="43">+G87+G95+SUM(G100:G104)</f>
        <v>150930823.45999998</v>
      </c>
      <c r="H86" s="504">
        <f t="shared" si="43"/>
        <v>180248667.54000002</v>
      </c>
      <c r="I86" s="504">
        <f t="shared" si="43"/>
        <v>244547117.82000002</v>
      </c>
      <c r="J86" s="504">
        <f t="shared" si="43"/>
        <v>317572444.20999998</v>
      </c>
      <c r="K86" s="504">
        <f t="shared" si="43"/>
        <v>193296652.43999997</v>
      </c>
      <c r="L86" s="504">
        <f t="shared" si="43"/>
        <v>222625769.17000002</v>
      </c>
      <c r="M86" s="504">
        <f t="shared" ref="M86:Q86" si="44">+M87+M95+SUM(M100:M104)</f>
        <v>261554283.82000002</v>
      </c>
      <c r="N86" s="504">
        <f t="shared" si="44"/>
        <v>254538932.34000003</v>
      </c>
      <c r="O86" s="504">
        <f t="shared" si="44"/>
        <v>222707674.54760152</v>
      </c>
      <c r="P86" s="504">
        <f t="shared" si="44"/>
        <v>235724553.51601768</v>
      </c>
      <c r="Q86" s="504">
        <f t="shared" si="44"/>
        <v>206397291.22064134</v>
      </c>
      <c r="R86" s="504">
        <f>+R87+R95+SUM(R100:R104)</f>
        <v>282503938.44611555</v>
      </c>
      <c r="S86" s="538">
        <f>+SUM(G86:R86)</f>
        <v>2772648148.530376</v>
      </c>
      <c r="T86" s="539">
        <f>+S86/$T$83*100</f>
        <v>38.087395751615809</v>
      </c>
      <c r="U86" s="243"/>
      <c r="V86" s="292"/>
    </row>
    <row r="87" spans="1:26">
      <c r="A87" s="105" t="str">
        <f t="shared" si="42"/>
        <v>711p</v>
      </c>
      <c r="B87" s="637" t="str">
        <f>+VLOOKUP(LEFT($A87,LEN(A87)-1)*1,Master!$D$30:$G$226,4,FALSE)</f>
        <v>Porezi</v>
      </c>
      <c r="C87" s="638"/>
      <c r="D87" s="638"/>
      <c r="E87" s="638"/>
      <c r="F87" s="638"/>
      <c r="G87" s="540">
        <f t="shared" ref="G87:L87" si="45">+SUM(G88:G94)</f>
        <v>122011952.05999999</v>
      </c>
      <c r="H87" s="540">
        <f t="shared" si="45"/>
        <v>121308599.17000002</v>
      </c>
      <c r="I87" s="540">
        <f t="shared" si="45"/>
        <v>184557374.95000002</v>
      </c>
      <c r="J87" s="540">
        <f t="shared" si="45"/>
        <v>237707133</v>
      </c>
      <c r="K87" s="540">
        <f t="shared" si="45"/>
        <v>140725508.57999998</v>
      </c>
      <c r="L87" s="540">
        <f t="shared" si="45"/>
        <v>153003406.79000002</v>
      </c>
      <c r="M87" s="540">
        <f t="shared" ref="M87:R87" si="46">+SUM(M88:M94)</f>
        <v>176287449.87000003</v>
      </c>
      <c r="N87" s="540">
        <f t="shared" si="46"/>
        <v>187772027.16000003</v>
      </c>
      <c r="O87" s="540">
        <f t="shared" si="46"/>
        <v>163682565.97560155</v>
      </c>
      <c r="P87" s="540">
        <f t="shared" si="46"/>
        <v>153706833.67658257</v>
      </c>
      <c r="Q87" s="540">
        <f t="shared" si="46"/>
        <v>137653378.33863866</v>
      </c>
      <c r="R87" s="541">
        <f t="shared" si="46"/>
        <v>151899426.82955331</v>
      </c>
      <c r="S87" s="542">
        <f t="shared" ref="S87:S141" si="47">+SUM(G87:R87)</f>
        <v>1930315656.4003761</v>
      </c>
      <c r="T87" s="519">
        <f t="shared" ref="T87:T142" si="48">+S87/$T$83*100</f>
        <v>26.516417660073579</v>
      </c>
      <c r="V87" s="292"/>
    </row>
    <row r="88" spans="1:26">
      <c r="A88" s="105" t="str">
        <f t="shared" si="42"/>
        <v>7111p</v>
      </c>
      <c r="B88" s="629" t="str">
        <f>+VLOOKUP(LEFT($A88,LEN(A88)-1)*1,Master!$D$30:$G$229,4,FALSE)</f>
        <v>Porez na dohodak fizičkih lica</v>
      </c>
      <c r="C88" s="630"/>
      <c r="D88" s="630"/>
      <c r="E88" s="630"/>
      <c r="F88" s="630"/>
      <c r="G88" s="77">
        <v>1998079.15</v>
      </c>
      <c r="H88" s="77">
        <v>6162755.9100000001</v>
      </c>
      <c r="I88" s="77">
        <v>6774640.8399999999</v>
      </c>
      <c r="J88" s="77">
        <v>9120679.6699999999</v>
      </c>
      <c r="K88" s="77">
        <v>7999182.8499999996</v>
      </c>
      <c r="L88" s="77">
        <v>5714143.4299999997</v>
      </c>
      <c r="M88" s="77">
        <v>8103849.4699999997</v>
      </c>
      <c r="N88" s="77">
        <v>7506393.2000000002</v>
      </c>
      <c r="O88" s="77">
        <v>5157699.6524483655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86618274.290376037</v>
      </c>
      <c r="T88" s="436">
        <f t="shared" si="48"/>
        <v>1.1898604927452512</v>
      </c>
      <c r="V88" s="292"/>
    </row>
    <row r="89" spans="1:26">
      <c r="A89" s="105" t="str">
        <f t="shared" si="42"/>
        <v>7112p</v>
      </c>
      <c r="B89" s="629" t="str">
        <f>+VLOOKUP(LEFT($A89,LEN(A89)-1)*1,Master!$D$30:$G$229,4,FALSE)</f>
        <v>Porez na dobit pravnih lica</v>
      </c>
      <c r="C89" s="630"/>
      <c r="D89" s="630"/>
      <c r="E89" s="630"/>
      <c r="F89" s="630"/>
      <c r="G89" s="77">
        <v>1951464.9</v>
      </c>
      <c r="H89" s="77">
        <v>5771727.9400000004</v>
      </c>
      <c r="I89" s="77">
        <v>71210822.510000005</v>
      </c>
      <c r="J89" s="77">
        <v>100269900.84</v>
      </c>
      <c r="K89" s="77">
        <v>6533790.1500000004</v>
      </c>
      <c r="L89" s="77">
        <v>5452063.1399999997</v>
      </c>
      <c r="M89" s="77">
        <v>6399901.1399999997</v>
      </c>
      <c r="N89" s="77">
        <v>3297843.93</v>
      </c>
      <c r="O89" s="77">
        <v>1093117.9300000034</v>
      </c>
      <c r="P89" s="77">
        <v>998970.87553201988</v>
      </c>
      <c r="Q89" s="77">
        <v>1001456.9221399399</v>
      </c>
      <c r="R89" s="77">
        <v>1669995.8023280436</v>
      </c>
      <c r="S89" s="101">
        <f t="shared" si="47"/>
        <v>205651056.08000001</v>
      </c>
      <c r="T89" s="436">
        <f t="shared" si="48"/>
        <v>2.8249935585257635</v>
      </c>
      <c r="V89" s="292"/>
    </row>
    <row r="90" spans="1:26">
      <c r="A90" s="105" t="str">
        <f t="shared" si="42"/>
        <v>7113p</v>
      </c>
      <c r="B90" s="629" t="str">
        <f>+VLOOKUP(LEFT($A90,LEN(A90)-1)*1,Master!$D$30:$G$229,4,FALSE)</f>
        <v>Porez na promet nepokretnosti</v>
      </c>
      <c r="C90" s="630"/>
      <c r="D90" s="630"/>
      <c r="E90" s="630"/>
      <c r="F90" s="630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29" t="str">
        <f>+VLOOKUP(LEFT($A91,LEN(A91)-1)*1,Master!$D$30:$G$229,4,FALSE)</f>
        <v>Porez na dodatu vrijednost</v>
      </c>
      <c r="C91" s="630"/>
      <c r="D91" s="630"/>
      <c r="E91" s="630"/>
      <c r="F91" s="630"/>
      <c r="G91" s="77">
        <v>91572726.909999996</v>
      </c>
      <c r="H91" s="77">
        <v>81980319.980000004</v>
      </c>
      <c r="I91" s="77">
        <v>78800496.590000004</v>
      </c>
      <c r="J91" s="77">
        <v>94537941.620000005</v>
      </c>
      <c r="K91" s="77">
        <v>88184792.75</v>
      </c>
      <c r="L91" s="77">
        <v>100885481.09</v>
      </c>
      <c r="M91" s="77">
        <v>119418214.70999999</v>
      </c>
      <c r="N91" s="77">
        <v>126480010.05</v>
      </c>
      <c r="O91" s="77">
        <v>115810449.20999999</v>
      </c>
      <c r="P91" s="77">
        <v>106592102.58641601</v>
      </c>
      <c r="Q91" s="77">
        <v>96782845.757082894</v>
      </c>
      <c r="R91" s="77">
        <v>98587067.036501214</v>
      </c>
      <c r="S91" s="101">
        <f t="shared" si="47"/>
        <v>1199632448.2900002</v>
      </c>
      <c r="T91" s="436">
        <f t="shared" si="48"/>
        <v>16.47914678201025</v>
      </c>
      <c r="V91" s="292"/>
    </row>
    <row r="92" spans="1:26">
      <c r="A92" s="105" t="str">
        <f t="shared" si="42"/>
        <v>7115p</v>
      </c>
      <c r="B92" s="629" t="str">
        <f>+VLOOKUP(LEFT($A92,LEN(A92)-1)*1,Master!$D$30:$G$229,4,FALSE)</f>
        <v>Akcize</v>
      </c>
      <c r="C92" s="630"/>
      <c r="D92" s="630"/>
      <c r="E92" s="630"/>
      <c r="F92" s="630"/>
      <c r="G92" s="77">
        <v>22556344.960000001</v>
      </c>
      <c r="H92" s="77">
        <v>22366846.550000001</v>
      </c>
      <c r="I92" s="77">
        <v>21994790.370000001</v>
      </c>
      <c r="J92" s="77">
        <v>26932676.210000001</v>
      </c>
      <c r="K92" s="77">
        <v>31723753.75</v>
      </c>
      <c r="L92" s="77">
        <v>34644163.43</v>
      </c>
      <c r="M92" s="77">
        <v>34841981.670000002</v>
      </c>
      <c r="N92" s="77">
        <v>43213446.43</v>
      </c>
      <c r="O92" s="77">
        <v>35235663.923153207</v>
      </c>
      <c r="P92" s="77">
        <v>32313707.2157037</v>
      </c>
      <c r="Q92" s="77">
        <v>27518867.618220899</v>
      </c>
      <c r="R92" s="77">
        <v>32457757.872922201</v>
      </c>
      <c r="S92" s="101">
        <f t="shared" si="47"/>
        <v>365800000.00000006</v>
      </c>
      <c r="T92" s="436">
        <f t="shared" si="48"/>
        <v>5.0249323461131645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29" t="str">
        <f>+VLOOKUP(LEFT($A93,LEN(A93)-1)*1,Master!$D$30:$G$229,4,FALSE)</f>
        <v>Porez na međunarodnu trgovinu i transakcije</v>
      </c>
      <c r="C93" s="630"/>
      <c r="D93" s="630"/>
      <c r="E93" s="630"/>
      <c r="F93" s="630"/>
      <c r="G93" s="77">
        <v>2997811.11</v>
      </c>
      <c r="H93" s="77">
        <v>3849203.28</v>
      </c>
      <c r="I93" s="77">
        <v>4636318.09</v>
      </c>
      <c r="J93" s="77">
        <v>5632584.1600000001</v>
      </c>
      <c r="K93" s="77">
        <v>5010618.79</v>
      </c>
      <c r="L93" s="77">
        <v>5120393.08</v>
      </c>
      <c r="M93" s="77">
        <v>6113583.7999999998</v>
      </c>
      <c r="N93" s="77">
        <v>5829872.2699999996</v>
      </c>
      <c r="O93" s="77">
        <v>5167443.16</v>
      </c>
      <c r="P93" s="77">
        <v>4514923.99934946</v>
      </c>
      <c r="Q93" s="77">
        <v>4265187.6368120098</v>
      </c>
      <c r="R93" s="77">
        <v>5157250.0738385394</v>
      </c>
      <c r="S93" s="101">
        <f t="shared" si="47"/>
        <v>58295189.450000003</v>
      </c>
      <c r="T93" s="436">
        <f t="shared" si="48"/>
        <v>0.8007910964737559</v>
      </c>
      <c r="V93" s="292"/>
    </row>
    <row r="94" spans="1:26">
      <c r="A94" s="105" t="str">
        <f t="shared" si="42"/>
        <v>7118p</v>
      </c>
      <c r="B94" s="629" t="str">
        <f>+VLOOKUP(LEFT($A94,LEN(A94)-1)*1,Master!$D$30:$G$229,4,FALSE)</f>
        <v>Ostali državni porezi</v>
      </c>
      <c r="C94" s="630"/>
      <c r="D94" s="630"/>
      <c r="E94" s="630"/>
      <c r="F94" s="630"/>
      <c r="G94" s="77">
        <v>935525.03</v>
      </c>
      <c r="H94" s="77">
        <v>1177745.51</v>
      </c>
      <c r="I94" s="77">
        <v>1140306.55</v>
      </c>
      <c r="J94" s="77">
        <v>1213350.5</v>
      </c>
      <c r="K94" s="77">
        <v>1273370.29</v>
      </c>
      <c r="L94" s="77">
        <v>1187162.6200000001</v>
      </c>
      <c r="M94" s="77">
        <v>1409919.08</v>
      </c>
      <c r="N94" s="77">
        <v>1444461.28</v>
      </c>
      <c r="O94" s="77">
        <v>1218192.1000000001</v>
      </c>
      <c r="P94" s="77">
        <v>1006145.9719203205</v>
      </c>
      <c r="Q94" s="77">
        <v>1174869.5732153801</v>
      </c>
      <c r="R94" s="77">
        <v>1137639.7848642969</v>
      </c>
      <c r="S94" s="101">
        <f t="shared" si="47"/>
        <v>14318688.289999997</v>
      </c>
      <c r="T94" s="436">
        <f t="shared" si="48"/>
        <v>0.19669338420539306</v>
      </c>
      <c r="V94" s="292"/>
    </row>
    <row r="95" spans="1:26">
      <c r="A95" s="105" t="str">
        <f t="shared" si="42"/>
        <v>712p</v>
      </c>
      <c r="B95" s="635" t="str">
        <f>+VLOOKUP(LEFT($A95,LEN(A95)-1)*1,Master!$D$30:$G$229,4,FALSE)</f>
        <v>Doprinosi</v>
      </c>
      <c r="C95" s="636"/>
      <c r="D95" s="636"/>
      <c r="E95" s="636"/>
      <c r="F95" s="636"/>
      <c r="G95" s="543">
        <f>+SUM(G96:G99)</f>
        <v>13548213.42</v>
      </c>
      <c r="H95" s="543">
        <f t="shared" ref="H95:L95" si="49">+SUM(H96:H99)</f>
        <v>51209301.960000001</v>
      </c>
      <c r="I95" s="544">
        <f t="shared" si="49"/>
        <v>50079162.990000002</v>
      </c>
      <c r="J95" s="543">
        <f t="shared" si="49"/>
        <v>58312079.649999999</v>
      </c>
      <c r="K95" s="543">
        <f t="shared" si="49"/>
        <v>44239433.410000004</v>
      </c>
      <c r="L95" s="543">
        <f t="shared" si="49"/>
        <v>48567223.640000001</v>
      </c>
      <c r="M95" s="543">
        <f t="shared" ref="M95:R95" si="50">+SUM(M96:M99)</f>
        <v>55016979.530000001</v>
      </c>
      <c r="N95" s="543">
        <f t="shared" si="50"/>
        <v>54208064.920000002</v>
      </c>
      <c r="O95" s="543">
        <f t="shared" si="50"/>
        <v>47755833.769999966</v>
      </c>
      <c r="P95" s="543">
        <f t="shared" si="50"/>
        <v>53465829.031868093</v>
      </c>
      <c r="Q95" s="543">
        <f t="shared" si="50"/>
        <v>38858209.981027149</v>
      </c>
      <c r="R95" s="545">
        <f t="shared" si="50"/>
        <v>70138715.6471048</v>
      </c>
      <c r="S95" s="546">
        <f t="shared" si="47"/>
        <v>585399047.95000005</v>
      </c>
      <c r="T95" s="522">
        <f t="shared" si="48"/>
        <v>8.0415270952099682</v>
      </c>
      <c r="V95" s="292"/>
    </row>
    <row r="96" spans="1:26">
      <c r="A96" s="105" t="str">
        <f t="shared" si="42"/>
        <v>7121p</v>
      </c>
      <c r="B96" s="629" t="str">
        <f>+VLOOKUP(LEFT($A96,LEN(A96)-1)*1,Master!$D$30:$G$229,4,FALSE)</f>
        <v>Doprinosi za penzijsko i invalidsko osiguranje</v>
      </c>
      <c r="C96" s="630"/>
      <c r="D96" s="630"/>
      <c r="E96" s="630"/>
      <c r="F96" s="630"/>
      <c r="G96" s="77">
        <v>12277377.310000001</v>
      </c>
      <c r="H96" s="77">
        <v>47091163.350000001</v>
      </c>
      <c r="I96" s="77">
        <v>45892077.740000002</v>
      </c>
      <c r="J96" s="77">
        <v>53612426.219999999</v>
      </c>
      <c r="K96" s="77">
        <v>40659761.590000004</v>
      </c>
      <c r="L96" s="77">
        <v>44568700.899999999</v>
      </c>
      <c r="M96" s="77">
        <v>50382564.299999997</v>
      </c>
      <c r="N96" s="77">
        <v>49830258.149999999</v>
      </c>
      <c r="O96" s="77">
        <v>43811539.619999968</v>
      </c>
      <c r="P96" s="77">
        <v>50246198.769257635</v>
      </c>
      <c r="Q96" s="77">
        <v>35735847.985918604</v>
      </c>
      <c r="R96" s="77">
        <v>65674431.954823807</v>
      </c>
      <c r="S96" s="101">
        <f t="shared" si="47"/>
        <v>539782347.88999999</v>
      </c>
      <c r="T96" s="436">
        <f t="shared" si="48"/>
        <v>7.4148982497905136</v>
      </c>
      <c r="V96" s="292"/>
      <c r="W96" s="292"/>
    </row>
    <row r="97" spans="1:23">
      <c r="A97" s="105" t="str">
        <f t="shared" si="42"/>
        <v>7122p</v>
      </c>
      <c r="B97" s="629" t="str">
        <f>+VLOOKUP(LEFT($A97,LEN(A97)-1)*1,Master!$D$30:$G$229,4,FALSE)</f>
        <v>Doprinosi za zdravstveno osiguranje</v>
      </c>
      <c r="C97" s="630"/>
      <c r="D97" s="630"/>
      <c r="E97" s="630"/>
      <c r="F97" s="630"/>
      <c r="G97" s="77">
        <v>307850.36</v>
      </c>
      <c r="H97" s="77">
        <v>382153.8</v>
      </c>
      <c r="I97" s="77">
        <v>494660.43</v>
      </c>
      <c r="J97" s="77">
        <v>456232.43</v>
      </c>
      <c r="K97" s="77">
        <v>296984.02</v>
      </c>
      <c r="L97" s="77">
        <v>372046.09</v>
      </c>
      <c r="M97" s="77">
        <v>516613.79</v>
      </c>
      <c r="N97" s="77">
        <v>173459.08000000002</v>
      </c>
      <c r="O97" s="77">
        <v>0</v>
      </c>
      <c r="P97" s="77">
        <v>0</v>
      </c>
      <c r="Q97" s="77">
        <v>0</v>
      </c>
      <c r="R97" s="77">
        <v>0</v>
      </c>
      <c r="S97" s="101">
        <f t="shared" si="47"/>
        <v>3000000</v>
      </c>
      <c r="T97" s="436">
        <f t="shared" si="48"/>
        <v>4.121048944324629E-2</v>
      </c>
      <c r="V97" s="292"/>
    </row>
    <row r="98" spans="1:23">
      <c r="A98" s="105" t="str">
        <f t="shared" si="42"/>
        <v>7123p</v>
      </c>
      <c r="B98" s="629" t="str">
        <f>+VLOOKUP(LEFT($A98,LEN(A98)-1)*1,Master!$D$30:$G$229,4,FALSE)</f>
        <v>Doprinosi za osiguranje od nezaposlenosti</v>
      </c>
      <c r="C98" s="630"/>
      <c r="D98" s="630"/>
      <c r="E98" s="630"/>
      <c r="F98" s="630"/>
      <c r="G98" s="77">
        <v>569229.31000000006</v>
      </c>
      <c r="H98" s="77">
        <v>2203988.56</v>
      </c>
      <c r="I98" s="77">
        <v>2137007.6800000002</v>
      </c>
      <c r="J98" s="77">
        <v>2464722.08</v>
      </c>
      <c r="K98" s="77">
        <v>1910648.69</v>
      </c>
      <c r="L98" s="77">
        <v>2095564.37</v>
      </c>
      <c r="M98" s="77">
        <v>2381944.41</v>
      </c>
      <c r="N98" s="77">
        <v>2401758.41</v>
      </c>
      <c r="O98" s="77">
        <v>2261919.65</v>
      </c>
      <c r="P98" s="77">
        <v>1799280.6967573734</v>
      </c>
      <c r="Q98" s="77">
        <v>1500429.43254499</v>
      </c>
      <c r="R98" s="77">
        <v>2271124.7506976323</v>
      </c>
      <c r="S98" s="101">
        <f t="shared" si="47"/>
        <v>23997618.039999995</v>
      </c>
      <c r="T98" s="436">
        <f t="shared" si="48"/>
        <v>0.32965119496682549</v>
      </c>
      <c r="V98" s="292"/>
    </row>
    <row r="99" spans="1:23">
      <c r="A99" s="105" t="str">
        <f t="shared" si="42"/>
        <v>7124p</v>
      </c>
      <c r="B99" s="629" t="str">
        <f>+VLOOKUP(LEFT($A99,LEN(A99)-1)*1,Master!$D$30:$G$229,4,FALSE)</f>
        <v>Ostali doprinosi</v>
      </c>
      <c r="C99" s="630"/>
      <c r="D99" s="630"/>
      <c r="E99" s="630"/>
      <c r="F99" s="630"/>
      <c r="G99" s="77">
        <v>393756.44</v>
      </c>
      <c r="H99" s="77">
        <v>1531996.25</v>
      </c>
      <c r="I99" s="77">
        <v>1555417.14</v>
      </c>
      <c r="J99" s="77">
        <v>1778698.92</v>
      </c>
      <c r="K99" s="77">
        <v>1372039.11</v>
      </c>
      <c r="L99" s="77">
        <v>1530912.28</v>
      </c>
      <c r="M99" s="77">
        <v>1735857.03</v>
      </c>
      <c r="N99" s="77">
        <v>1802589.28</v>
      </c>
      <c r="O99" s="77">
        <v>1682374.5</v>
      </c>
      <c r="P99" s="77">
        <v>1420349.56585308</v>
      </c>
      <c r="Q99" s="77">
        <v>1621932.56256355</v>
      </c>
      <c r="R99" s="77">
        <v>2193158.9415833722</v>
      </c>
      <c r="S99" s="101">
        <f t="shared" si="47"/>
        <v>18619082.02</v>
      </c>
      <c r="T99" s="436">
        <f t="shared" si="48"/>
        <v>0.25576716100938224</v>
      </c>
      <c r="V99" s="292"/>
    </row>
    <row r="100" spans="1:23">
      <c r="A100" s="105" t="str">
        <f t="shared" si="42"/>
        <v>713p</v>
      </c>
      <c r="B100" s="635" t="str">
        <f>+VLOOKUP(LEFT($A100,LEN(A100)-1)*1,Master!$D$30:$G$229,4,FALSE)</f>
        <v>Takse</v>
      </c>
      <c r="C100" s="636"/>
      <c r="D100" s="636"/>
      <c r="E100" s="636"/>
      <c r="F100" s="636"/>
      <c r="G100" s="510">
        <v>859681.09</v>
      </c>
      <c r="H100" s="510">
        <v>998586.78</v>
      </c>
      <c r="I100" s="510">
        <v>986568.83000000007</v>
      </c>
      <c r="J100" s="510">
        <v>1424375.7499999998</v>
      </c>
      <c r="K100" s="510">
        <v>1250720.22</v>
      </c>
      <c r="L100" s="510">
        <v>1305037.74</v>
      </c>
      <c r="M100" s="510">
        <v>1800426.57</v>
      </c>
      <c r="N100" s="510">
        <v>1808424.72</v>
      </c>
      <c r="O100" s="510">
        <v>1276524.3220000002</v>
      </c>
      <c r="P100" s="510">
        <v>1366751.5629573569</v>
      </c>
      <c r="Q100" s="510">
        <v>1263472.9773286572</v>
      </c>
      <c r="R100" s="510">
        <v>1510973.937713986</v>
      </c>
      <c r="S100" s="546">
        <f t="shared" si="47"/>
        <v>15851544.500000002</v>
      </c>
      <c r="T100" s="522">
        <f t="shared" si="48"/>
        <v>0.21774996909213296</v>
      </c>
      <c r="V100" s="292"/>
    </row>
    <row r="101" spans="1:23">
      <c r="A101" s="105" t="str">
        <f t="shared" si="42"/>
        <v>714p</v>
      </c>
      <c r="B101" s="635" t="str">
        <f>+VLOOKUP(LEFT($A101,LEN(A101)-1)*1,Master!$D$30:$G$229,4,FALSE)</f>
        <v>Naknade</v>
      </c>
      <c r="C101" s="636"/>
      <c r="D101" s="636"/>
      <c r="E101" s="636"/>
      <c r="F101" s="636"/>
      <c r="G101" s="510">
        <v>2491580.6799999997</v>
      </c>
      <c r="H101" s="510">
        <v>4111753.23</v>
      </c>
      <c r="I101" s="510">
        <v>3497306.59</v>
      </c>
      <c r="J101" s="510">
        <v>5307671.18</v>
      </c>
      <c r="K101" s="510">
        <v>3457943.4</v>
      </c>
      <c r="L101" s="510">
        <v>4104367.62</v>
      </c>
      <c r="M101" s="510">
        <v>6739444.4199999999</v>
      </c>
      <c r="N101" s="510">
        <v>3916013.25</v>
      </c>
      <c r="O101" s="510">
        <v>3596943.34</v>
      </c>
      <c r="P101" s="510">
        <v>8444856.5697788838</v>
      </c>
      <c r="Q101" s="510">
        <v>9539829.9106435124</v>
      </c>
      <c r="R101" s="510">
        <v>7615370.4595776051</v>
      </c>
      <c r="S101" s="546">
        <f t="shared" si="47"/>
        <v>62823080.649999991</v>
      </c>
      <c r="T101" s="522">
        <f t="shared" si="48"/>
        <v>0.86298996730634481</v>
      </c>
      <c r="V101" s="292"/>
    </row>
    <row r="102" spans="1:23">
      <c r="A102" s="105" t="str">
        <f t="shared" si="42"/>
        <v>715p</v>
      </c>
      <c r="B102" s="635" t="str">
        <f>+VLOOKUP(LEFT($A102,LEN(A102)-1)*1,Master!$D$30:$G$229,4,FALSE)</f>
        <v>Ostali prihodi</v>
      </c>
      <c r="C102" s="636"/>
      <c r="D102" s="636"/>
      <c r="E102" s="636"/>
      <c r="F102" s="636"/>
      <c r="G102" s="510">
        <v>7787071.8500000006</v>
      </c>
      <c r="H102" s="510">
        <v>2506490.67</v>
      </c>
      <c r="I102" s="510">
        <v>2145824.85</v>
      </c>
      <c r="J102" s="510">
        <v>12834932.449999999</v>
      </c>
      <c r="K102" s="510">
        <v>2024117.15</v>
      </c>
      <c r="L102" s="510">
        <v>13130823.48</v>
      </c>
      <c r="M102" s="510">
        <v>18548149.52</v>
      </c>
      <c r="N102" s="510">
        <v>3488463.0699999994</v>
      </c>
      <c r="O102" s="510">
        <v>4235278.4899999993</v>
      </c>
      <c r="P102" s="510">
        <v>14669178.907052923</v>
      </c>
      <c r="Q102" s="510">
        <v>14632746.418558965</v>
      </c>
      <c r="R102" s="510">
        <v>25955742.174388066</v>
      </c>
      <c r="S102" s="546">
        <f t="shared" si="47"/>
        <v>121958819.02999996</v>
      </c>
      <c r="T102" s="522">
        <f t="shared" si="48"/>
        <v>1.6753275413821993</v>
      </c>
      <c r="V102" s="292"/>
    </row>
    <row r="103" spans="1:23">
      <c r="A103" s="105" t="str">
        <f t="shared" si="42"/>
        <v>73p</v>
      </c>
      <c r="B103" s="635" t="str">
        <f>+VLOOKUP(LEFT($A103,LEN(A103)-1)*1,Master!$D$30:$G$229,4,FALSE)</f>
        <v>Primici od otplate kredita i sredstva prenesena iz prethodne godine</v>
      </c>
      <c r="C103" s="636"/>
      <c r="D103" s="636"/>
      <c r="E103" s="636"/>
      <c r="F103" s="636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31" t="str">
        <f>+VLOOKUP(LEFT($A104,LEN(A104)-1)*1,Master!$D$30:$G$229,4,FALSE)</f>
        <v>Donacije i transferi</v>
      </c>
      <c r="C104" s="632"/>
      <c r="D104" s="632"/>
      <c r="E104" s="632"/>
      <c r="F104" s="632"/>
      <c r="G104" s="510">
        <v>4232324.3600000003</v>
      </c>
      <c r="H104" s="510">
        <v>113935.73</v>
      </c>
      <c r="I104" s="510">
        <v>3280879.61</v>
      </c>
      <c r="J104" s="510">
        <v>1986252.18</v>
      </c>
      <c r="K104" s="510">
        <v>1598929.68</v>
      </c>
      <c r="L104" s="510">
        <v>2514909.9</v>
      </c>
      <c r="M104" s="510">
        <v>3161833.91</v>
      </c>
      <c r="N104" s="510">
        <v>3345939.22</v>
      </c>
      <c r="O104" s="510">
        <v>2160528.65</v>
      </c>
      <c r="P104" s="510">
        <v>4071103.767777822</v>
      </c>
      <c r="Q104" s="510">
        <v>4449653.5944444016</v>
      </c>
      <c r="R104" s="510">
        <v>25383709.397777781</v>
      </c>
      <c r="S104" s="547">
        <f t="shared" si="47"/>
        <v>56300000</v>
      </c>
      <c r="T104" s="524">
        <f t="shared" si="48"/>
        <v>0.77338351855158871</v>
      </c>
      <c r="V104" s="292"/>
    </row>
    <row r="105" spans="1:23" ht="13.5" thickBot="1">
      <c r="A105" s="105" t="str">
        <f t="shared" si="42"/>
        <v>4p</v>
      </c>
      <c r="B105" s="613" t="str">
        <f>+VLOOKUP(LEFT($A105,LEN(A105)-1)*1,Master!$D$30:$G$229,4,FALSE)</f>
        <v>Izdaci budžeta</v>
      </c>
      <c r="C105" s="614"/>
      <c r="D105" s="614"/>
      <c r="E105" s="614"/>
      <c r="F105" s="614"/>
      <c r="G105" s="505">
        <f t="shared" ref="G105:L105" si="51">+G106+G116+G122+SUM(G123:G127)</f>
        <v>183820665.53</v>
      </c>
      <c r="H105" s="505">
        <f t="shared" si="51"/>
        <v>209034546.72</v>
      </c>
      <c r="I105" s="505">
        <f t="shared" si="51"/>
        <v>223389951.12</v>
      </c>
      <c r="J105" s="505">
        <f t="shared" si="51"/>
        <v>245922148.61000001</v>
      </c>
      <c r="K105" s="505">
        <f t="shared" si="51"/>
        <v>229395964.30000001</v>
      </c>
      <c r="L105" s="505">
        <f t="shared" si="51"/>
        <v>225770245.25999999</v>
      </c>
      <c r="M105" s="505">
        <f t="shared" ref="M105:R105" si="52">+M106+M116+M122+SUM(M123:M127)</f>
        <v>241789206.27000004</v>
      </c>
      <c r="N105" s="505">
        <f t="shared" si="52"/>
        <v>195775083.89999995</v>
      </c>
      <c r="O105" s="505">
        <f t="shared" si="52"/>
        <v>324683120.88</v>
      </c>
      <c r="P105" s="505">
        <f t="shared" si="52"/>
        <v>309512241.25</v>
      </c>
      <c r="Q105" s="505">
        <f t="shared" si="52"/>
        <v>309512241.24000001</v>
      </c>
      <c r="R105" s="505">
        <f t="shared" si="52"/>
        <v>309512211.62999994</v>
      </c>
      <c r="S105" s="548">
        <f>+SUM(G105:R105)</f>
        <v>3008117626.71</v>
      </c>
      <c r="T105" s="549">
        <f t="shared" si="48"/>
        <v>41.321999899858511</v>
      </c>
      <c r="V105" s="275"/>
    </row>
    <row r="106" spans="1:23">
      <c r="A106" s="105" t="str">
        <f t="shared" si="42"/>
        <v>41p</v>
      </c>
      <c r="B106" s="633" t="str">
        <f>+VLOOKUP(LEFT($A106,LEN(A106)-1)*1,Master!$D$30:$G$229,4,FALSE)</f>
        <v>Tekući izdaci</v>
      </c>
      <c r="C106" s="634"/>
      <c r="D106" s="634"/>
      <c r="E106" s="634"/>
      <c r="F106" s="634"/>
      <c r="G106" s="511">
        <f t="shared" ref="G106:L106" si="53">+SUM(G107:G115)</f>
        <v>78841206.859999985</v>
      </c>
      <c r="H106" s="511">
        <f t="shared" si="53"/>
        <v>83014021.199999973</v>
      </c>
      <c r="I106" s="511">
        <f t="shared" si="53"/>
        <v>92048933.290000007</v>
      </c>
      <c r="J106" s="511">
        <f t="shared" si="53"/>
        <v>107050346.88000001</v>
      </c>
      <c r="K106" s="511">
        <f t="shared" si="53"/>
        <v>97740761.239999995</v>
      </c>
      <c r="L106" s="511">
        <f t="shared" si="53"/>
        <v>88589892.949999973</v>
      </c>
      <c r="M106" s="511">
        <f t="shared" ref="M106:R106" si="54">+SUM(M107:M115)</f>
        <v>89195136.260000035</v>
      </c>
      <c r="N106" s="511">
        <f t="shared" si="54"/>
        <v>74903604.239999965</v>
      </c>
      <c r="O106" s="511">
        <f t="shared" si="54"/>
        <v>136034959.76000002</v>
      </c>
      <c r="P106" s="511">
        <f t="shared" si="54"/>
        <v>126609704.89000003</v>
      </c>
      <c r="Q106" s="511">
        <f t="shared" si="54"/>
        <v>126609704.88000003</v>
      </c>
      <c r="R106" s="512">
        <f t="shared" si="54"/>
        <v>126609678.25999996</v>
      </c>
      <c r="S106" s="542">
        <f t="shared" si="47"/>
        <v>1227247950.71</v>
      </c>
      <c r="T106" s="519">
        <f t="shared" si="48"/>
        <v>16.858496238993364</v>
      </c>
      <c r="V106" s="275"/>
      <c r="W106" s="275"/>
    </row>
    <row r="107" spans="1:23">
      <c r="A107" s="105" t="str">
        <f t="shared" si="42"/>
        <v>411p</v>
      </c>
      <c r="B107" s="629" t="str">
        <f>+VLOOKUP(LEFT($A107,LEN(A107)-1)*1,Master!$D$30:$G$229,4,FALSE)</f>
        <v>Bruto zarade i doprinosi na teret poslodavca</v>
      </c>
      <c r="C107" s="630"/>
      <c r="D107" s="630"/>
      <c r="E107" s="630"/>
      <c r="F107" s="630"/>
      <c r="G107" s="77">
        <v>55090717.779999986</v>
      </c>
      <c r="H107" s="77">
        <v>55927681.819999978</v>
      </c>
      <c r="I107" s="77">
        <v>55523778.059999987</v>
      </c>
      <c r="J107" s="77">
        <v>55425859.020000018</v>
      </c>
      <c r="K107" s="77">
        <v>56381450.370000005</v>
      </c>
      <c r="L107" s="77">
        <v>56771011.799999982</v>
      </c>
      <c r="M107" s="77">
        <v>56426791.560000025</v>
      </c>
      <c r="N107" s="77">
        <v>55778240.389999971</v>
      </c>
      <c r="O107" s="77">
        <v>62806361.320000015</v>
      </c>
      <c r="P107" s="77">
        <v>62805999.470000014</v>
      </c>
      <c r="Q107" s="77">
        <v>62805999.470000014</v>
      </c>
      <c r="R107" s="77">
        <v>62805991.889999978</v>
      </c>
      <c r="S107" s="101">
        <f t="shared" si="47"/>
        <v>698549882.94999993</v>
      </c>
      <c r="T107" s="436">
        <f t="shared" si="48"/>
        <v>9.5958608589639667</v>
      </c>
      <c r="V107" s="488"/>
    </row>
    <row r="108" spans="1:23">
      <c r="A108" s="105" t="str">
        <f t="shared" si="42"/>
        <v>412p</v>
      </c>
      <c r="B108" s="629" t="str">
        <f>+VLOOKUP(LEFT($A108,LEN(A108)-1)*1,Master!$D$30:$G$229,4,FALSE)</f>
        <v>Ostala lična primanja</v>
      </c>
      <c r="C108" s="630"/>
      <c r="D108" s="630"/>
      <c r="E108" s="630"/>
      <c r="F108" s="630"/>
      <c r="G108" s="77">
        <v>1845012.37</v>
      </c>
      <c r="H108" s="77">
        <v>1121381.1000000001</v>
      </c>
      <c r="I108" s="77">
        <v>1789478.1000000006</v>
      </c>
      <c r="J108" s="77">
        <v>1613860.580000001</v>
      </c>
      <c r="K108" s="77">
        <v>1532334.9299999995</v>
      </c>
      <c r="L108" s="77">
        <v>1656072.9800000002</v>
      </c>
      <c r="M108" s="77">
        <v>1758849.6600000011</v>
      </c>
      <c r="N108" s="77">
        <v>1228863.3999999999</v>
      </c>
      <c r="O108" s="77">
        <v>2615345.4199999995</v>
      </c>
      <c r="P108" s="77">
        <v>2604939.939999999</v>
      </c>
      <c r="Q108" s="77">
        <v>2604939.939999999</v>
      </c>
      <c r="R108" s="77">
        <v>2604938.5800000005</v>
      </c>
      <c r="S108" s="101">
        <f t="shared" si="47"/>
        <v>22976017</v>
      </c>
      <c r="T108" s="436">
        <f t="shared" si="48"/>
        <v>0.31561763534211573</v>
      </c>
      <c r="V108" s="488"/>
    </row>
    <row r="109" spans="1:23">
      <c r="A109" s="105" t="str">
        <f t="shared" si="42"/>
        <v>413p</v>
      </c>
      <c r="B109" s="629" t="str">
        <f>+VLOOKUP(LEFT($A109,LEN(A109)-1)*1,Master!$D$30:$G$229,4,FALSE)</f>
        <v>Rashodi za materijal</v>
      </c>
      <c r="C109" s="630"/>
      <c r="D109" s="630"/>
      <c r="E109" s="630"/>
      <c r="F109" s="630"/>
      <c r="G109" s="77">
        <v>2369982.58</v>
      </c>
      <c r="H109" s="77">
        <v>4309739.99</v>
      </c>
      <c r="I109" s="77">
        <v>4627461.04</v>
      </c>
      <c r="J109" s="77">
        <v>3794524.9999999995</v>
      </c>
      <c r="K109" s="77">
        <v>3824230.88</v>
      </c>
      <c r="L109" s="77">
        <v>4216176.76</v>
      </c>
      <c r="M109" s="77">
        <v>3288042.01</v>
      </c>
      <c r="N109" s="77">
        <v>2536576.7799999998</v>
      </c>
      <c r="O109" s="77">
        <v>5879314.1699999981</v>
      </c>
      <c r="P109" s="77">
        <v>5015153.0199999968</v>
      </c>
      <c r="Q109" s="77">
        <v>5015153.0199999968</v>
      </c>
      <c r="R109" s="77">
        <v>5015149.2499999981</v>
      </c>
      <c r="S109" s="101">
        <f t="shared" si="47"/>
        <v>49891504.499999985</v>
      </c>
      <c r="T109" s="436">
        <f t="shared" si="48"/>
        <v>0.68535110650164133</v>
      </c>
      <c r="V109" s="488"/>
    </row>
    <row r="110" spans="1:23">
      <c r="A110" s="105" t="str">
        <f t="shared" si="42"/>
        <v>414p</v>
      </c>
      <c r="B110" s="629" t="str">
        <f>+VLOOKUP(LEFT($A110,LEN(A110)-1)*1,Master!$D$30:$G$229,4,FALSE)</f>
        <v>Rashodi za usluge</v>
      </c>
      <c r="C110" s="630"/>
      <c r="D110" s="630"/>
      <c r="E110" s="630"/>
      <c r="F110" s="630"/>
      <c r="G110" s="77">
        <v>2784249.9200000004</v>
      </c>
      <c r="H110" s="77">
        <v>5200756.5299999993</v>
      </c>
      <c r="I110" s="77">
        <v>5783209.3900000025</v>
      </c>
      <c r="J110" s="77">
        <v>6441506.1099999985</v>
      </c>
      <c r="K110" s="77">
        <v>4515023.76</v>
      </c>
      <c r="L110" s="77">
        <v>5470012.5800000001</v>
      </c>
      <c r="M110" s="77">
        <v>4997441.2200000016</v>
      </c>
      <c r="N110" s="77">
        <v>2840935.7999999993</v>
      </c>
      <c r="O110" s="77">
        <v>11163601.780000005</v>
      </c>
      <c r="P110" s="77">
        <v>10908881.100000005</v>
      </c>
      <c r="Q110" s="77">
        <v>10908881.090000005</v>
      </c>
      <c r="R110" s="77">
        <v>10908873.049999999</v>
      </c>
      <c r="S110" s="101">
        <f t="shared" si="47"/>
        <v>81923372.330000013</v>
      </c>
      <c r="T110" s="436">
        <f t="shared" si="48"/>
        <v>1.1253674235202002</v>
      </c>
      <c r="V110" s="488"/>
    </row>
    <row r="111" spans="1:23">
      <c r="A111" s="105" t="str">
        <f t="shared" si="42"/>
        <v>415p</v>
      </c>
      <c r="B111" s="629" t="str">
        <f>+VLOOKUP(LEFT($A111,LEN(A111)-1)*1,Master!$D$30:$G$229,4,FALSE)</f>
        <v>Rashodi za tekuće održavanje</v>
      </c>
      <c r="C111" s="630"/>
      <c r="D111" s="630"/>
      <c r="E111" s="630"/>
      <c r="F111" s="630"/>
      <c r="G111" s="77">
        <v>421997.91000000003</v>
      </c>
      <c r="H111" s="77">
        <v>2207116.13</v>
      </c>
      <c r="I111" s="77">
        <v>2227194.2300000004</v>
      </c>
      <c r="J111" s="77">
        <v>3630793.98</v>
      </c>
      <c r="K111" s="77">
        <v>1842653.52</v>
      </c>
      <c r="L111" s="77">
        <v>3199704.1299999994</v>
      </c>
      <c r="M111" s="77">
        <v>5358791.49</v>
      </c>
      <c r="N111" s="77">
        <v>1479981.49</v>
      </c>
      <c r="O111" s="77">
        <v>4707282.669999999</v>
      </c>
      <c r="P111" s="77">
        <v>4676428.2699999996</v>
      </c>
      <c r="Q111" s="77">
        <v>4676428.2699999996</v>
      </c>
      <c r="R111" s="77">
        <v>4676426.9999999991</v>
      </c>
      <c r="S111" s="101">
        <f t="shared" si="47"/>
        <v>39104799.089999996</v>
      </c>
      <c r="T111" s="436">
        <f t="shared" si="48"/>
        <v>0.53717597002623729</v>
      </c>
      <c r="V111" s="488"/>
    </row>
    <row r="112" spans="1:23">
      <c r="A112" s="105" t="str">
        <f t="shared" si="42"/>
        <v>416p</v>
      </c>
      <c r="B112" s="629" t="str">
        <f>+VLOOKUP(LEFT($A112,LEN(A112)-1)*1,Master!$D$30:$G$229,4,FALSE)</f>
        <v>Kamate</v>
      </c>
      <c r="C112" s="630"/>
      <c r="D112" s="630"/>
      <c r="E112" s="630"/>
      <c r="F112" s="630"/>
      <c r="G112" s="77">
        <v>4503949.2600000007</v>
      </c>
      <c r="H112" s="77">
        <v>3756292.27</v>
      </c>
      <c r="I112" s="77">
        <v>7092103.2000000002</v>
      </c>
      <c r="J112" s="77">
        <v>23844711.640000001</v>
      </c>
      <c r="K112" s="77">
        <v>16055591.880000001</v>
      </c>
      <c r="L112" s="77">
        <v>5378731.6100000013</v>
      </c>
      <c r="M112" s="77">
        <v>3774375.9200000004</v>
      </c>
      <c r="N112" s="77">
        <v>4401368.99</v>
      </c>
      <c r="O112" s="77">
        <v>25791430.839999996</v>
      </c>
      <c r="P112" s="77">
        <v>17655486.75</v>
      </c>
      <c r="Q112" s="77">
        <v>17655486.75</v>
      </c>
      <c r="R112" s="77">
        <v>17655486.710000001</v>
      </c>
      <c r="S112" s="101">
        <f t="shared" si="47"/>
        <v>147565015.82000002</v>
      </c>
      <c r="T112" s="436">
        <f t="shared" si="48"/>
        <v>2.027075508880861</v>
      </c>
      <c r="V112" s="488"/>
    </row>
    <row r="113" spans="1:22">
      <c r="A113" s="105" t="str">
        <f t="shared" si="42"/>
        <v>417p</v>
      </c>
      <c r="B113" s="629" t="str">
        <f>+VLOOKUP(LEFT($A113,LEN(A113)-1)*1,Master!$D$30:$G$229,4,FALSE)</f>
        <v>Renta</v>
      </c>
      <c r="C113" s="630"/>
      <c r="D113" s="630"/>
      <c r="E113" s="630"/>
      <c r="F113" s="630"/>
      <c r="G113" s="77">
        <v>1145827.7</v>
      </c>
      <c r="H113" s="77">
        <v>1121922.1300000001</v>
      </c>
      <c r="I113" s="77">
        <v>1173734.8999999999</v>
      </c>
      <c r="J113" s="77">
        <v>1216286.52</v>
      </c>
      <c r="K113" s="77">
        <v>1123391.8600000001</v>
      </c>
      <c r="L113" s="77">
        <v>1136951.03</v>
      </c>
      <c r="M113" s="77">
        <v>1173779.8900000004</v>
      </c>
      <c r="N113" s="77">
        <v>955386.79999999993</v>
      </c>
      <c r="O113" s="77">
        <v>1256374.8099999996</v>
      </c>
      <c r="P113" s="77">
        <v>1251288.0399999998</v>
      </c>
      <c r="Q113" s="77">
        <v>1251288.0399999998</v>
      </c>
      <c r="R113" s="77">
        <v>1251287.7599999995</v>
      </c>
      <c r="S113" s="101">
        <f t="shared" si="47"/>
        <v>14057519.479999999</v>
      </c>
      <c r="T113" s="436">
        <f t="shared" si="48"/>
        <v>0.19310575270958966</v>
      </c>
      <c r="V113" s="488"/>
    </row>
    <row r="114" spans="1:22">
      <c r="A114" s="105" t="str">
        <f t="shared" si="42"/>
        <v>418p</v>
      </c>
      <c r="B114" s="629" t="str">
        <f>+VLOOKUP(LEFT($A114,LEN(A114)-1)*1,Master!$D$30:$G$229,4,FALSE)</f>
        <v>Subvencije</v>
      </c>
      <c r="C114" s="630"/>
      <c r="D114" s="630"/>
      <c r="E114" s="630"/>
      <c r="F114" s="630"/>
      <c r="G114" s="77">
        <v>2731666.67</v>
      </c>
      <c r="H114" s="77">
        <v>4565115.9800000004</v>
      </c>
      <c r="I114" s="77">
        <v>6441730.6699999999</v>
      </c>
      <c r="J114" s="77">
        <v>6542895.6699999999</v>
      </c>
      <c r="K114" s="77">
        <v>7137211.9099999992</v>
      </c>
      <c r="L114" s="77">
        <v>5996551</v>
      </c>
      <c r="M114" s="77">
        <v>6613693.3300000001</v>
      </c>
      <c r="N114" s="77">
        <v>2663566.67</v>
      </c>
      <c r="O114" s="77">
        <v>9829142.0100000016</v>
      </c>
      <c r="P114" s="77">
        <v>9829142.0100000016</v>
      </c>
      <c r="Q114" s="77">
        <v>9829142.0100000016</v>
      </c>
      <c r="R114" s="77">
        <v>9829142</v>
      </c>
      <c r="S114" s="101">
        <f t="shared" si="47"/>
        <v>82008999.930000022</v>
      </c>
      <c r="T114" s="436">
        <f t="shared" si="48"/>
        <v>1.1265436752888172</v>
      </c>
      <c r="V114" s="488"/>
    </row>
    <row r="115" spans="1:22">
      <c r="A115" s="105" t="str">
        <f t="shared" si="42"/>
        <v>419p</v>
      </c>
      <c r="B115" s="629" t="str">
        <f>+VLOOKUP(LEFT($A115,LEN(A115)-1)*1,Master!$D$30:$G$229,4,FALSE)</f>
        <v>Ostali izdaci</v>
      </c>
      <c r="C115" s="630"/>
      <c r="D115" s="630"/>
      <c r="E115" s="630"/>
      <c r="F115" s="630"/>
      <c r="G115" s="77">
        <v>7947802.6700000009</v>
      </c>
      <c r="H115" s="77">
        <v>4804015.25</v>
      </c>
      <c r="I115" s="77">
        <v>7390243.7000000002</v>
      </c>
      <c r="J115" s="77">
        <v>4539908.3599999994</v>
      </c>
      <c r="K115" s="77">
        <v>5328872.13</v>
      </c>
      <c r="L115" s="77">
        <v>4764681.0599999977</v>
      </c>
      <c r="M115" s="77">
        <v>5803371.1800000006</v>
      </c>
      <c r="N115" s="77">
        <v>3018683.9200000004</v>
      </c>
      <c r="O115" s="77">
        <v>11986106.740000006</v>
      </c>
      <c r="P115" s="77">
        <v>11862386.290000007</v>
      </c>
      <c r="Q115" s="77">
        <v>11862386.290000007</v>
      </c>
      <c r="R115" s="77">
        <v>11862382.02</v>
      </c>
      <c r="S115" s="101">
        <f t="shared" si="47"/>
        <v>91170839.610000014</v>
      </c>
      <c r="T115" s="436">
        <f t="shared" si="48"/>
        <v>1.2523983077599352</v>
      </c>
      <c r="V115" s="488"/>
    </row>
    <row r="116" spans="1:22">
      <c r="A116" s="105" t="str">
        <f t="shared" si="42"/>
        <v>42p</v>
      </c>
      <c r="B116" s="625" t="str">
        <f>+VLOOKUP(LEFT($A116,LEN(A116)-1)*1,Master!$D$30:$G$229,4,FALSE)</f>
        <v>Transferi za socijalnu zaštitu</v>
      </c>
      <c r="C116" s="626"/>
      <c r="D116" s="626"/>
      <c r="E116" s="626"/>
      <c r="F116" s="626"/>
      <c r="G116" s="507">
        <f t="shared" ref="G116:L116" si="55">+SUM(G117:G121)</f>
        <v>73494600.770000011</v>
      </c>
      <c r="H116" s="507">
        <f t="shared" si="55"/>
        <v>82093000.99000001</v>
      </c>
      <c r="I116" s="507">
        <f t="shared" si="55"/>
        <v>81100925.239999995</v>
      </c>
      <c r="J116" s="507">
        <f t="shared" si="55"/>
        <v>83912019.790000007</v>
      </c>
      <c r="K116" s="507">
        <f t="shared" si="55"/>
        <v>82988777.170000002</v>
      </c>
      <c r="L116" s="507">
        <f t="shared" si="55"/>
        <v>87080191.770000011</v>
      </c>
      <c r="M116" s="507">
        <f t="shared" ref="M116:R116" si="56">+SUM(M117:M121)</f>
        <v>83205495.530000001</v>
      </c>
      <c r="N116" s="507">
        <f t="shared" si="56"/>
        <v>85610351.370000005</v>
      </c>
      <c r="O116" s="507">
        <f t="shared" si="56"/>
        <v>87439444.099999994</v>
      </c>
      <c r="P116" s="507">
        <f t="shared" si="56"/>
        <v>86802593.00999999</v>
      </c>
      <c r="Q116" s="507">
        <f t="shared" si="56"/>
        <v>86802593.00999999</v>
      </c>
      <c r="R116" s="507">
        <f t="shared" si="56"/>
        <v>86802592.889999986</v>
      </c>
      <c r="S116" s="546">
        <f t="shared" si="47"/>
        <v>1007332585.64</v>
      </c>
      <c r="T116" s="522">
        <f t="shared" si="48"/>
        <v>13.837556295451737</v>
      </c>
      <c r="V116" s="292"/>
    </row>
    <row r="117" spans="1:22">
      <c r="A117" s="105" t="str">
        <f t="shared" si="42"/>
        <v>421p</v>
      </c>
      <c r="B117" s="629" t="str">
        <f>+VLOOKUP(LEFT($A117,LEN(A117)-1)*1,Master!$D$30:$G$229,4,FALSE)</f>
        <v>Prava iz oblasti socijalne zaštite</v>
      </c>
      <c r="C117" s="630"/>
      <c r="D117" s="630"/>
      <c r="E117" s="630"/>
      <c r="F117" s="630"/>
      <c r="G117" s="499">
        <v>17263673.050000001</v>
      </c>
      <c r="H117" s="499">
        <v>17437731.979999997</v>
      </c>
      <c r="I117" s="499">
        <v>16920688.470000003</v>
      </c>
      <c r="J117" s="499">
        <v>17626340.169999998</v>
      </c>
      <c r="K117" s="499">
        <v>17001906.07</v>
      </c>
      <c r="L117" s="499">
        <v>17977246.739999998</v>
      </c>
      <c r="M117" s="499">
        <v>16917527.130000003</v>
      </c>
      <c r="N117" s="499">
        <v>18622201.02</v>
      </c>
      <c r="O117" s="499">
        <v>18073921.359999999</v>
      </c>
      <c r="P117" s="499">
        <v>18073921.359999999</v>
      </c>
      <c r="Q117" s="499">
        <v>18073921.359999999</v>
      </c>
      <c r="R117" s="499">
        <v>18073921.289999999</v>
      </c>
      <c r="S117" s="101">
        <f t="shared" si="47"/>
        <v>212063000.00000003</v>
      </c>
      <c r="T117" s="436">
        <f t="shared" si="48"/>
        <v>2.9130733409343796</v>
      </c>
      <c r="V117" s="488"/>
    </row>
    <row r="118" spans="1:22">
      <c r="A118" s="105" t="str">
        <f t="shared" ref="A118:A134" si="57">+CONCATENATE(A42,"p")</f>
        <v>422p</v>
      </c>
      <c r="B118" s="629" t="str">
        <f>+VLOOKUP(LEFT($A118,LEN(A118)-1)*1,Master!$D$30:$G$229,4,FALSE)</f>
        <v>Sredstva za tehnološke viškove</v>
      </c>
      <c r="C118" s="630"/>
      <c r="D118" s="630"/>
      <c r="E118" s="630"/>
      <c r="F118" s="630"/>
      <c r="G118" s="499">
        <v>2042355.51</v>
      </c>
      <c r="H118" s="499">
        <v>2083858.33</v>
      </c>
      <c r="I118" s="499">
        <v>8025</v>
      </c>
      <c r="J118" s="499">
        <v>1913496.3</v>
      </c>
      <c r="K118" s="499">
        <v>1869681.84</v>
      </c>
      <c r="L118" s="499">
        <v>1844784.76</v>
      </c>
      <c r="M118" s="499">
        <v>1856591.34</v>
      </c>
      <c r="N118" s="499">
        <v>1850620.4200000002</v>
      </c>
      <c r="O118" s="499">
        <v>2013882.0499999998</v>
      </c>
      <c r="P118" s="499">
        <v>1817334.8199999998</v>
      </c>
      <c r="Q118" s="499">
        <v>1817334.8199999998</v>
      </c>
      <c r="R118" s="499">
        <v>1817334.8099999998</v>
      </c>
      <c r="S118" s="101">
        <f t="shared" si="47"/>
        <v>20935300</v>
      </c>
      <c r="T118" s="436">
        <f t="shared" si="48"/>
        <v>0.28758465321373133</v>
      </c>
      <c r="V118" s="488"/>
    </row>
    <row r="119" spans="1:22">
      <c r="A119" s="105" t="str">
        <f t="shared" si="57"/>
        <v>423p</v>
      </c>
      <c r="B119" s="629" t="str">
        <f>+VLOOKUP(LEFT($A119,LEN(A119)-1)*1,Master!$D$30:$G$229,4,FALSE)</f>
        <v>Prava iz oblasti penzijskog i invalidskog osiguranja</v>
      </c>
      <c r="C119" s="630"/>
      <c r="D119" s="630"/>
      <c r="E119" s="630"/>
      <c r="F119" s="630"/>
      <c r="G119" s="499">
        <v>51133572.210000001</v>
      </c>
      <c r="H119" s="499">
        <v>59516410.680000007</v>
      </c>
      <c r="I119" s="499">
        <v>61117211.769999996</v>
      </c>
      <c r="J119" s="499">
        <v>61317183.320000008</v>
      </c>
      <c r="K119" s="499">
        <v>61062189.260000005</v>
      </c>
      <c r="L119" s="499">
        <v>61903160.270000003</v>
      </c>
      <c r="M119" s="499">
        <v>61711377.060000002</v>
      </c>
      <c r="N119" s="499">
        <v>62111529.930000007</v>
      </c>
      <c r="O119" s="499">
        <v>64325640.68999999</v>
      </c>
      <c r="P119" s="499">
        <v>64325640.68999999</v>
      </c>
      <c r="Q119" s="499">
        <v>64325640.68999999</v>
      </c>
      <c r="R119" s="499">
        <v>64325640.649999991</v>
      </c>
      <c r="S119" s="101">
        <f t="shared" si="47"/>
        <v>737175197.21999979</v>
      </c>
      <c r="T119" s="436">
        <f t="shared" si="48"/>
        <v>10.126450227619268</v>
      </c>
      <c r="V119" s="488"/>
    </row>
    <row r="120" spans="1:22">
      <c r="A120" s="105" t="str">
        <f t="shared" si="57"/>
        <v>424p</v>
      </c>
      <c r="B120" s="629" t="str">
        <f>+VLOOKUP(LEFT($A120,LEN(A120)-1)*1,Master!$D$30:$G$229,4,FALSE)</f>
        <v>Ostala prava iz oblasti zdravstvene zaštite</v>
      </c>
      <c r="C120" s="630"/>
      <c r="D120" s="630"/>
      <c r="E120" s="630"/>
      <c r="F120" s="630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4055000</v>
      </c>
      <c r="M120" s="499">
        <v>1200000</v>
      </c>
      <c r="N120" s="499">
        <v>1506000</v>
      </c>
      <c r="O120" s="499">
        <v>1506000</v>
      </c>
      <c r="P120" s="499">
        <v>1506000</v>
      </c>
      <c r="Q120" s="499">
        <v>1506000</v>
      </c>
      <c r="R120" s="499">
        <v>1506000</v>
      </c>
      <c r="S120" s="101">
        <f t="shared" si="47"/>
        <v>21560000</v>
      </c>
      <c r="T120" s="436">
        <f t="shared" si="48"/>
        <v>0.29616605079879665</v>
      </c>
      <c r="V120" s="488"/>
    </row>
    <row r="121" spans="1:22">
      <c r="A121" s="105" t="str">
        <f t="shared" si="57"/>
        <v>425p</v>
      </c>
      <c r="B121" s="629" t="str">
        <f>+VLOOKUP(LEFT($A121,LEN(A121)-1)*1,Master!$D$30:$G$229,4,FALSE)</f>
        <v>Ostala prava iz zdravstvenog osiguranja</v>
      </c>
      <c r="C121" s="630"/>
      <c r="D121" s="630"/>
      <c r="E121" s="630"/>
      <c r="F121" s="630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1520000</v>
      </c>
      <c r="N121" s="499">
        <v>1520000</v>
      </c>
      <c r="O121" s="499">
        <v>1520000</v>
      </c>
      <c r="P121" s="499">
        <v>1079696.1400000001</v>
      </c>
      <c r="Q121" s="499">
        <v>1079696.1400000001</v>
      </c>
      <c r="R121" s="499">
        <v>1079696.1400000001</v>
      </c>
      <c r="S121" s="101">
        <f t="shared" si="47"/>
        <v>15599088.420000002</v>
      </c>
      <c r="T121" s="436">
        <f t="shared" si="48"/>
        <v>0.21428202288555848</v>
      </c>
      <c r="V121" s="488"/>
    </row>
    <row r="122" spans="1:22">
      <c r="A122" s="105" t="str">
        <f t="shared" si="57"/>
        <v>43p</v>
      </c>
      <c r="B122" s="627" t="str">
        <f>+VLOOKUP(LEFT($A122,LEN(A122)-1)*1,Master!$D$30:$G$229,4,FALSE)</f>
        <v xml:space="preserve">Transferi institucijama, pojedincima, nevladinom i javnom sektoru </v>
      </c>
      <c r="C122" s="628"/>
      <c r="D122" s="628"/>
      <c r="E122" s="628"/>
      <c r="F122" s="628"/>
      <c r="G122" s="510">
        <v>28564147.63000001</v>
      </c>
      <c r="H122" s="510">
        <v>32536023.690000009</v>
      </c>
      <c r="I122" s="510">
        <v>33620505.540000007</v>
      </c>
      <c r="J122" s="510">
        <v>33996126.920000002</v>
      </c>
      <c r="K122" s="510">
        <v>28169682.809999999</v>
      </c>
      <c r="L122" s="510">
        <v>32301939.990000006</v>
      </c>
      <c r="M122" s="510">
        <v>48116062.330000006</v>
      </c>
      <c r="N122" s="510">
        <v>28573392.820000008</v>
      </c>
      <c r="O122" s="510">
        <v>41344037.339999996</v>
      </c>
      <c r="P122" s="510">
        <v>37535806.099999994</v>
      </c>
      <c r="Q122" s="510">
        <v>37535806.099999994</v>
      </c>
      <c r="R122" s="510">
        <v>37535805.210000001</v>
      </c>
      <c r="S122" s="546">
        <f>+SUM(G122:R122)</f>
        <v>419829336.48000008</v>
      </c>
      <c r="T122" s="522">
        <f t="shared" si="48"/>
        <v>5.7671241463247123</v>
      </c>
      <c r="V122" s="488"/>
    </row>
    <row r="123" spans="1:22">
      <c r="A123" s="105" t="str">
        <f t="shared" si="57"/>
        <v>44p</v>
      </c>
      <c r="B123" s="627" t="str">
        <f>+VLOOKUP(LEFT($A123,LEN(A123)-1)*1,Master!$D$30:$G$229,4,FALSE)</f>
        <v>Kapitalni izdaci</v>
      </c>
      <c r="C123" s="628"/>
      <c r="D123" s="628"/>
      <c r="E123" s="628"/>
      <c r="F123" s="628"/>
      <c r="G123" s="510">
        <v>2493461.69</v>
      </c>
      <c r="H123" s="510">
        <v>10868981.66</v>
      </c>
      <c r="I123" s="510">
        <v>15828943.68</v>
      </c>
      <c r="J123" s="510">
        <v>18716642.889999997</v>
      </c>
      <c r="K123" s="510">
        <v>12175709.51</v>
      </c>
      <c r="L123" s="510">
        <v>13530154.32</v>
      </c>
      <c r="M123" s="510">
        <v>16336899.660000002</v>
      </c>
      <c r="N123" s="510">
        <v>6646856.0699999994</v>
      </c>
      <c r="O123" s="510">
        <v>44278288.799999982</v>
      </c>
      <c r="P123" s="510">
        <v>42977746.36999999</v>
      </c>
      <c r="Q123" s="510">
        <v>42977746.36999999</v>
      </c>
      <c r="R123" s="510">
        <v>42977744.680000007</v>
      </c>
      <c r="S123" s="546">
        <f>+SUM(G123:R123)</f>
        <v>269809175.69999999</v>
      </c>
      <c r="T123" s="522">
        <f t="shared" si="48"/>
        <v>3.7063227289586109</v>
      </c>
      <c r="U123" s="292"/>
      <c r="V123" s="488"/>
    </row>
    <row r="124" spans="1:22">
      <c r="A124" s="105" t="str">
        <f t="shared" si="57"/>
        <v>451p</v>
      </c>
      <c r="B124" s="619" t="str">
        <f>+VLOOKUP(LEFT($A124,LEN(A124)-1)*1,Master!$D$30:$G$229,4,FALSE)</f>
        <v>Pozajmice i krediti</v>
      </c>
      <c r="C124" s="620"/>
      <c r="D124" s="620"/>
      <c r="E124" s="620"/>
      <c r="F124" s="620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19" t="str">
        <f>+VLOOKUP(LEFT($A125,LEN(A125)-1)*1,Master!$D$30:$G$229,4,FALSE)</f>
        <v>Rezerve</v>
      </c>
      <c r="C125" s="620"/>
      <c r="D125" s="620"/>
      <c r="E125" s="620"/>
      <c r="F125" s="620"/>
      <c r="G125" s="501">
        <v>0</v>
      </c>
      <c r="H125" s="501">
        <v>0</v>
      </c>
      <c r="I125" s="501">
        <v>754804.72</v>
      </c>
      <c r="J125" s="501">
        <v>2241991.67</v>
      </c>
      <c r="K125" s="501">
        <v>8318950</v>
      </c>
      <c r="L125" s="501">
        <v>4247049.5</v>
      </c>
      <c r="M125" s="501">
        <v>4935612.49</v>
      </c>
      <c r="N125" s="501">
        <v>10879.4</v>
      </c>
      <c r="O125" s="501">
        <v>10387962.93</v>
      </c>
      <c r="P125" s="501">
        <v>10387962.93</v>
      </c>
      <c r="Q125" s="501">
        <v>10387962.93</v>
      </c>
      <c r="R125" s="501">
        <v>10387962.91</v>
      </c>
      <c r="S125" s="101">
        <f t="shared" si="47"/>
        <v>62061139.480000004</v>
      </c>
      <c r="T125" s="436">
        <f t="shared" si="48"/>
        <v>0.85252331112545854</v>
      </c>
      <c r="U125" s="292"/>
      <c r="V125" s="488"/>
    </row>
    <row r="126" spans="1:22">
      <c r="A126" s="105" t="str">
        <f t="shared" si="57"/>
        <v>462p</v>
      </c>
      <c r="B126" s="619" t="str">
        <f>+VLOOKUP(LEFT($A126,LEN(A126)-1)*1,Master!$D$30:$G$229,4,FALSE)</f>
        <v>Otplata garancija</v>
      </c>
      <c r="C126" s="620"/>
      <c r="D126" s="620"/>
      <c r="E126" s="620"/>
      <c r="F126" s="620"/>
      <c r="G126" s="499">
        <v>0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0.5</v>
      </c>
      <c r="P126" s="499">
        <v>0.5</v>
      </c>
      <c r="Q126" s="499">
        <v>0.5</v>
      </c>
      <c r="R126" s="499">
        <v>0.5</v>
      </c>
      <c r="S126" s="101">
        <f t="shared" si="47"/>
        <v>2</v>
      </c>
      <c r="T126" s="436">
        <f t="shared" si="48"/>
        <v>2.7473659628830857E-8</v>
      </c>
      <c r="U126" s="292"/>
      <c r="V126" s="488"/>
    </row>
    <row r="127" spans="1:22">
      <c r="A127" s="106" t="str">
        <f t="shared" si="57"/>
        <v>4630p</v>
      </c>
      <c r="B127" s="619" t="str">
        <f>+VLOOKUP(LEFT($A127,LEN(A127)-1)*1,Master!$D$30:$G$229,4,FALSE)</f>
        <v>Otplata obaveza iz prethodnog perioda</v>
      </c>
      <c r="C127" s="620"/>
      <c r="D127" s="620"/>
      <c r="E127" s="620"/>
      <c r="F127" s="620"/>
      <c r="G127" s="502">
        <v>427248.58</v>
      </c>
      <c r="H127" s="501">
        <v>522519.18</v>
      </c>
      <c r="I127" s="501">
        <v>35838.65</v>
      </c>
      <c r="J127" s="501">
        <v>5020.46</v>
      </c>
      <c r="K127" s="501">
        <v>2083.5699999999997</v>
      </c>
      <c r="L127" s="501">
        <v>21016.73</v>
      </c>
      <c r="M127" s="501">
        <v>0</v>
      </c>
      <c r="N127" s="501">
        <v>30000</v>
      </c>
      <c r="O127" s="501">
        <v>5198427.45</v>
      </c>
      <c r="P127" s="501">
        <v>5198427.45</v>
      </c>
      <c r="Q127" s="501">
        <v>5198427.45</v>
      </c>
      <c r="R127" s="501">
        <v>5198427.18</v>
      </c>
      <c r="S127" s="92">
        <f>+SUM(G127:R127)</f>
        <v>21837436.699999999</v>
      </c>
      <c r="T127" s="444">
        <f t="shared" si="48"/>
        <v>0.29997715153096971</v>
      </c>
      <c r="U127" s="292"/>
      <c r="V127" s="488"/>
    </row>
    <row r="128" spans="1:22" ht="13.5" thickBot="1">
      <c r="A128" s="105" t="str">
        <f t="shared" si="57"/>
        <v>1005p</v>
      </c>
      <c r="B128" s="619" t="str">
        <f>+VLOOKUP(LEFT($A128,LEN(A128)-1)*1,Master!$D$30:$G$229,4,FALSE)</f>
        <v>Neto povećanje obaveza</v>
      </c>
      <c r="C128" s="620"/>
      <c r="D128" s="620"/>
      <c r="E128" s="620"/>
      <c r="F128" s="620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21" t="str">
        <f>+VLOOKUP(LEFT($A129,LEN(A129)-1)*1,Master!$D$30:$G$226,4,FALSE)</f>
        <v>Suficit / deficit</v>
      </c>
      <c r="C129" s="622"/>
      <c r="D129" s="622"/>
      <c r="E129" s="622"/>
      <c r="F129" s="622"/>
      <c r="G129" s="504">
        <f t="shared" ref="G129:L129" si="58">+G86-G105</f>
        <v>-32889842.070000023</v>
      </c>
      <c r="H129" s="505">
        <f t="shared" si="58"/>
        <v>-28785879.179999977</v>
      </c>
      <c r="I129" s="504">
        <f t="shared" si="58"/>
        <v>21157166.700000018</v>
      </c>
      <c r="J129" s="504">
        <f t="shared" si="58"/>
        <v>71650295.599999964</v>
      </c>
      <c r="K129" s="504">
        <f t="shared" si="58"/>
        <v>-36099311.860000044</v>
      </c>
      <c r="L129" s="504">
        <f t="shared" si="58"/>
        <v>-3144476.0899999738</v>
      </c>
      <c r="M129" s="504">
        <f t="shared" ref="M129:R129" si="59">+M86-M105</f>
        <v>19765077.549999982</v>
      </c>
      <c r="N129" s="504">
        <f t="shared" si="59"/>
        <v>58763848.440000087</v>
      </c>
      <c r="O129" s="504">
        <f t="shared" si="59"/>
        <v>-101975446.33239847</v>
      </c>
      <c r="P129" s="504">
        <f t="shared" si="59"/>
        <v>-73787687.733982325</v>
      </c>
      <c r="Q129" s="504">
        <f t="shared" si="59"/>
        <v>-103114950.01935866</v>
      </c>
      <c r="R129" s="504">
        <f t="shared" si="59"/>
        <v>-27008273.183884382</v>
      </c>
      <c r="S129" s="550">
        <f t="shared" si="47"/>
        <v>-235469478.17962381</v>
      </c>
      <c r="T129" s="531">
        <f t="shared" si="48"/>
        <v>-3.2346041482426999</v>
      </c>
      <c r="U129" s="292"/>
      <c r="V129" s="292"/>
    </row>
    <row r="130" spans="1:22" ht="13.5" thickBot="1">
      <c r="A130" s="106" t="str">
        <f t="shared" si="57"/>
        <v>1001p</v>
      </c>
      <c r="B130" s="623" t="str">
        <f>+VLOOKUP(LEFT($A130,LEN(A130)-1)*1,Master!$D$30:$G$226,4,FALSE)</f>
        <v>Primarni suficit/deficit</v>
      </c>
      <c r="C130" s="624"/>
      <c r="D130" s="624"/>
      <c r="E130" s="624"/>
      <c r="F130" s="624"/>
      <c r="G130" s="506">
        <f>+G129+G112</f>
        <v>-28385892.810000021</v>
      </c>
      <c r="H130" s="506">
        <f t="shared" ref="H130:L130" si="60">+H129+H112</f>
        <v>-25029586.909999978</v>
      </c>
      <c r="I130" s="506">
        <f t="shared" si="60"/>
        <v>28249269.900000017</v>
      </c>
      <c r="J130" s="506">
        <f t="shared" si="60"/>
        <v>95495007.239999965</v>
      </c>
      <c r="K130" s="506">
        <f t="shared" si="60"/>
        <v>-20043719.980000041</v>
      </c>
      <c r="L130" s="506">
        <f t="shared" si="60"/>
        <v>2234255.5200000275</v>
      </c>
      <c r="M130" s="506">
        <f t="shared" ref="M130:R130" si="61">+M129+M112</f>
        <v>23539453.469999984</v>
      </c>
      <c r="N130" s="506">
        <f t="shared" si="61"/>
        <v>63165217.430000089</v>
      </c>
      <c r="O130" s="506">
        <f t="shared" si="61"/>
        <v>-76184015.492398471</v>
      </c>
      <c r="P130" s="506">
        <f t="shared" si="61"/>
        <v>-56132200.983982325</v>
      </c>
      <c r="Q130" s="506">
        <f t="shared" si="61"/>
        <v>-85459463.269358665</v>
      </c>
      <c r="R130" s="506">
        <f t="shared" si="61"/>
        <v>-9352786.4738843814</v>
      </c>
      <c r="S130" s="550">
        <f t="shared" si="47"/>
        <v>-87904462.35962379</v>
      </c>
      <c r="T130" s="531">
        <f t="shared" si="48"/>
        <v>-1.207528639361839</v>
      </c>
      <c r="U130" s="292"/>
      <c r="V130" s="292"/>
    </row>
    <row r="131" spans="1:22">
      <c r="A131" s="106" t="str">
        <f t="shared" si="57"/>
        <v>46p</v>
      </c>
      <c r="B131" s="625" t="str">
        <f>+VLOOKUP(LEFT($A131,LEN(A131)-1)*1,Master!$D$30:$G$226,4,FALSE)</f>
        <v>Otplata dugova</v>
      </c>
      <c r="C131" s="626"/>
      <c r="D131" s="626"/>
      <c r="E131" s="626"/>
      <c r="F131" s="626"/>
      <c r="G131" s="507">
        <f>+SUM(G132:G133)</f>
        <v>34814310.539999999</v>
      </c>
      <c r="H131" s="507">
        <f t="shared" ref="H131:L131" si="62">+SUM(H132:H133)</f>
        <v>6742175.8300000001</v>
      </c>
      <c r="I131" s="507">
        <f t="shared" si="62"/>
        <v>59755086.909999996</v>
      </c>
      <c r="J131" s="507">
        <f t="shared" si="62"/>
        <v>101926654.03</v>
      </c>
      <c r="K131" s="507">
        <f t="shared" si="62"/>
        <v>54360722.859999999</v>
      </c>
      <c r="L131" s="507">
        <f t="shared" si="62"/>
        <v>43636763.079999998</v>
      </c>
      <c r="M131" s="508">
        <f t="shared" ref="M131" si="63">+SUM(M132:M133)</f>
        <v>42476800.75</v>
      </c>
      <c r="N131" s="507">
        <f t="shared" ref="N131:R131" si="64">+SUM(N132:N133)</f>
        <v>7860172.6500000004</v>
      </c>
      <c r="O131" s="507">
        <f t="shared" si="64"/>
        <v>39327175.670000002</v>
      </c>
      <c r="P131" s="507">
        <f t="shared" si="64"/>
        <v>37862418.009999998</v>
      </c>
      <c r="Q131" s="507">
        <f t="shared" si="64"/>
        <v>37862418.009999998</v>
      </c>
      <c r="R131" s="507">
        <f t="shared" si="64"/>
        <v>37862417.960000001</v>
      </c>
      <c r="S131" s="551">
        <f t="shared" si="47"/>
        <v>504487116.29999995</v>
      </c>
      <c r="T131" s="533">
        <f t="shared" si="48"/>
        <v>6.930053660178304</v>
      </c>
      <c r="U131" s="292"/>
      <c r="V131" s="292"/>
    </row>
    <row r="132" spans="1:22">
      <c r="A132" s="106" t="str">
        <f t="shared" si="57"/>
        <v>4611p</v>
      </c>
      <c r="B132" s="617" t="str">
        <f>+VLOOKUP(LEFT($A132,LEN(A132)-1)*1,Master!$D$30:$G$226,4,FALSE)</f>
        <v>Otplata hartija od vrijednosti i kredita rezidentima</v>
      </c>
      <c r="C132" s="618"/>
      <c r="D132" s="618"/>
      <c r="E132" s="618"/>
      <c r="F132" s="618"/>
      <c r="G132" s="502">
        <v>2501123.7999999998</v>
      </c>
      <c r="H132" s="502">
        <v>2949295.9899999998</v>
      </c>
      <c r="I132" s="502">
        <v>23477657.120000001</v>
      </c>
      <c r="J132" s="502">
        <v>95643965.920000002</v>
      </c>
      <c r="K132" s="502">
        <v>9857492.6099999994</v>
      </c>
      <c r="L132" s="502">
        <v>28020972.040000003</v>
      </c>
      <c r="M132" s="503">
        <v>2591776.0299999998</v>
      </c>
      <c r="N132" s="503">
        <v>3040506.12</v>
      </c>
      <c r="O132" s="503">
        <v>12819649.92</v>
      </c>
      <c r="P132" s="503">
        <v>11354892.26</v>
      </c>
      <c r="Q132" s="503">
        <v>11354892.26</v>
      </c>
      <c r="R132" s="503">
        <v>11354892.23</v>
      </c>
      <c r="S132" s="92">
        <f t="shared" si="47"/>
        <v>214967116.29999995</v>
      </c>
      <c r="T132" s="444">
        <f t="shared" si="48"/>
        <v>2.9529666923087485</v>
      </c>
      <c r="U132" s="292"/>
      <c r="V132" s="292"/>
    </row>
    <row r="133" spans="1:22" ht="13.5" thickBot="1">
      <c r="A133" s="106" t="str">
        <f t="shared" si="57"/>
        <v>4612p</v>
      </c>
      <c r="B133" s="619" t="str">
        <f>+VLOOKUP(LEFT($A133,LEN(A133)-1)*1,Master!$D$30:$G$226,4,FALSE)</f>
        <v>Otplata hartija od vrijednosti i kredita nerezidentima</v>
      </c>
      <c r="C133" s="620"/>
      <c r="D133" s="620"/>
      <c r="E133" s="620"/>
      <c r="F133" s="620"/>
      <c r="G133" s="502">
        <v>32313186.739999998</v>
      </c>
      <c r="H133" s="502">
        <v>3792879.84</v>
      </c>
      <c r="I133" s="502">
        <v>36277429.789999999</v>
      </c>
      <c r="J133" s="502">
        <v>6282688.1099999994</v>
      </c>
      <c r="K133" s="502">
        <v>44503230.25</v>
      </c>
      <c r="L133" s="502">
        <v>15615791.039999999</v>
      </c>
      <c r="M133" s="503">
        <v>39885024.719999999</v>
      </c>
      <c r="N133" s="503">
        <v>4819666.53</v>
      </c>
      <c r="O133" s="503">
        <v>26507525.75</v>
      </c>
      <c r="P133" s="503">
        <v>26507525.75</v>
      </c>
      <c r="Q133" s="503">
        <v>26507525.75</v>
      </c>
      <c r="R133" s="503">
        <v>26507525.73</v>
      </c>
      <c r="S133" s="92">
        <f t="shared" si="47"/>
        <v>289520000</v>
      </c>
      <c r="T133" s="444">
        <f t="shared" si="48"/>
        <v>3.9770869678695551</v>
      </c>
      <c r="U133" s="292"/>
      <c r="V133" s="292"/>
    </row>
    <row r="134" spans="1:22" ht="13.5" thickBot="1">
      <c r="A134" s="106" t="str">
        <f t="shared" si="57"/>
        <v>4418p</v>
      </c>
      <c r="B134" s="613" t="str">
        <f>+VLOOKUP(LEFT($A134,LEN(A134)-1)*1,Master!$D$30:$G$226,4,FALSE)</f>
        <v>Izdaci za kupovinu hartija od vrijednosti</v>
      </c>
      <c r="C134" s="614"/>
      <c r="D134" s="614"/>
      <c r="E134" s="614"/>
      <c r="F134" s="614"/>
      <c r="G134" s="504">
        <v>0.08</v>
      </c>
      <c r="H134" s="504">
        <v>0.08</v>
      </c>
      <c r="I134" s="504">
        <v>1560695.5</v>
      </c>
      <c r="J134" s="504">
        <v>0</v>
      </c>
      <c r="K134" s="504">
        <v>1500000</v>
      </c>
      <c r="L134" s="504">
        <v>0</v>
      </c>
      <c r="M134" s="504">
        <v>360695.5</v>
      </c>
      <c r="N134" s="504">
        <v>0</v>
      </c>
      <c r="O134" s="504">
        <v>89402.709999999992</v>
      </c>
      <c r="P134" s="504">
        <v>89402.709999999992</v>
      </c>
      <c r="Q134" s="504">
        <v>89402.709999999992</v>
      </c>
      <c r="R134" s="504">
        <v>89402.709999999992</v>
      </c>
      <c r="S134" s="550">
        <f t="shared" si="47"/>
        <v>3779002</v>
      </c>
      <c r="T134" s="531">
        <f t="shared" si="48"/>
        <v>5.1911507342335537E-2</v>
      </c>
      <c r="U134" s="292"/>
      <c r="V134" s="292"/>
    </row>
    <row r="135" spans="1:22" ht="13.5" thickBot="1">
      <c r="A135" s="106" t="s">
        <v>856</v>
      </c>
      <c r="B135" s="613" t="s">
        <v>113</v>
      </c>
      <c r="C135" s="614"/>
      <c r="D135" s="614"/>
      <c r="E135" s="614"/>
      <c r="F135" s="614"/>
      <c r="G135" s="500">
        <v>0.08</v>
      </c>
      <c r="H135" s="500">
        <v>1111649.74</v>
      </c>
      <c r="I135" s="500">
        <v>0</v>
      </c>
      <c r="J135" s="500">
        <v>952060.38</v>
      </c>
      <c r="K135" s="500">
        <v>524490.6</v>
      </c>
      <c r="L135" s="500">
        <v>453252.32</v>
      </c>
      <c r="M135" s="500">
        <v>0</v>
      </c>
      <c r="N135" s="500">
        <v>0</v>
      </c>
      <c r="O135" s="500">
        <v>476013.97</v>
      </c>
      <c r="P135" s="500">
        <v>476013.97</v>
      </c>
      <c r="Q135" s="500">
        <v>476013.97</v>
      </c>
      <c r="R135" s="500">
        <v>476013.97</v>
      </c>
      <c r="S135" s="550">
        <f t="shared" si="47"/>
        <v>4945508.9999999991</v>
      </c>
      <c r="T135" s="531">
        <f t="shared" si="48"/>
        <v>6.7935615478659825E-2</v>
      </c>
      <c r="U135" s="292"/>
      <c r="V135" s="292"/>
    </row>
    <row r="136" spans="1:22" ht="13.5" thickBot="1">
      <c r="A136" s="106" t="str">
        <f>+CONCATENATE(A60,"p")</f>
        <v>1002p</v>
      </c>
      <c r="B136" s="615" t="str">
        <f>+VLOOKUP(LEFT($A136,LEN(A136)-1)*1,Master!$D$30:$G$226,4,FALSE)</f>
        <v>Nedostajuća sredstva</v>
      </c>
      <c r="C136" s="616"/>
      <c r="D136" s="616"/>
      <c r="E136" s="616"/>
      <c r="F136" s="616"/>
      <c r="G136" s="509">
        <f>+G129-G131-G134-G135</f>
        <v>-67704152.770000011</v>
      </c>
      <c r="H136" s="509">
        <f t="shared" ref="H136:R136" si="65">+H129-H131-H134-H135</f>
        <v>-36639704.829999976</v>
      </c>
      <c r="I136" s="509">
        <f t="shared" si="65"/>
        <v>-40158615.709999979</v>
      </c>
      <c r="J136" s="509">
        <f t="shared" si="65"/>
        <v>-31228418.810000036</v>
      </c>
      <c r="K136" s="509">
        <f t="shared" si="65"/>
        <v>-92484525.320000038</v>
      </c>
      <c r="L136" s="509">
        <f t="shared" si="65"/>
        <v>-47234491.489999972</v>
      </c>
      <c r="M136" s="509">
        <f t="shared" si="65"/>
        <v>-23072418.700000018</v>
      </c>
      <c r="N136" s="509">
        <f t="shared" si="65"/>
        <v>50903675.790000089</v>
      </c>
      <c r="O136" s="509">
        <f t="shared" si="65"/>
        <v>-141868038.6823985</v>
      </c>
      <c r="P136" s="509">
        <f t="shared" si="65"/>
        <v>-112215522.42398231</v>
      </c>
      <c r="Q136" s="509">
        <f t="shared" si="65"/>
        <v>-141542784.70935866</v>
      </c>
      <c r="R136" s="509">
        <f t="shared" si="65"/>
        <v>-65436107.823884383</v>
      </c>
      <c r="S136" s="552">
        <f t="shared" si="47"/>
        <v>-748681105.47962379</v>
      </c>
      <c r="T136" s="535">
        <f t="shared" si="48"/>
        <v>-10.284504931241999</v>
      </c>
      <c r="U136" s="292"/>
      <c r="V136" s="292"/>
    </row>
    <row r="137" spans="1:22" ht="13.5" thickBot="1">
      <c r="A137" s="106" t="str">
        <f>+CONCATENATE(A61,"p")</f>
        <v>1003p</v>
      </c>
      <c r="B137" s="613" t="str">
        <f>+VLOOKUP(LEFT($A137,LEN(A137)-1)*1,Master!$D$30:$G$226,4,FALSE)</f>
        <v>Finansiranje</v>
      </c>
      <c r="C137" s="614"/>
      <c r="D137" s="614"/>
      <c r="E137" s="614"/>
      <c r="F137" s="614"/>
      <c r="G137" s="504">
        <f t="shared" ref="G137:L137" si="66">+SUM(G138:G142)</f>
        <v>67704152.770000011</v>
      </c>
      <c r="H137" s="504">
        <f t="shared" si="66"/>
        <v>36639704.829999976</v>
      </c>
      <c r="I137" s="504">
        <f t="shared" si="66"/>
        <v>40158615.709999919</v>
      </c>
      <c r="J137" s="504">
        <f t="shared" si="66"/>
        <v>31228418.810000036</v>
      </c>
      <c r="K137" s="504">
        <f t="shared" si="66"/>
        <v>92484525.320000038</v>
      </c>
      <c r="L137" s="504">
        <f t="shared" si="66"/>
        <v>47234491.489999972</v>
      </c>
      <c r="M137" s="504">
        <f t="shared" ref="M137:R137" si="67">+SUM(M138:M142)</f>
        <v>23072418.700000018</v>
      </c>
      <c r="N137" s="504">
        <f t="shared" si="67"/>
        <v>-50903675.790000089</v>
      </c>
      <c r="O137" s="504">
        <f t="shared" si="67"/>
        <v>141868038.6823985</v>
      </c>
      <c r="P137" s="504">
        <f t="shared" si="67"/>
        <v>112215522.42398231</v>
      </c>
      <c r="Q137" s="504">
        <f t="shared" si="67"/>
        <v>141542784.70935866</v>
      </c>
      <c r="R137" s="504">
        <f t="shared" si="67"/>
        <v>65436107.823884383</v>
      </c>
      <c r="S137" s="553">
        <f t="shared" si="47"/>
        <v>748681105.47962379</v>
      </c>
      <c r="T137" s="537">
        <f t="shared" si="48"/>
        <v>10.284504931241999</v>
      </c>
      <c r="U137" s="292"/>
      <c r="V137" s="292"/>
    </row>
    <row r="138" spans="1:22">
      <c r="A138" s="106" t="str">
        <f>+CONCATENATE(A62,"p")</f>
        <v>7511p</v>
      </c>
      <c r="B138" s="617" t="str">
        <f>+VLOOKUP(LEFT($A138,LEN(A138)-1)*1,Master!$D$30:$G$226,4,FALSE)</f>
        <v>Pozajmice i krediti od domaćih izvora</v>
      </c>
      <c r="C138" s="618"/>
      <c r="D138" s="618"/>
      <c r="E138" s="618"/>
      <c r="F138" s="618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19" t="str">
        <f>+VLOOKUP(LEFT($A139,LEN(A139)-1)*1,Master!$D$30:$G$226,4,FALSE)</f>
        <v>Pozajmice i krediti od inostranih izvora</v>
      </c>
      <c r="C139" s="620"/>
      <c r="D139" s="620"/>
      <c r="E139" s="620"/>
      <c r="F139" s="620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11.909831449098176</v>
      </c>
      <c r="U139" s="292"/>
      <c r="V139" s="292"/>
    </row>
    <row r="140" spans="1:22">
      <c r="A140" s="106" t="str">
        <f>+CONCATENATE(A64,"p")</f>
        <v>72p</v>
      </c>
      <c r="B140" s="619" t="str">
        <f>+VLOOKUP(LEFT($A140,LEN(A140)-1)*1,Master!$D$30:$G$226,4,FALSE)</f>
        <v>Primici od prodaje imovine</v>
      </c>
      <c r="C140" s="620"/>
      <c r="D140" s="620"/>
      <c r="E140" s="620"/>
      <c r="F140" s="620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8.242097888649258E-2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0.13390529829525941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67122630.433485299</v>
      </c>
      <c r="H142" s="86">
        <f t="shared" ref="H142:R142" si="69">-H136-SUM(H138:H141)</f>
        <v>35693731.716884263</v>
      </c>
      <c r="I142" s="86">
        <f t="shared" si="69"/>
        <v>-647644531.79930115</v>
      </c>
      <c r="J142" s="86">
        <f t="shared" si="69"/>
        <v>30316747.518080346</v>
      </c>
      <c r="K142" s="86">
        <f t="shared" si="69"/>
        <v>91031306.509822994</v>
      </c>
      <c r="L142" s="86">
        <f t="shared" si="69"/>
        <v>45203560.89730411</v>
      </c>
      <c r="M142" s="86">
        <f t="shared" si="69"/>
        <v>-157586301.16425741</v>
      </c>
      <c r="N142" s="86">
        <f t="shared" si="69"/>
        <v>-52931128.755128346</v>
      </c>
      <c r="O142" s="86">
        <f t="shared" si="69"/>
        <v>141151601.87268847</v>
      </c>
      <c r="P142" s="86">
        <f t="shared" si="69"/>
        <v>111452335.73422238</v>
      </c>
      <c r="Q142" s="86">
        <f t="shared" si="69"/>
        <v>139339192.23364243</v>
      </c>
      <c r="R142" s="86">
        <f t="shared" si="69"/>
        <v>62784056.282180309</v>
      </c>
      <c r="S142" s="94">
        <f>+SUM(G142:R142)</f>
        <v>-134066798.52037635</v>
      </c>
      <c r="T142" s="448">
        <f t="shared" si="48"/>
        <v>-1.8416527950379322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xVoRC4OxrAwwYpmgqr27A8v7hQuYE1A7BV2mCIf3Y3jt2tKaMkeJulrYsYywitGULiVXs4SdoN3nVndY7IbZRA==" saltValue="nl9DfqsRrbXe1MIP/nZAAQ==" spinCount="100000" sheet="1" objects="1" scenarios="1"/>
  <mergeCells count="117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50"/>
  <sheetViews>
    <sheetView topLeftCell="F1" zoomScale="90" zoomScaleNormal="90" workbookViewId="0">
      <pane ySplit="1" topLeftCell="A2" activePane="bottomLeft" state="frozen"/>
      <selection pane="bottomLeft" activeCell="T7" sqref="T7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93" t="str">
        <f>+Master!G252</f>
        <v>Ostvarenje budžeta</v>
      </c>
      <c r="C7" s="594"/>
      <c r="D7" s="594"/>
      <c r="E7" s="594"/>
      <c r="F7" s="594"/>
      <c r="G7" s="602">
        <v>2023</v>
      </c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6"/>
      <c r="S7" s="220" t="str">
        <f>+Master!G249</f>
        <v>BDP</v>
      </c>
      <c r="T7" s="221">
        <v>6963615000</v>
      </c>
    </row>
    <row r="8" spans="1:24" ht="16.5" customHeight="1">
      <c r="A8" s="129"/>
      <c r="B8" s="595"/>
      <c r="C8" s="596"/>
      <c r="D8" s="596"/>
      <c r="E8" s="596"/>
      <c r="F8" s="597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2" t="str">
        <f>+Master!G247</f>
        <v>Jan - Dec</v>
      </c>
      <c r="T8" s="606"/>
    </row>
    <row r="9" spans="1:24" ht="13.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73" t="str">
        <f>+VLOOKUP($A10,Master!$D$30:$G$226,4,FALSE)</f>
        <v>Prihodi budžeta</v>
      </c>
      <c r="C10" s="574"/>
      <c r="D10" s="574"/>
      <c r="E10" s="574"/>
      <c r="F10" s="574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36.85525851084531</v>
      </c>
      <c r="V10" s="493"/>
    </row>
    <row r="11" spans="1:24">
      <c r="A11" s="135">
        <v>711</v>
      </c>
      <c r="B11" s="563" t="str">
        <f>+VLOOKUP($A11,Master!$D$30:$G$226,4,FALSE)</f>
        <v>Porezi</v>
      </c>
      <c r="C11" s="564"/>
      <c r="D11" s="564"/>
      <c r="E11" s="564"/>
      <c r="F11" s="564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23.924592033448143</v>
      </c>
      <c r="V11" s="276"/>
    </row>
    <row r="12" spans="1:24">
      <c r="A12" s="135">
        <v>7111</v>
      </c>
      <c r="B12" s="565" t="str">
        <f>+VLOOKUP($A12,Master!$D$30:$G$226,4,FALSE)</f>
        <v>Porez na dohodak fizičkih lica</v>
      </c>
      <c r="C12" s="566"/>
      <c r="D12" s="566"/>
      <c r="E12" s="566"/>
      <c r="F12" s="566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0.95369418039337317</v>
      </c>
    </row>
    <row r="13" spans="1:24">
      <c r="A13" s="135">
        <v>7112</v>
      </c>
      <c r="B13" s="565" t="str">
        <f>+VLOOKUP($A13,Master!$D$30:$G$226,4,FALSE)</f>
        <v>Porez na dobit pravnih lica</v>
      </c>
      <c r="C13" s="566"/>
      <c r="D13" s="566"/>
      <c r="E13" s="566"/>
      <c r="F13" s="566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2.1724991469229704</v>
      </c>
      <c r="V13" s="276"/>
      <c r="W13" s="276"/>
      <c r="X13" s="494"/>
    </row>
    <row r="14" spans="1:24">
      <c r="A14" s="135">
        <v>7113</v>
      </c>
      <c r="B14" s="565" t="str">
        <f>+VLOOKUP($A14,Master!$D$30:$G$226,4,FALSE)</f>
        <v>Porez na promet nepokretnosti</v>
      </c>
      <c r="C14" s="566"/>
      <c r="D14" s="566"/>
      <c r="E14" s="566"/>
      <c r="F14" s="566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65" t="str">
        <f>+VLOOKUP($A15,Master!$D$30:$G$226,4,FALSE)</f>
        <v>Porez na dodatu vrijednost</v>
      </c>
      <c r="C15" s="566"/>
      <c r="D15" s="566"/>
      <c r="E15" s="566"/>
      <c r="F15" s="566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15.211453784708088</v>
      </c>
      <c r="V15" s="276"/>
      <c r="W15" s="276"/>
      <c r="X15" s="494"/>
    </row>
    <row r="16" spans="1:24">
      <c r="A16" s="135">
        <v>7115</v>
      </c>
      <c r="B16" s="565" t="str">
        <f>+VLOOKUP($A16,Master!$D$30:$G$226,4,FALSE)</f>
        <v>Akcize</v>
      </c>
      <c r="C16" s="566"/>
      <c r="D16" s="566"/>
      <c r="E16" s="566"/>
      <c r="F16" s="566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4.6401422962067835</v>
      </c>
      <c r="V16" s="276"/>
      <c r="W16" s="276"/>
      <c r="X16" s="494"/>
    </row>
    <row r="17" spans="1:24">
      <c r="A17" s="135">
        <v>7116</v>
      </c>
      <c r="B17" s="565" t="str">
        <f>+VLOOKUP($A17,Master!$D$30:$G$226,4,FALSE)</f>
        <v>Porez na međunarodnu trgovinu i transakcije</v>
      </c>
      <c r="C17" s="566"/>
      <c r="D17" s="566"/>
      <c r="E17" s="566"/>
      <c r="F17" s="566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0.74948587350104801</v>
      </c>
      <c r="V17" s="276"/>
      <c r="W17" s="276"/>
      <c r="X17" s="494"/>
    </row>
    <row r="18" spans="1:24">
      <c r="A18" s="135">
        <v>7118</v>
      </c>
      <c r="B18" s="565" t="str">
        <f>+VLOOKUP($A18,Master!$D$30:$G$226,4,FALSE)</f>
        <v>Ostali državni porezi</v>
      </c>
      <c r="C18" s="566"/>
      <c r="D18" s="566"/>
      <c r="E18" s="566"/>
      <c r="F18" s="566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0.19731675171588323</v>
      </c>
      <c r="V18" s="276"/>
      <c r="W18" s="276"/>
      <c r="X18" s="494"/>
    </row>
    <row r="19" spans="1:24">
      <c r="A19" s="135">
        <v>712</v>
      </c>
      <c r="B19" s="567" t="str">
        <f>+VLOOKUP($A19,Master!$D$30:$G$226,4,FALSE)</f>
        <v>Doprinosi</v>
      </c>
      <c r="C19" s="568"/>
      <c r="D19" s="568"/>
      <c r="E19" s="568"/>
      <c r="F19" s="568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8.2676970258981868</v>
      </c>
      <c r="V19" s="276"/>
      <c r="W19" s="276"/>
      <c r="X19" s="494"/>
    </row>
    <row r="20" spans="1:24">
      <c r="A20" s="135">
        <v>7121</v>
      </c>
      <c r="B20" s="565" t="str">
        <f>+VLOOKUP($A20,Master!$D$30:$G$226,4,FALSE)</f>
        <v>Doprinosi za penzijsko i invalidsko osiguranje</v>
      </c>
      <c r="C20" s="566"/>
      <c r="D20" s="566"/>
      <c r="E20" s="566"/>
      <c r="F20" s="566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7.5609040185306053</v>
      </c>
      <c r="V20" s="276"/>
      <c r="W20" s="276"/>
      <c r="X20" s="494"/>
    </row>
    <row r="21" spans="1:24">
      <c r="A21" s="135">
        <v>7122</v>
      </c>
      <c r="B21" s="565" t="str">
        <f>+VLOOKUP($A21,Master!$D$30:$G$226,4,FALSE)</f>
        <v>Doprinosi za zdravstveno osiguranje</v>
      </c>
      <c r="C21" s="566"/>
      <c r="D21" s="566"/>
      <c r="E21" s="566"/>
      <c r="F21" s="566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0.10096110770052623</v>
      </c>
      <c r="V21" s="276"/>
      <c r="W21" s="276"/>
      <c r="X21" s="494"/>
    </row>
    <row r="22" spans="1:24">
      <c r="A22" s="135">
        <v>7123</v>
      </c>
      <c r="B22" s="565" t="str">
        <f>+VLOOKUP($A22,Master!$D$30:$G$226,4,FALSE)</f>
        <v>Doprinosi za osiguranje od nezaposlenosti</v>
      </c>
      <c r="C22" s="566"/>
      <c r="D22" s="566"/>
      <c r="E22" s="566"/>
      <c r="F22" s="566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0.3478102550184064</v>
      </c>
    </row>
    <row r="23" spans="1:24">
      <c r="A23" s="135">
        <v>7124</v>
      </c>
      <c r="B23" s="565" t="str">
        <f>+VLOOKUP($A23,Master!$D$30:$G$226,4,FALSE)</f>
        <v>Ostali doprinosi</v>
      </c>
      <c r="C23" s="566"/>
      <c r="D23" s="566"/>
      <c r="E23" s="566"/>
      <c r="F23" s="566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0.25802164464864874</v>
      </c>
      <c r="V23" s="495"/>
      <c r="W23" s="495"/>
      <c r="X23" s="494"/>
    </row>
    <row r="24" spans="1:24">
      <c r="A24" s="135">
        <v>713</v>
      </c>
      <c r="B24" s="567" t="str">
        <f>+VLOOKUP($A24,Master!$D$30:$G$226,4,FALSE)</f>
        <v>Takse</v>
      </c>
      <c r="C24" s="568"/>
      <c r="D24" s="568"/>
      <c r="E24" s="568"/>
      <c r="F24" s="568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0.23001204202127776</v>
      </c>
    </row>
    <row r="25" spans="1:24">
      <c r="A25" s="135">
        <v>714</v>
      </c>
      <c r="B25" s="567" t="str">
        <f>+VLOOKUP($A25,Master!$D$30:$G$226,4,FALSE)</f>
        <v>Naknade</v>
      </c>
      <c r="C25" s="568"/>
      <c r="D25" s="568"/>
      <c r="E25" s="568"/>
      <c r="F25" s="568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0.80012444283608442</v>
      </c>
    </row>
    <row r="26" spans="1:24">
      <c r="A26" s="135">
        <v>715</v>
      </c>
      <c r="B26" s="567" t="str">
        <f>+VLOOKUP($A26,Master!$D$30:$G$226,4,FALSE)</f>
        <v>Ostali prihodi</v>
      </c>
      <c r="C26" s="568"/>
      <c r="D26" s="568"/>
      <c r="E26" s="568"/>
      <c r="F26" s="568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2.609454336002206</v>
      </c>
    </row>
    <row r="27" spans="1:24">
      <c r="A27" s="135">
        <v>73</v>
      </c>
      <c r="B27" s="567" t="str">
        <f>+VLOOKUP($A27,Master!$D$30:$G$226,4,FALSE)</f>
        <v>Primici od otplate kredita i sredstva prenesena iz prethodne godine</v>
      </c>
      <c r="C27" s="568"/>
      <c r="D27" s="568"/>
      <c r="E27" s="568"/>
      <c r="F27" s="568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571" t="str">
        <f>+VLOOKUP($A28,Master!$D$30:$G$226,4,FALSE)</f>
        <v>Donacije i transferi</v>
      </c>
      <c r="C28" s="572"/>
      <c r="D28" s="572"/>
      <c r="E28" s="572"/>
      <c r="F28" s="572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1.0233786306394024</v>
      </c>
    </row>
    <row r="29" spans="1:24" ht="13.5" thickBot="1">
      <c r="A29" s="135">
        <v>4</v>
      </c>
      <c r="B29" s="573" t="str">
        <f>+VLOOKUP($A29,Master!$D$30:$G$226,4,FALSE)</f>
        <v>Izdaci budžeta</v>
      </c>
      <c r="C29" s="574"/>
      <c r="D29" s="574"/>
      <c r="E29" s="574"/>
      <c r="F29" s="574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36.698223822396841</v>
      </c>
    </row>
    <row r="30" spans="1:24">
      <c r="A30" s="135">
        <v>41</v>
      </c>
      <c r="B30" s="577" t="str">
        <f>+VLOOKUP($A30,Master!$D$30:$G$226,4,FALSE)</f>
        <v>Tekući izdaci</v>
      </c>
      <c r="C30" s="578"/>
      <c r="D30" s="578"/>
      <c r="E30" s="578"/>
      <c r="F30" s="578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15.411234338630148</v>
      </c>
      <c r="U30" s="472"/>
    </row>
    <row r="31" spans="1:24">
      <c r="A31" s="135">
        <v>411</v>
      </c>
      <c r="B31" s="565" t="str">
        <f>+VLOOKUP($A31,Master!$D$30:$G$226,4,FALSE)</f>
        <v>Bruto zarade i doprinosi na teret poslodavca</v>
      </c>
      <c r="C31" s="566"/>
      <c r="D31" s="566"/>
      <c r="E31" s="566"/>
      <c r="F31" s="566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9.2357021292819912</v>
      </c>
      <c r="U31" s="472"/>
    </row>
    <row r="32" spans="1:24">
      <c r="A32" s="135">
        <v>412</v>
      </c>
      <c r="B32" s="565" t="str">
        <f>+VLOOKUP($A32,Master!$D$30:$G$226,4,FALSE)</f>
        <v>Ostala lična primanja</v>
      </c>
      <c r="C32" s="566"/>
      <c r="D32" s="566"/>
      <c r="E32" s="566"/>
      <c r="F32" s="566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0.26449135729071754</v>
      </c>
      <c r="U32" s="472"/>
      <c r="V32" s="275"/>
    </row>
    <row r="33" spans="1:24">
      <c r="A33" s="135">
        <v>413</v>
      </c>
      <c r="B33" s="565" t="str">
        <f>+VLOOKUP($A33,Master!$D$30:$G$226,4,FALSE)</f>
        <v>Rashodi za materijal</v>
      </c>
      <c r="C33" s="566"/>
      <c r="D33" s="566"/>
      <c r="E33" s="566"/>
      <c r="F33" s="566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0.65680820636982373</v>
      </c>
      <c r="U33" s="472"/>
    </row>
    <row r="34" spans="1:24" s="334" customFormat="1">
      <c r="A34" s="333">
        <v>414</v>
      </c>
      <c r="B34" s="660" t="str">
        <f>+VLOOKUP($A34,Master!$D$30:$G$226,4,FALSE)</f>
        <v>Rashodi za usluge</v>
      </c>
      <c r="C34" s="661"/>
      <c r="D34" s="661"/>
      <c r="E34" s="661"/>
      <c r="F34" s="661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1.0397733862368899</v>
      </c>
      <c r="U34" s="472"/>
    </row>
    <row r="35" spans="1:24">
      <c r="A35" s="135">
        <v>415</v>
      </c>
      <c r="B35" s="565" t="str">
        <f>+VLOOKUP($A35,Master!$D$30:$G$226,4,FALSE)</f>
        <v>Rashodi za tekuće održavanje</v>
      </c>
      <c r="C35" s="566"/>
      <c r="D35" s="566"/>
      <c r="E35" s="566"/>
      <c r="F35" s="566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0.43318257815804001</v>
      </c>
      <c r="U35" s="472"/>
    </row>
    <row r="36" spans="1:24">
      <c r="A36" s="135">
        <v>416</v>
      </c>
      <c r="B36" s="565" t="str">
        <f>+VLOOKUP($A36,Master!$D$30:$G$226,4,FALSE)</f>
        <v>Kamate</v>
      </c>
      <c r="C36" s="566"/>
      <c r="D36" s="566"/>
      <c r="E36" s="566"/>
      <c r="F36" s="566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1.7884816469606661</v>
      </c>
      <c r="U36" s="472"/>
      <c r="V36" s="275"/>
    </row>
    <row r="37" spans="1:24">
      <c r="A37" s="135">
        <v>417</v>
      </c>
      <c r="B37" s="565" t="str">
        <f>+VLOOKUP($A37,Master!$D$30:$G$226,4,FALSE)</f>
        <v>Renta</v>
      </c>
      <c r="C37" s="566"/>
      <c r="D37" s="566"/>
      <c r="E37" s="566"/>
      <c r="F37" s="566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0.16795518692518183</v>
      </c>
      <c r="U37" s="472"/>
      <c r="V37" s="275"/>
    </row>
    <row r="38" spans="1:24">
      <c r="A38" s="135">
        <v>418</v>
      </c>
      <c r="B38" s="565" t="str">
        <f>+VLOOKUP($A38,Master!$D$30:$G$226,4,FALSE)</f>
        <v>Subvencije</v>
      </c>
      <c r="C38" s="566"/>
      <c r="D38" s="566"/>
      <c r="E38" s="566"/>
      <c r="F38" s="566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1.0681228933535241</v>
      </c>
      <c r="U38" s="472"/>
    </row>
    <row r="39" spans="1:24">
      <c r="A39" s="135">
        <v>419</v>
      </c>
      <c r="B39" s="565" t="str">
        <f>+VLOOKUP($A39,Master!$D$30:$G$226,4,FALSE)</f>
        <v>Ostali izdaci</v>
      </c>
      <c r="C39" s="566"/>
      <c r="D39" s="566"/>
      <c r="E39" s="566"/>
      <c r="F39" s="566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0.7567169540533184</v>
      </c>
      <c r="U39" s="472"/>
      <c r="V39" s="275"/>
    </row>
    <row r="40" spans="1:24">
      <c r="A40" s="135">
        <v>42</v>
      </c>
      <c r="B40" s="581" t="str">
        <f>+VLOOKUP($A40,Master!$D$30:$G$226,4,FALSE)</f>
        <v>Transferi za socijalnu zaštitu</v>
      </c>
      <c r="C40" s="582"/>
      <c r="D40" s="582"/>
      <c r="E40" s="582"/>
      <c r="F40" s="582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11.840940838774113</v>
      </c>
      <c r="U40" s="472"/>
    </row>
    <row r="41" spans="1:24">
      <c r="A41" s="135">
        <v>421</v>
      </c>
      <c r="B41" s="565" t="str">
        <f>+VLOOKUP($A41,Master!$D$30:$G$226,4,FALSE)</f>
        <v>Prava iz oblasti socijalne zaštite</v>
      </c>
      <c r="C41" s="566"/>
      <c r="D41" s="566"/>
      <c r="E41" s="566"/>
      <c r="F41" s="566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3.0140552191641845</v>
      </c>
      <c r="U41" s="472"/>
    </row>
    <row r="42" spans="1:24">
      <c r="A42" s="135">
        <v>422</v>
      </c>
      <c r="B42" s="565" t="str">
        <f>+VLOOKUP($A42,Master!$D$30:$G$226,4,FALSE)</f>
        <v>Sredstva za tehnološke viškove</v>
      </c>
      <c r="C42" s="566"/>
      <c r="D42" s="566"/>
      <c r="E42" s="566"/>
      <c r="F42" s="566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0.3403948928825043</v>
      </c>
      <c r="U42" s="472"/>
      <c r="V42" s="275"/>
    </row>
    <row r="43" spans="1:24">
      <c r="A43" s="135">
        <v>423</v>
      </c>
      <c r="B43" s="565" t="str">
        <f>+VLOOKUP($A43,Master!$D$30:$G$226,4,FALSE)</f>
        <v>Prava iz oblasti penzijskog i invalidskog osiguranja</v>
      </c>
      <c r="C43" s="566"/>
      <c r="D43" s="566"/>
      <c r="E43" s="566"/>
      <c r="F43" s="566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7.9529195440873739</v>
      </c>
      <c r="U43" s="472"/>
    </row>
    <row r="44" spans="1:24">
      <c r="A44" s="135">
        <v>424</v>
      </c>
      <c r="B44" s="565" t="str">
        <f>+VLOOKUP($A44,Master!$D$30:$G$226,4,FALSE)</f>
        <v>Ostala prava iz oblasti zdravstvene zaštite</v>
      </c>
      <c r="C44" s="566"/>
      <c r="D44" s="566"/>
      <c r="E44" s="566"/>
      <c r="F44" s="566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0.29524311022364103</v>
      </c>
      <c r="U44" s="472"/>
    </row>
    <row r="45" spans="1:24" s="334" customFormat="1">
      <c r="A45" s="333">
        <v>425</v>
      </c>
      <c r="B45" s="656" t="str">
        <f>+VLOOKUP($A45,Master!$D$30:$G$226,4,FALSE)</f>
        <v>Ostala prava iz zdravstvenog osiguranja</v>
      </c>
      <c r="C45" s="657"/>
      <c r="D45" s="657"/>
      <c r="E45" s="657"/>
      <c r="F45" s="657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0.23832807241641019</v>
      </c>
      <c r="U45" s="472"/>
    </row>
    <row r="46" spans="1:24">
      <c r="A46" s="135">
        <v>43</v>
      </c>
      <c r="B46" s="579" t="str">
        <f>+VLOOKUP($A46,Master!$D$30:$G$226,4,FALSE)</f>
        <v xml:space="preserve">Transferi institucijama, pojedincima, nevladinom i javnom sektoru </v>
      </c>
      <c r="C46" s="580"/>
      <c r="D46" s="580"/>
      <c r="E46" s="580"/>
      <c r="F46" s="580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5.4669447450785258</v>
      </c>
      <c r="U46" s="472"/>
    </row>
    <row r="47" spans="1:24">
      <c r="A47" s="135">
        <v>44</v>
      </c>
      <c r="B47" s="579" t="str">
        <f>+VLOOKUP($A47,Master!$D$30:$G$226,4,FALSE)</f>
        <v>Kapitalni izdaci</v>
      </c>
      <c r="C47" s="580"/>
      <c r="D47" s="580"/>
      <c r="E47" s="580"/>
      <c r="F47" s="580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3.4269808261944408</v>
      </c>
      <c r="U47" s="472"/>
      <c r="V47" s="275"/>
      <c r="W47" s="292"/>
      <c r="X47" s="292"/>
    </row>
    <row r="48" spans="1:24">
      <c r="A48" s="135">
        <v>451</v>
      </c>
      <c r="B48" s="658" t="str">
        <f>+VLOOKUP($A48,Master!$D$30:$G$226,4,FALSE)</f>
        <v>Pozajmice i krediti</v>
      </c>
      <c r="C48" s="659"/>
      <c r="D48" s="659"/>
      <c r="E48" s="659"/>
      <c r="F48" s="659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50" t="str">
        <f>+VLOOKUP($A49,Master!$D$30:$G$226,4,FALSE)</f>
        <v>Rezerve</v>
      </c>
      <c r="C49" s="651"/>
      <c r="D49" s="651"/>
      <c r="E49" s="651"/>
      <c r="F49" s="651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0.26233384973178442</v>
      </c>
      <c r="U49" s="472"/>
    </row>
    <row r="50" spans="1:21" ht="13.5" thickBot="1">
      <c r="A50" s="135">
        <v>462</v>
      </c>
      <c r="B50" s="585" t="str">
        <f>+VLOOKUP($A50,Master!$D$30:$G$226,4,FALSE)</f>
        <v>Otplata garancija</v>
      </c>
      <c r="C50" s="586"/>
      <c r="D50" s="586"/>
      <c r="E50" s="586"/>
      <c r="F50" s="586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4.0403901709097939E-2</v>
      </c>
      <c r="U50" s="472"/>
    </row>
    <row r="51" spans="1:21" ht="13.5" thickBot="1">
      <c r="A51" s="129">
        <v>4630</v>
      </c>
      <c r="B51" s="652" t="str">
        <f>+VLOOKUP($A51,Master!$D$30:$G$226,4,TRUE)</f>
        <v>Otplata obaveza iz prethodnog perioda</v>
      </c>
      <c r="C51" s="653"/>
      <c r="D51" s="653"/>
      <c r="E51" s="653"/>
      <c r="F51" s="653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0.24938532227873023</v>
      </c>
      <c r="U51" s="472"/>
    </row>
    <row r="52" spans="1:21" ht="13.5" thickBot="1">
      <c r="A52" s="61">
        <v>1005</v>
      </c>
      <c r="B52" s="654" t="str">
        <f>+VLOOKUP($A52,Master!$D$30:$G$228,4,FALSE)</f>
        <v>Neto povećanje obaveza</v>
      </c>
      <c r="C52" s="655"/>
      <c r="D52" s="655"/>
      <c r="E52" s="655"/>
      <c r="F52" s="655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7" t="str">
        <f>+VLOOKUP($A53,Master!$D$30:$G$226,4,FALSE)</f>
        <v>Suficit / deficit</v>
      </c>
      <c r="C53" s="588"/>
      <c r="D53" s="588"/>
      <c r="E53" s="588"/>
      <c r="F53" s="588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0.15703468844846108</v>
      </c>
    </row>
    <row r="54" spans="1:21" ht="13.5" thickBot="1">
      <c r="A54" s="129">
        <v>1001</v>
      </c>
      <c r="B54" s="589" t="str">
        <f>+VLOOKUP($A54,Master!$D$30:$G$226,4,FALSE)</f>
        <v>Primarni suficit/deficit</v>
      </c>
      <c r="C54" s="590"/>
      <c r="D54" s="590"/>
      <c r="E54" s="590"/>
      <c r="F54" s="590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1.9455163354091267</v>
      </c>
    </row>
    <row r="55" spans="1:21">
      <c r="A55" s="129">
        <v>46</v>
      </c>
      <c r="B55" s="611" t="str">
        <f>+VLOOKUP($A55,Master!$D$30:$G$226,4,FALSE)</f>
        <v>Otplata dugova</v>
      </c>
      <c r="C55" s="612"/>
      <c r="D55" s="612"/>
      <c r="E55" s="612"/>
      <c r="F55" s="612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4.3254260017246793</v>
      </c>
    </row>
    <row r="56" spans="1:21">
      <c r="A56" s="129">
        <v>4611</v>
      </c>
      <c r="B56" s="607" t="str">
        <f>+VLOOKUP($A56,Master!$D$30:$G$226,4,FALSE)</f>
        <v>Otplata hartija od vrijednosti i kredita rezidentima</v>
      </c>
      <c r="C56" s="608"/>
      <c r="D56" s="608"/>
      <c r="E56" s="608"/>
      <c r="F56" s="608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1.070357348876984</v>
      </c>
    </row>
    <row r="57" spans="1:21" ht="13.5" thickBot="1">
      <c r="A57" s="129">
        <v>4612</v>
      </c>
      <c r="B57" s="583" t="str">
        <f>+VLOOKUP($A57,Master!$D$30:$G$226,4,FALSE)</f>
        <v>Otplata hartija od vrijednosti i kredita nerezidentima</v>
      </c>
      <c r="C57" s="584"/>
      <c r="D57" s="584"/>
      <c r="E57" s="584"/>
      <c r="F57" s="584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3.2550686528476946</v>
      </c>
    </row>
    <row r="58" spans="1:21" ht="13.5" thickBot="1">
      <c r="A58" s="129">
        <v>4418</v>
      </c>
      <c r="B58" s="575" t="str">
        <f>+VLOOKUP($A58,Master!$D$30:$G$226,4,FALSE)</f>
        <v>Izdaci za kupovinu hartija od vrijednosti</v>
      </c>
      <c r="C58" s="576"/>
      <c r="D58" s="576"/>
      <c r="E58" s="576"/>
      <c r="F58" s="576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1.2336216462282881E-2</v>
      </c>
    </row>
    <row r="59" spans="1:21" ht="13.5" thickBot="1">
      <c r="A59" s="135">
        <v>451</v>
      </c>
      <c r="B59" s="575" t="str">
        <f>+VLOOKUP($A59,Master!$D$30:$G$226,4,FALSE)</f>
        <v>Pozajmice i krediti</v>
      </c>
      <c r="C59" s="576"/>
      <c r="D59" s="576"/>
      <c r="E59" s="576"/>
      <c r="F59" s="576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0.14520612742088698</v>
      </c>
    </row>
    <row r="60" spans="1:21" ht="13.5" thickBot="1">
      <c r="A60" s="129">
        <v>1002</v>
      </c>
      <c r="B60" s="609" t="str">
        <f>+VLOOKUP($A60,Master!$D$30:$G$226,4,FALSE)</f>
        <v>Nedostajuća sredstva</v>
      </c>
      <c r="C60" s="610"/>
      <c r="D60" s="610"/>
      <c r="E60" s="610"/>
      <c r="F60" s="610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-4.3259336571593883</v>
      </c>
    </row>
    <row r="61" spans="1:21" ht="13.5" thickBot="1">
      <c r="A61" s="129">
        <v>1003</v>
      </c>
      <c r="B61" s="573" t="str">
        <f>+VLOOKUP($A61,Master!$D$30:$G$226,4,FALSE)</f>
        <v>Finansiranje</v>
      </c>
      <c r="C61" s="574"/>
      <c r="D61" s="574"/>
      <c r="E61" s="574"/>
      <c r="F61" s="574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4.3259336571593883</v>
      </c>
    </row>
    <row r="62" spans="1:21">
      <c r="A62" s="129">
        <v>7511</v>
      </c>
      <c r="B62" s="607" t="str">
        <f>+VLOOKUP($A62,Master!$D$30:$G$226,4,FALSE)</f>
        <v>Pozajmice i krediti od domaćih izvora</v>
      </c>
      <c r="C62" s="608"/>
      <c r="D62" s="608"/>
      <c r="E62" s="608"/>
      <c r="F62" s="608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2.2832968221247154</v>
      </c>
    </row>
    <row r="63" spans="1:21">
      <c r="A63" s="129">
        <v>7512</v>
      </c>
      <c r="B63" s="583" t="str">
        <f>+VLOOKUP($A63,Master!$D$30:$G$226,4,FALSE)</f>
        <v>Pozajmice i krediti od inostranih izvora</v>
      </c>
      <c r="C63" s="584"/>
      <c r="D63" s="584"/>
      <c r="E63" s="584"/>
      <c r="F63" s="584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2.2866287491482513</v>
      </c>
    </row>
    <row r="64" spans="1:21">
      <c r="A64" s="129">
        <v>72</v>
      </c>
      <c r="B64" s="583" t="str">
        <f>+VLOOKUP($A64,Master!$D$30:$G$226,4,FALSE)</f>
        <v>Primici od prodaje imovine</v>
      </c>
      <c r="C64" s="584"/>
      <c r="D64" s="584"/>
      <c r="E64" s="584"/>
      <c r="F64" s="584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3.9029577740871672E-2</v>
      </c>
    </row>
    <row r="65" spans="1:20">
      <c r="A65" s="129">
        <v>73</v>
      </c>
      <c r="B65" s="583" t="s">
        <v>101</v>
      </c>
      <c r="C65" s="584"/>
      <c r="D65" s="584"/>
      <c r="E65" s="584"/>
      <c r="F65" s="584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0.1990066060515982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-0.482028097906048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39" t="str">
        <f>+Master!G253</f>
        <v>Plan ostvarenja budžeta</v>
      </c>
      <c r="C83" s="640"/>
      <c r="D83" s="640"/>
      <c r="E83" s="640"/>
      <c r="F83" s="640"/>
      <c r="G83" s="647">
        <v>2023</v>
      </c>
      <c r="H83" s="648"/>
      <c r="I83" s="648"/>
      <c r="J83" s="648"/>
      <c r="K83" s="648"/>
      <c r="L83" s="648"/>
      <c r="M83" s="648"/>
      <c r="N83" s="648"/>
      <c r="O83" s="648"/>
      <c r="P83" s="648"/>
      <c r="Q83" s="648"/>
      <c r="R83" s="649"/>
      <c r="S83" s="96" t="str">
        <f>+S7</f>
        <v>BDP</v>
      </c>
      <c r="T83" s="97">
        <v>6624340418</v>
      </c>
    </row>
    <row r="84" spans="1:26" ht="15.75" customHeight="1">
      <c r="B84" s="641"/>
      <c r="C84" s="642"/>
      <c r="D84" s="642"/>
      <c r="E84" s="642"/>
      <c r="F84" s="643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47" t="str">
        <f>+Master!G247</f>
        <v>Jan - Dec</v>
      </c>
      <c r="T84" s="649">
        <f>+T8</f>
        <v>0</v>
      </c>
    </row>
    <row r="85" spans="1:26" ht="13.5" thickBot="1">
      <c r="B85" s="644"/>
      <c r="C85" s="645"/>
      <c r="D85" s="645"/>
      <c r="E85" s="645"/>
      <c r="F85" s="64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13" t="str">
        <f>+VLOOKUP(LEFT($A86,LEN(A86)-1)*1,Master!$D$30:$G$226,4,FALSE)</f>
        <v>Prihodi budžeta</v>
      </c>
      <c r="C86" s="614"/>
      <c r="D86" s="614"/>
      <c r="E86" s="614"/>
      <c r="F86" s="614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37" t="str">
        <f>+VLOOKUP(LEFT($A87,LEN(A87)-1)*1,Master!$D$30:$G$226,4,FALSE)</f>
        <v>Porezi</v>
      </c>
      <c r="C87" s="638"/>
      <c r="D87" s="638"/>
      <c r="E87" s="638"/>
      <c r="F87" s="638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29" t="str">
        <f>+VLOOKUP(LEFT($A88,LEN(A88)-1)*1,Master!$D$30:$G$229,4,FALSE)</f>
        <v>Porez na dohodak fizičkih lica</v>
      </c>
      <c r="C88" s="630"/>
      <c r="D88" s="630"/>
      <c r="E88" s="630"/>
      <c r="F88" s="630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29" t="str">
        <f>+VLOOKUP(LEFT($A89,LEN(A89)-1)*1,Master!$D$30:$G$229,4,FALSE)</f>
        <v>Porez na dobit pravnih lica</v>
      </c>
      <c r="C89" s="630"/>
      <c r="D89" s="630"/>
      <c r="E89" s="630"/>
      <c r="F89" s="630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29" t="str">
        <f>+VLOOKUP(LEFT($A90,LEN(A90)-1)*1,Master!$D$30:$G$229,4,FALSE)</f>
        <v>Porez na promet nepokretnosti</v>
      </c>
      <c r="C90" s="630"/>
      <c r="D90" s="630"/>
      <c r="E90" s="630"/>
      <c r="F90" s="630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29" t="str">
        <f>+VLOOKUP(LEFT($A91,LEN(A91)-1)*1,Master!$D$30:$G$229,4,FALSE)</f>
        <v>Porez na dodatu vrijednost</v>
      </c>
      <c r="C91" s="630"/>
      <c r="D91" s="630"/>
      <c r="E91" s="630"/>
      <c r="F91" s="630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29" t="str">
        <f>+VLOOKUP(LEFT($A92,LEN(A92)-1)*1,Master!$D$30:$G$229,4,FALSE)</f>
        <v>Akcize</v>
      </c>
      <c r="C92" s="630"/>
      <c r="D92" s="630"/>
      <c r="E92" s="630"/>
      <c r="F92" s="630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29" t="str">
        <f>+VLOOKUP(LEFT($A93,LEN(A93)-1)*1,Master!$D$30:$G$229,4,FALSE)</f>
        <v>Porez na međunarodnu trgovinu i transakcije</v>
      </c>
      <c r="C93" s="630"/>
      <c r="D93" s="630"/>
      <c r="E93" s="630"/>
      <c r="F93" s="630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29" t="str">
        <f>+VLOOKUP(LEFT($A94,LEN(A94)-1)*1,Master!$D$30:$G$229,4,FALSE)</f>
        <v>Ostali državni porezi</v>
      </c>
      <c r="C94" s="630"/>
      <c r="D94" s="630"/>
      <c r="E94" s="630"/>
      <c r="F94" s="630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35" t="str">
        <f>+VLOOKUP(LEFT($A95,LEN(A95)-1)*1,Master!$D$30:$G$229,4,FALSE)</f>
        <v>Doprinosi</v>
      </c>
      <c r="C95" s="636"/>
      <c r="D95" s="636"/>
      <c r="E95" s="636"/>
      <c r="F95" s="636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29" t="str">
        <f>+VLOOKUP(LEFT($A96,LEN(A96)-1)*1,Master!$D$30:$G$229,4,FALSE)</f>
        <v>Doprinosi za penzijsko i invalidsko osiguranje</v>
      </c>
      <c r="C96" s="630"/>
      <c r="D96" s="630"/>
      <c r="E96" s="630"/>
      <c r="F96" s="630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29" t="str">
        <f>+VLOOKUP(LEFT($A97,LEN(A97)-1)*1,Master!$D$30:$G$229,4,FALSE)</f>
        <v>Doprinosi za zdravstveno osiguranje</v>
      </c>
      <c r="C97" s="630"/>
      <c r="D97" s="630"/>
      <c r="E97" s="630"/>
      <c r="F97" s="630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29" t="str">
        <f>+VLOOKUP(LEFT($A98,LEN(A98)-1)*1,Master!$D$30:$G$229,4,FALSE)</f>
        <v>Doprinosi za osiguranje od nezaposlenosti</v>
      </c>
      <c r="C98" s="630"/>
      <c r="D98" s="630"/>
      <c r="E98" s="630"/>
      <c r="F98" s="630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29" t="str">
        <f>+VLOOKUP(LEFT($A99,LEN(A99)-1)*1,Master!$D$30:$G$229,4,FALSE)</f>
        <v>Ostali doprinosi</v>
      </c>
      <c r="C99" s="630"/>
      <c r="D99" s="630"/>
      <c r="E99" s="630"/>
      <c r="F99" s="630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35" t="str">
        <f>+VLOOKUP(LEFT($A100,LEN(A100)-1)*1,Master!$D$30:$G$229,4,FALSE)</f>
        <v>Takse</v>
      </c>
      <c r="C100" s="636"/>
      <c r="D100" s="636"/>
      <c r="E100" s="636"/>
      <c r="F100" s="636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35" t="str">
        <f>+VLOOKUP(LEFT($A101,LEN(A101)-1)*1,Master!$D$30:$G$229,4,FALSE)</f>
        <v>Naknade</v>
      </c>
      <c r="C101" s="636"/>
      <c r="D101" s="636"/>
      <c r="E101" s="636"/>
      <c r="F101" s="636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35" t="str">
        <f>+VLOOKUP(LEFT($A102,LEN(A102)-1)*1,Master!$D$30:$G$229,4,FALSE)</f>
        <v>Ostali prihodi</v>
      </c>
      <c r="C102" s="636"/>
      <c r="D102" s="636"/>
      <c r="E102" s="636"/>
      <c r="F102" s="636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35" t="str">
        <f>+VLOOKUP(LEFT($A103,LEN(A103)-1)*1,Master!$D$30:$G$229,4,FALSE)</f>
        <v>Primici od otplate kredita i sredstva prenesena iz prethodne godine</v>
      </c>
      <c r="C103" s="636"/>
      <c r="D103" s="636"/>
      <c r="E103" s="636"/>
      <c r="F103" s="636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31" t="str">
        <f>+VLOOKUP(LEFT($A104,LEN(A104)-1)*1,Master!$D$30:$G$229,4,FALSE)</f>
        <v>Donacije i transferi</v>
      </c>
      <c r="C104" s="632"/>
      <c r="D104" s="632"/>
      <c r="E104" s="632"/>
      <c r="F104" s="632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13" t="str">
        <f>+VLOOKUP(LEFT($A105,LEN(A105)-1)*1,Master!$D$30:$G$229,4,FALSE)</f>
        <v>Izdaci budžeta</v>
      </c>
      <c r="C105" s="614"/>
      <c r="D105" s="614"/>
      <c r="E105" s="614"/>
      <c r="F105" s="614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33" t="str">
        <f>+VLOOKUP(LEFT($A106,LEN(A106)-1)*1,Master!$D$30:$G$229,4,FALSE)</f>
        <v>Tekući izdaci</v>
      </c>
      <c r="C106" s="634"/>
      <c r="D106" s="634"/>
      <c r="E106" s="634"/>
      <c r="F106" s="634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29" t="str">
        <f>+VLOOKUP(LEFT($A107,LEN(A107)-1)*1,Master!$D$30:$G$229,4,FALSE)</f>
        <v>Bruto zarade i doprinosi na teret poslodavca</v>
      </c>
      <c r="C107" s="630"/>
      <c r="D107" s="630"/>
      <c r="E107" s="630"/>
      <c r="F107" s="630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29" t="str">
        <f>+VLOOKUP(LEFT($A108,LEN(A108)-1)*1,Master!$D$30:$G$229,4,FALSE)</f>
        <v>Ostala lična primanja</v>
      </c>
      <c r="C108" s="630"/>
      <c r="D108" s="630"/>
      <c r="E108" s="630"/>
      <c r="F108" s="630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29" t="str">
        <f>+VLOOKUP(LEFT($A109,LEN(A109)-1)*1,Master!$D$30:$G$229,4,FALSE)</f>
        <v>Rashodi za materijal</v>
      </c>
      <c r="C109" s="630"/>
      <c r="D109" s="630"/>
      <c r="E109" s="630"/>
      <c r="F109" s="630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29" t="str">
        <f>+VLOOKUP(LEFT($A110,LEN(A110)-1)*1,Master!$D$30:$G$229,4,FALSE)</f>
        <v>Rashodi za usluge</v>
      </c>
      <c r="C110" s="630"/>
      <c r="D110" s="630"/>
      <c r="E110" s="630"/>
      <c r="F110" s="630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29" t="str">
        <f>+VLOOKUP(LEFT($A111,LEN(A111)-1)*1,Master!$D$30:$G$229,4,FALSE)</f>
        <v>Rashodi za tekuće održavanje</v>
      </c>
      <c r="C111" s="630"/>
      <c r="D111" s="630"/>
      <c r="E111" s="630"/>
      <c r="F111" s="630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29" t="str">
        <f>+VLOOKUP(LEFT($A112,LEN(A112)-1)*1,Master!$D$30:$G$229,4,FALSE)</f>
        <v>Kamate</v>
      </c>
      <c r="C112" s="630"/>
      <c r="D112" s="630"/>
      <c r="E112" s="630"/>
      <c r="F112" s="630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29" t="str">
        <f>+VLOOKUP(LEFT($A113,LEN(A113)-1)*1,Master!$D$30:$G$229,4,FALSE)</f>
        <v>Renta</v>
      </c>
      <c r="C113" s="630"/>
      <c r="D113" s="630"/>
      <c r="E113" s="630"/>
      <c r="F113" s="630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29" t="str">
        <f>+VLOOKUP(LEFT($A114,LEN(A114)-1)*1,Master!$D$30:$G$229,4,FALSE)</f>
        <v>Subvencije</v>
      </c>
      <c r="C114" s="630"/>
      <c r="D114" s="630"/>
      <c r="E114" s="630"/>
      <c r="F114" s="630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29" t="str">
        <f>+VLOOKUP(LEFT($A115,LEN(A115)-1)*1,Master!$D$30:$G$229,4,FALSE)</f>
        <v>Ostali izdaci</v>
      </c>
      <c r="C115" s="630"/>
      <c r="D115" s="630"/>
      <c r="E115" s="630"/>
      <c r="F115" s="630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25" t="str">
        <f>+VLOOKUP(LEFT($A116,LEN(A116)-1)*1,Master!$D$30:$G$229,4,FALSE)</f>
        <v>Transferi za socijalnu zaštitu</v>
      </c>
      <c r="C116" s="626"/>
      <c r="D116" s="626"/>
      <c r="E116" s="626"/>
      <c r="F116" s="626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29" t="str">
        <f>+VLOOKUP(LEFT($A117,LEN(A117)-1)*1,Master!$D$30:$G$229,4,FALSE)</f>
        <v>Prava iz oblasti socijalne zaštite</v>
      </c>
      <c r="C117" s="630"/>
      <c r="D117" s="630"/>
      <c r="E117" s="630"/>
      <c r="F117" s="630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29" t="str">
        <f>+VLOOKUP(LEFT($A118,LEN(A118)-1)*1,Master!$D$30:$G$229,4,FALSE)</f>
        <v>Sredstva za tehnološke viškove</v>
      </c>
      <c r="C118" s="630"/>
      <c r="D118" s="630"/>
      <c r="E118" s="630"/>
      <c r="F118" s="630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29" t="str">
        <f>+VLOOKUP(LEFT($A119,LEN(A119)-1)*1,Master!$D$30:$G$229,4,FALSE)</f>
        <v>Prava iz oblasti penzijskog i invalidskog osiguranja</v>
      </c>
      <c r="C119" s="630"/>
      <c r="D119" s="630"/>
      <c r="E119" s="630"/>
      <c r="F119" s="630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29" t="str">
        <f>+VLOOKUP(LEFT($A120,LEN(A120)-1)*1,Master!$D$30:$G$229,4,FALSE)</f>
        <v>Ostala prava iz oblasti zdravstvene zaštite</v>
      </c>
      <c r="C120" s="630"/>
      <c r="D120" s="630"/>
      <c r="E120" s="630"/>
      <c r="F120" s="630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29" t="str">
        <f>+VLOOKUP(LEFT($A121,LEN(A121)-1)*1,Master!$D$30:$G$229,4,FALSE)</f>
        <v>Ostala prava iz zdravstvenog osiguranja</v>
      </c>
      <c r="C121" s="630"/>
      <c r="D121" s="630"/>
      <c r="E121" s="630"/>
      <c r="F121" s="630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27" t="str">
        <f>+VLOOKUP(LEFT($A122,LEN(A122)-1)*1,Master!$D$30:$G$229,4,FALSE)</f>
        <v xml:space="preserve">Transferi institucijama, pojedincima, nevladinom i javnom sektoru </v>
      </c>
      <c r="C122" s="628"/>
      <c r="D122" s="628"/>
      <c r="E122" s="628"/>
      <c r="F122" s="628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27" t="str">
        <f>+VLOOKUP(LEFT($A123,LEN(A123)-1)*1,Master!$D$30:$G$229,4,FALSE)</f>
        <v>Kapitalni izdaci</v>
      </c>
      <c r="C123" s="628"/>
      <c r="D123" s="628"/>
      <c r="E123" s="628"/>
      <c r="F123" s="628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19" t="str">
        <f>+VLOOKUP(LEFT($A124,LEN(A124)-1)*1,Master!$D$30:$G$229,4,FALSE)</f>
        <v>Pozajmice i krediti</v>
      </c>
      <c r="C124" s="620"/>
      <c r="D124" s="620"/>
      <c r="E124" s="620"/>
      <c r="F124" s="620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19" t="str">
        <f>+VLOOKUP(LEFT($A125,LEN(A125)-1)*1,Master!$D$30:$G$229,4,FALSE)</f>
        <v>Rezerve</v>
      </c>
      <c r="C125" s="620"/>
      <c r="D125" s="620"/>
      <c r="E125" s="620"/>
      <c r="F125" s="620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19" t="str">
        <f>+VLOOKUP(LEFT($A126,LEN(A126)-1)*1,Master!$D$30:$G$229,4,FALSE)</f>
        <v>Otplata garancija</v>
      </c>
      <c r="C126" s="620"/>
      <c r="D126" s="620"/>
      <c r="E126" s="620"/>
      <c r="F126" s="620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19" t="str">
        <f>+VLOOKUP(LEFT($A127,LEN(A127)-1)*1,Master!$D$30:$G$229,4,FALSE)</f>
        <v>Otplata obaveza iz prethodnog perioda</v>
      </c>
      <c r="C127" s="620"/>
      <c r="D127" s="620"/>
      <c r="E127" s="620"/>
      <c r="F127" s="620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19" t="str">
        <f>+VLOOKUP(LEFT($A128,LEN(A128)-1)*1,Master!$D$30:$G$229,4,FALSE)</f>
        <v>Neto povećanje obaveza</v>
      </c>
      <c r="C128" s="620"/>
      <c r="D128" s="620"/>
      <c r="E128" s="620"/>
      <c r="F128" s="620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21" t="str">
        <f>+VLOOKUP(LEFT($A129,LEN(A129)-1)*1,Master!$D$30:$G$226,4,FALSE)</f>
        <v>Suficit / deficit</v>
      </c>
      <c r="C129" s="622"/>
      <c r="D129" s="622"/>
      <c r="E129" s="622"/>
      <c r="F129" s="622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23" t="str">
        <f>+VLOOKUP(LEFT($A130,LEN(A130)-1)*1,Master!$D$30:$G$226,4,FALSE)</f>
        <v>Primarni suficit/deficit</v>
      </c>
      <c r="C130" s="624"/>
      <c r="D130" s="624"/>
      <c r="E130" s="624"/>
      <c r="F130" s="624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25" t="str">
        <f>+VLOOKUP(LEFT($A131,LEN(A131)-1)*1,Master!$D$30:$G$226,4,FALSE)</f>
        <v>Otplata dugova</v>
      </c>
      <c r="C131" s="626"/>
      <c r="D131" s="626"/>
      <c r="E131" s="626"/>
      <c r="F131" s="626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17" t="str">
        <f>+VLOOKUP(LEFT($A132,LEN(A132)-1)*1,Master!$D$30:$G$226,4,FALSE)</f>
        <v>Otplata hartija od vrijednosti i kredita rezidentima</v>
      </c>
      <c r="C132" s="618"/>
      <c r="D132" s="618"/>
      <c r="E132" s="618"/>
      <c r="F132" s="618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19" t="str">
        <f>+VLOOKUP(LEFT($A133,LEN(A133)-1)*1,Master!$D$30:$G$226,4,FALSE)</f>
        <v>Otplata hartija od vrijednosti i kredita nerezidentima</v>
      </c>
      <c r="C133" s="620"/>
      <c r="D133" s="620"/>
      <c r="E133" s="620"/>
      <c r="F133" s="620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13" t="str">
        <f>+VLOOKUP(LEFT($A134,LEN(A134)-1)*1,Master!$D$30:$G$226,4,FALSE)</f>
        <v>Izdaci za kupovinu hartija od vrijednosti</v>
      </c>
      <c r="C134" s="614"/>
      <c r="D134" s="614"/>
      <c r="E134" s="614"/>
      <c r="F134" s="614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13" t="s">
        <v>113</v>
      </c>
      <c r="C135" s="614"/>
      <c r="D135" s="614"/>
      <c r="E135" s="614"/>
      <c r="F135" s="614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15" t="str">
        <f>+VLOOKUP(LEFT($A136,LEN(A136)-1)*1,Master!$D$30:$G$226,4,FALSE)</f>
        <v>Nedostajuća sredstva</v>
      </c>
      <c r="C136" s="616"/>
      <c r="D136" s="616"/>
      <c r="E136" s="616"/>
      <c r="F136" s="616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13" t="str">
        <f>+VLOOKUP(LEFT($A137,LEN(A137)-1)*1,Master!$D$30:$G$226,4,FALSE)</f>
        <v>Finansiranje</v>
      </c>
      <c r="C137" s="614"/>
      <c r="D137" s="614"/>
      <c r="E137" s="614"/>
      <c r="F137" s="614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17" t="str">
        <f>+VLOOKUP(LEFT($A138,LEN(A138)-1)*1,Master!$D$30:$G$226,4,FALSE)</f>
        <v>Pozajmice i krediti od domaćih izvora</v>
      </c>
      <c r="C138" s="618"/>
      <c r="D138" s="618"/>
      <c r="E138" s="618"/>
      <c r="F138" s="618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19" t="str">
        <f>+VLOOKUP(LEFT($A139,LEN(A139)-1)*1,Master!$D$30:$G$226,4,FALSE)</f>
        <v>Pozajmice i krediti od inostranih izvora</v>
      </c>
      <c r="C139" s="620"/>
      <c r="D139" s="620"/>
      <c r="E139" s="620"/>
      <c r="F139" s="620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19" t="str">
        <f>+VLOOKUP(LEFT($A140,LEN(A140)-1)*1,Master!$D$30:$G$226,4,FALSE)</f>
        <v>Primici od prodaje imovine</v>
      </c>
      <c r="C140" s="620"/>
      <c r="D140" s="620"/>
      <c r="E140" s="620"/>
      <c r="F140" s="620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93" t="str">
        <f>+Master!G252</f>
        <v>Ostvarenje budžeta</v>
      </c>
      <c r="C7" s="594"/>
      <c r="D7" s="594"/>
      <c r="E7" s="594"/>
      <c r="F7" s="594"/>
      <c r="G7" s="602">
        <v>2022</v>
      </c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6"/>
      <c r="S7" s="220" t="str">
        <f>+Master!G249</f>
        <v>BDP</v>
      </c>
      <c r="T7" s="221">
        <v>5796761000</v>
      </c>
    </row>
    <row r="8" spans="1:23" ht="16.5" customHeight="1">
      <c r="A8" s="129"/>
      <c r="B8" s="595"/>
      <c r="C8" s="596"/>
      <c r="D8" s="596"/>
      <c r="E8" s="596"/>
      <c r="F8" s="597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2" t="str">
        <f>+Master!G247</f>
        <v>Jan - Dec</v>
      </c>
      <c r="T8" s="606"/>
    </row>
    <row r="9" spans="1:23" ht="13.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73" t="str">
        <f>+VLOOKUP($A10,Master!$D$30:$G$226,4,FALSE)</f>
        <v>Prihodi budžeta</v>
      </c>
      <c r="C10" s="574"/>
      <c r="D10" s="574"/>
      <c r="E10" s="574"/>
      <c r="F10" s="574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563" t="str">
        <f>+VLOOKUP($A11,Master!$D$30:$G$226,4,FALSE)</f>
        <v>Porezi</v>
      </c>
      <c r="C11" s="564"/>
      <c r="D11" s="564"/>
      <c r="E11" s="564"/>
      <c r="F11" s="564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65" t="str">
        <f>+VLOOKUP($A12,Master!$D$30:$G$226,4,FALSE)</f>
        <v>Porez na dohodak fizičkih lica</v>
      </c>
      <c r="C12" s="566"/>
      <c r="D12" s="566"/>
      <c r="E12" s="566"/>
      <c r="F12" s="566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65" t="str">
        <f>+VLOOKUP($A13,Master!$D$30:$G$226,4,FALSE)</f>
        <v>Porez na dobit pravnih lica</v>
      </c>
      <c r="C13" s="566"/>
      <c r="D13" s="566"/>
      <c r="E13" s="566"/>
      <c r="F13" s="566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65" t="str">
        <f>+VLOOKUP($A14,Master!$D$30:$G$226,4,FALSE)</f>
        <v>Porez na promet nepokretnosti</v>
      </c>
      <c r="C14" s="566"/>
      <c r="D14" s="566"/>
      <c r="E14" s="566"/>
      <c r="F14" s="566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65" t="str">
        <f>+VLOOKUP($A15,Master!$D$30:$G$226,4,FALSE)</f>
        <v>Porez na dodatu vrijednost</v>
      </c>
      <c r="C15" s="566"/>
      <c r="D15" s="566"/>
      <c r="E15" s="566"/>
      <c r="F15" s="566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65" t="str">
        <f>+VLOOKUP($A16,Master!$D$30:$G$226,4,FALSE)</f>
        <v>Akcize</v>
      </c>
      <c r="C16" s="566"/>
      <c r="D16" s="566"/>
      <c r="E16" s="566"/>
      <c r="F16" s="566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65" t="str">
        <f>+VLOOKUP($A17,Master!$D$30:$G$226,4,FALSE)</f>
        <v>Porez na međunarodnu trgovinu i transakcije</v>
      </c>
      <c r="C17" s="566"/>
      <c r="D17" s="566"/>
      <c r="E17" s="566"/>
      <c r="F17" s="566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65" t="str">
        <f>+VLOOKUP($A18,Master!$D$30:$G$226,4,FALSE)</f>
        <v>Ostali državni porezi</v>
      </c>
      <c r="C18" s="566"/>
      <c r="D18" s="566"/>
      <c r="E18" s="566"/>
      <c r="F18" s="566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67" t="str">
        <f>+VLOOKUP($A19,Master!$D$30:$G$226,4,FALSE)</f>
        <v>Doprinosi</v>
      </c>
      <c r="C19" s="568"/>
      <c r="D19" s="568"/>
      <c r="E19" s="568"/>
      <c r="F19" s="568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65" t="str">
        <f>+VLOOKUP($A20,Master!$D$30:$G$226,4,FALSE)</f>
        <v>Doprinosi za penzijsko i invalidsko osiguranje</v>
      </c>
      <c r="C20" s="566"/>
      <c r="D20" s="566"/>
      <c r="E20" s="566"/>
      <c r="F20" s="566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65" t="str">
        <f>+VLOOKUP($A21,Master!$D$30:$G$226,4,FALSE)</f>
        <v>Doprinosi za zdravstveno osiguranje</v>
      </c>
      <c r="C21" s="566"/>
      <c r="D21" s="566"/>
      <c r="E21" s="566"/>
      <c r="F21" s="566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65" t="str">
        <f>+VLOOKUP($A22,Master!$D$30:$G$226,4,FALSE)</f>
        <v>Doprinosi za osiguranje od nezaposlenosti</v>
      </c>
      <c r="C22" s="566"/>
      <c r="D22" s="566"/>
      <c r="E22" s="566"/>
      <c r="F22" s="566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65" t="str">
        <f>+VLOOKUP($A23,Master!$D$30:$G$226,4,FALSE)</f>
        <v>Ostali doprinosi</v>
      </c>
      <c r="C23" s="566"/>
      <c r="D23" s="566"/>
      <c r="E23" s="566"/>
      <c r="F23" s="566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67" t="str">
        <f>+VLOOKUP($A24,Master!$D$30:$G$226,4,FALSE)</f>
        <v>Takse</v>
      </c>
      <c r="C24" s="568"/>
      <c r="D24" s="568"/>
      <c r="E24" s="568"/>
      <c r="F24" s="568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67" t="str">
        <f>+VLOOKUP($A25,Master!$D$30:$G$226,4,FALSE)</f>
        <v>Naknade</v>
      </c>
      <c r="C25" s="568"/>
      <c r="D25" s="568"/>
      <c r="E25" s="568"/>
      <c r="F25" s="568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67" t="str">
        <f>+VLOOKUP($A26,Master!$D$30:$G$226,4,FALSE)</f>
        <v>Ostali prihodi</v>
      </c>
      <c r="C26" s="568"/>
      <c r="D26" s="568"/>
      <c r="E26" s="568"/>
      <c r="F26" s="568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67" t="str">
        <f>+VLOOKUP($A27,Master!$D$30:$G$226,4,FALSE)</f>
        <v>Primici od otplate kredita i sredstva prenesena iz prethodne godine</v>
      </c>
      <c r="C27" s="568"/>
      <c r="D27" s="568"/>
      <c r="E27" s="568"/>
      <c r="F27" s="568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67" t="str">
        <f>+VLOOKUP($A28,Master!$D$30:$G$226,4,FALSE)</f>
        <v>Donacije i transferi</v>
      </c>
      <c r="C28" s="568"/>
      <c r="D28" s="568"/>
      <c r="E28" s="568"/>
      <c r="F28" s="568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73" t="str">
        <f>+VLOOKUP($A29,Master!$D$30:$G$226,4,FALSE)</f>
        <v>Izdaci budžeta</v>
      </c>
      <c r="C29" s="574"/>
      <c r="D29" s="574"/>
      <c r="E29" s="574"/>
      <c r="F29" s="574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577" t="str">
        <f>+VLOOKUP($A30,Master!$D$30:$G$226,4,FALSE)</f>
        <v>Tekući izdaci</v>
      </c>
      <c r="C30" s="578"/>
      <c r="D30" s="578"/>
      <c r="E30" s="578"/>
      <c r="F30" s="578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65" t="str">
        <f>+VLOOKUP($A31,Master!$D$30:$G$226,4,FALSE)</f>
        <v>Bruto zarade i doprinosi na teret poslodavca</v>
      </c>
      <c r="C31" s="566"/>
      <c r="D31" s="566"/>
      <c r="E31" s="566"/>
      <c r="F31" s="566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65" t="str">
        <f>+VLOOKUP($A32,Master!$D$30:$G$226,4,FALSE)</f>
        <v>Ostala lična primanja</v>
      </c>
      <c r="C32" s="566"/>
      <c r="D32" s="566"/>
      <c r="E32" s="566"/>
      <c r="F32" s="566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65" t="str">
        <f>+VLOOKUP($A33,Master!$D$30:$G$226,4,FALSE)</f>
        <v>Rashodi za materijal</v>
      </c>
      <c r="C33" s="566"/>
      <c r="D33" s="566"/>
      <c r="E33" s="566"/>
      <c r="F33" s="566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60" t="str">
        <f>+VLOOKUP($A34,Master!$D$30:$G$226,4,FALSE)</f>
        <v>Rashodi za usluge</v>
      </c>
      <c r="C34" s="661"/>
      <c r="D34" s="661"/>
      <c r="E34" s="661"/>
      <c r="F34" s="661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65" t="str">
        <f>+VLOOKUP($A35,Master!$D$30:$G$226,4,FALSE)</f>
        <v>Rashodi za tekuće održavanje</v>
      </c>
      <c r="C35" s="566"/>
      <c r="D35" s="566"/>
      <c r="E35" s="566"/>
      <c r="F35" s="566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65" t="str">
        <f>+VLOOKUP($A36,Master!$D$30:$G$226,4,FALSE)</f>
        <v>Kamate</v>
      </c>
      <c r="C36" s="566"/>
      <c r="D36" s="566"/>
      <c r="E36" s="566"/>
      <c r="F36" s="566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65" t="str">
        <f>+VLOOKUP($A37,Master!$D$30:$G$226,4,FALSE)</f>
        <v>Renta</v>
      </c>
      <c r="C37" s="566"/>
      <c r="D37" s="566"/>
      <c r="E37" s="566"/>
      <c r="F37" s="566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65" t="str">
        <f>+VLOOKUP($A38,Master!$D$30:$G$226,4,FALSE)</f>
        <v>Subvencije</v>
      </c>
      <c r="C38" s="566"/>
      <c r="D38" s="566"/>
      <c r="E38" s="566"/>
      <c r="F38" s="566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65" t="str">
        <f>+VLOOKUP($A39,Master!$D$30:$G$226,4,FALSE)</f>
        <v>Ostali izdaci</v>
      </c>
      <c r="C39" s="566"/>
      <c r="D39" s="566"/>
      <c r="E39" s="566"/>
      <c r="F39" s="566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81" t="str">
        <f>+VLOOKUP($A40,Master!$D$30:$G$226,4,FALSE)</f>
        <v>Transferi za socijalnu zaštitu</v>
      </c>
      <c r="C40" s="582"/>
      <c r="D40" s="582"/>
      <c r="E40" s="582"/>
      <c r="F40" s="582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65" t="str">
        <f>+VLOOKUP($A41,Master!$D$30:$G$226,4,FALSE)</f>
        <v>Prava iz oblasti socijalne zaštite</v>
      </c>
      <c r="C41" s="566"/>
      <c r="D41" s="566"/>
      <c r="E41" s="566"/>
      <c r="F41" s="566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65" t="str">
        <f>+VLOOKUP($A42,Master!$D$30:$G$226,4,FALSE)</f>
        <v>Sredstva za tehnološke viškove</v>
      </c>
      <c r="C42" s="566"/>
      <c r="D42" s="566"/>
      <c r="E42" s="566"/>
      <c r="F42" s="566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65" t="str">
        <f>+VLOOKUP($A43,Master!$D$30:$G$226,4,FALSE)</f>
        <v>Prava iz oblasti penzijskog i invalidskog osiguranja</v>
      </c>
      <c r="C43" s="566"/>
      <c r="D43" s="566"/>
      <c r="E43" s="566"/>
      <c r="F43" s="566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65" t="str">
        <f>+VLOOKUP($A44,Master!$D$30:$G$226,4,FALSE)</f>
        <v>Ostala prava iz oblasti zdravstvene zaštite</v>
      </c>
      <c r="C44" s="566"/>
      <c r="D44" s="566"/>
      <c r="E44" s="566"/>
      <c r="F44" s="566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56" t="str">
        <f>+VLOOKUP($A45,Master!$D$30:$G$226,4,FALSE)</f>
        <v>Ostala prava iz zdravstvenog osiguranja</v>
      </c>
      <c r="C45" s="657"/>
      <c r="D45" s="657"/>
      <c r="E45" s="657"/>
      <c r="F45" s="657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79" t="str">
        <f>+VLOOKUP($A46,Master!$D$30:$G$226,4,FALSE)</f>
        <v xml:space="preserve">Transferi institucijama, pojedincima, nevladinom i javnom sektoru </v>
      </c>
      <c r="C46" s="580"/>
      <c r="D46" s="580"/>
      <c r="E46" s="580"/>
      <c r="F46" s="580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79" t="str">
        <f>+VLOOKUP($A47,Master!$D$30:$G$226,4,FALSE)</f>
        <v>Kapitalni izdaci</v>
      </c>
      <c r="C47" s="580"/>
      <c r="D47" s="580"/>
      <c r="E47" s="580"/>
      <c r="F47" s="580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58" t="str">
        <f>+VLOOKUP($A48,Master!$D$30:$G$226,4,FALSE)</f>
        <v>Pozajmice i krediti</v>
      </c>
      <c r="C48" s="659"/>
      <c r="D48" s="659"/>
      <c r="E48" s="659"/>
      <c r="F48" s="659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50" t="str">
        <f>+VLOOKUP($A49,Master!$D$30:$G$226,4,FALSE)</f>
        <v>Rezerve</v>
      </c>
      <c r="C49" s="651"/>
      <c r="D49" s="651"/>
      <c r="E49" s="651"/>
      <c r="F49" s="651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85" t="str">
        <f>+VLOOKUP($A50,Master!$D$30:$G$226,4,FALSE)</f>
        <v>Otplata garancija</v>
      </c>
      <c r="C50" s="586"/>
      <c r="D50" s="586"/>
      <c r="E50" s="586"/>
      <c r="F50" s="586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52" t="str">
        <f>+VLOOKUP($A51,Master!$D$30:$G$226,4,TRUE)</f>
        <v>Otplata obaveza iz prethodnog perioda</v>
      </c>
      <c r="C51" s="653"/>
      <c r="D51" s="653"/>
      <c r="E51" s="653"/>
      <c r="F51" s="653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54" t="str">
        <f>+VLOOKUP($A52,Master!$D$30:$G$228,4,FALSE)</f>
        <v>Neto povećanje obaveza</v>
      </c>
      <c r="C52" s="655"/>
      <c r="D52" s="655"/>
      <c r="E52" s="655"/>
      <c r="F52" s="655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87" t="str">
        <f>+VLOOKUP($A53,Master!$D$30:$G$226,4,FALSE)</f>
        <v>Suficit / deficit</v>
      </c>
      <c r="C53" s="588"/>
      <c r="D53" s="588"/>
      <c r="E53" s="588"/>
      <c r="F53" s="588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89" t="str">
        <f>+VLOOKUP($A54,Master!$D$30:$G$226,4,FALSE)</f>
        <v>Primarni suficit/deficit</v>
      </c>
      <c r="C54" s="590"/>
      <c r="D54" s="590"/>
      <c r="E54" s="590"/>
      <c r="F54" s="590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11" t="str">
        <f>+VLOOKUP($A55,Master!$D$30:$G$226,4,FALSE)</f>
        <v>Otplata dugova</v>
      </c>
      <c r="C55" s="612"/>
      <c r="D55" s="612"/>
      <c r="E55" s="612"/>
      <c r="F55" s="612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607" t="str">
        <f>+VLOOKUP($A56,Master!$D$30:$G$226,4,FALSE)</f>
        <v>Otplata hartija od vrijednosti i kredita rezidentima</v>
      </c>
      <c r="C56" s="608"/>
      <c r="D56" s="608"/>
      <c r="E56" s="608"/>
      <c r="F56" s="608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83" t="str">
        <f>+VLOOKUP($A57,Master!$D$30:$G$226,4,FALSE)</f>
        <v>Otplata hartija od vrijednosti i kredita nerezidentima</v>
      </c>
      <c r="C57" s="584"/>
      <c r="D57" s="584"/>
      <c r="E57" s="584"/>
      <c r="F57" s="584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575" t="str">
        <f>+VLOOKUP($A58,Master!$D$30:$G$226,4,FALSE)</f>
        <v>Izdaci za kupovinu hartija od vrijednosti</v>
      </c>
      <c r="C58" s="576"/>
      <c r="D58" s="576"/>
      <c r="E58" s="576"/>
      <c r="F58" s="576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575" t="str">
        <f>+VLOOKUP($A59,Master!$D$30:$G$226,4,FALSE)</f>
        <v>Pozajmice i krediti</v>
      </c>
      <c r="C59" s="576"/>
      <c r="D59" s="576"/>
      <c r="E59" s="576"/>
      <c r="F59" s="576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609" t="str">
        <f>+VLOOKUP($A60,Master!$D$30:$G$226,4,FALSE)</f>
        <v>Nedostajuća sredstva</v>
      </c>
      <c r="C60" s="610"/>
      <c r="D60" s="610"/>
      <c r="E60" s="610"/>
      <c r="F60" s="610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73" t="str">
        <f>+VLOOKUP($A61,Master!$D$30:$G$226,4,FALSE)</f>
        <v>Finansiranje</v>
      </c>
      <c r="C61" s="574"/>
      <c r="D61" s="574"/>
      <c r="E61" s="574"/>
      <c r="F61" s="574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607" t="str">
        <f>+VLOOKUP($A62,Master!$D$30:$G$226,4,FALSE)</f>
        <v>Pozajmice i krediti od domaćih izvora</v>
      </c>
      <c r="C62" s="608"/>
      <c r="D62" s="608"/>
      <c r="E62" s="608"/>
      <c r="F62" s="608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607" t="str">
        <f>+VLOOKUP($A63,Master!$D$30:$G$226,4,FALSE)</f>
        <v>Pozajmice i krediti od inostranih izvora</v>
      </c>
      <c r="C63" s="608"/>
      <c r="D63" s="608"/>
      <c r="E63" s="608"/>
      <c r="F63" s="608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83" t="str">
        <f>+VLOOKUP($A64,Master!$D$30:$G$226,4,FALSE)</f>
        <v>Primici od prodaje imovine</v>
      </c>
      <c r="C64" s="584"/>
      <c r="D64" s="584"/>
      <c r="E64" s="584"/>
      <c r="F64" s="584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83" t="s">
        <v>101</v>
      </c>
      <c r="C65" s="584"/>
      <c r="D65" s="584"/>
      <c r="E65" s="584"/>
      <c r="F65" s="584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39" t="str">
        <f>+Master!G253</f>
        <v>Plan ostvarenja budžeta</v>
      </c>
      <c r="C83" s="640"/>
      <c r="D83" s="640"/>
      <c r="E83" s="640"/>
      <c r="F83" s="640"/>
      <c r="G83" s="647">
        <v>2022</v>
      </c>
      <c r="H83" s="648"/>
      <c r="I83" s="648"/>
      <c r="J83" s="648"/>
      <c r="K83" s="648"/>
      <c r="L83" s="648"/>
      <c r="M83" s="648"/>
      <c r="N83" s="648"/>
      <c r="O83" s="648"/>
      <c r="P83" s="648"/>
      <c r="Q83" s="648"/>
      <c r="R83" s="649"/>
      <c r="S83" s="96" t="str">
        <f>+S7</f>
        <v>BDP</v>
      </c>
      <c r="T83" s="97">
        <v>5700400000</v>
      </c>
    </row>
    <row r="84" spans="1:26" ht="15.75" customHeight="1">
      <c r="B84" s="641"/>
      <c r="C84" s="642"/>
      <c r="D84" s="642"/>
      <c r="E84" s="642"/>
      <c r="F84" s="643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47" t="str">
        <f>+Master!G247</f>
        <v>Jan - Dec</v>
      </c>
      <c r="T84" s="649">
        <f>+T8</f>
        <v>0</v>
      </c>
    </row>
    <row r="85" spans="1:26" ht="13.5" thickBot="1">
      <c r="B85" s="644"/>
      <c r="C85" s="645"/>
      <c r="D85" s="645"/>
      <c r="E85" s="645"/>
      <c r="F85" s="64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13" t="str">
        <f>+VLOOKUP(LEFT($A86,LEN(A86)-1)*1,Master!$D$30:$G$226,4,FALSE)</f>
        <v>Prihodi budžeta</v>
      </c>
      <c r="C86" s="614"/>
      <c r="D86" s="614"/>
      <c r="E86" s="614"/>
      <c r="F86" s="614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37" t="str">
        <f>+VLOOKUP(LEFT($A87,LEN(A87)-1)*1,Master!$D$30:$G$226,4,FALSE)</f>
        <v>Porezi</v>
      </c>
      <c r="C87" s="638"/>
      <c r="D87" s="638"/>
      <c r="E87" s="638"/>
      <c r="F87" s="638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29" t="str">
        <f>+VLOOKUP(LEFT($A88,LEN(A88)-1)*1,Master!$D$30:$G$229,4,FALSE)</f>
        <v>Porez na dohodak fizičkih lica</v>
      </c>
      <c r="C88" s="630"/>
      <c r="D88" s="630"/>
      <c r="E88" s="630"/>
      <c r="F88" s="630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29" t="str">
        <f>+VLOOKUP(LEFT($A89,LEN(A89)-1)*1,Master!$D$30:$G$229,4,FALSE)</f>
        <v>Porez na dobit pravnih lica</v>
      </c>
      <c r="C89" s="630"/>
      <c r="D89" s="630"/>
      <c r="E89" s="630"/>
      <c r="F89" s="630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29" t="str">
        <f>+VLOOKUP(LEFT($A90,LEN(A90)-1)*1,Master!$D$30:$G$229,4,FALSE)</f>
        <v>Porez na promet nepokretnosti</v>
      </c>
      <c r="C90" s="630"/>
      <c r="D90" s="630"/>
      <c r="E90" s="630"/>
      <c r="F90" s="630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29" t="str">
        <f>+VLOOKUP(LEFT($A91,LEN(A91)-1)*1,Master!$D$30:$G$229,4,FALSE)</f>
        <v>Porez na dodatu vrijednost</v>
      </c>
      <c r="C91" s="630"/>
      <c r="D91" s="630"/>
      <c r="E91" s="630"/>
      <c r="F91" s="630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29" t="str">
        <f>+VLOOKUP(LEFT($A92,LEN(A92)-1)*1,Master!$D$30:$G$229,4,FALSE)</f>
        <v>Akcize</v>
      </c>
      <c r="C92" s="630"/>
      <c r="D92" s="630"/>
      <c r="E92" s="630"/>
      <c r="F92" s="630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29" t="str">
        <f>+VLOOKUP(LEFT($A93,LEN(A93)-1)*1,Master!$D$30:$G$229,4,FALSE)</f>
        <v>Porez na međunarodnu trgovinu i transakcije</v>
      </c>
      <c r="C93" s="630"/>
      <c r="D93" s="630"/>
      <c r="E93" s="630"/>
      <c r="F93" s="630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29" t="str">
        <f>+VLOOKUP(LEFT($A94,LEN(A94)-1)*1,Master!$D$30:$G$229,4,FALSE)</f>
        <v>Ostali državni porezi</v>
      </c>
      <c r="C94" s="630"/>
      <c r="D94" s="630"/>
      <c r="E94" s="630"/>
      <c r="F94" s="630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35" t="str">
        <f>+VLOOKUP(LEFT($A95,LEN(A95)-1)*1,Master!$D$30:$G$229,4,FALSE)</f>
        <v>Doprinosi</v>
      </c>
      <c r="C95" s="636"/>
      <c r="D95" s="636"/>
      <c r="E95" s="636"/>
      <c r="F95" s="636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29" t="str">
        <f>+VLOOKUP(LEFT($A96,LEN(A96)-1)*1,Master!$D$30:$G$229,4,FALSE)</f>
        <v>Doprinosi za penzijsko i invalidsko osiguranje</v>
      </c>
      <c r="C96" s="630"/>
      <c r="D96" s="630"/>
      <c r="E96" s="630"/>
      <c r="F96" s="630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29" t="str">
        <f>+VLOOKUP(LEFT($A97,LEN(A97)-1)*1,Master!$D$30:$G$229,4,FALSE)</f>
        <v>Doprinosi za zdravstveno osiguranje</v>
      </c>
      <c r="C97" s="630"/>
      <c r="D97" s="630"/>
      <c r="E97" s="630"/>
      <c r="F97" s="630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29" t="str">
        <f>+VLOOKUP(LEFT($A98,LEN(A98)-1)*1,Master!$D$30:$G$229,4,FALSE)</f>
        <v>Doprinosi za osiguranje od nezaposlenosti</v>
      </c>
      <c r="C98" s="630"/>
      <c r="D98" s="630"/>
      <c r="E98" s="630"/>
      <c r="F98" s="630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29" t="str">
        <f>+VLOOKUP(LEFT($A99,LEN(A99)-1)*1,Master!$D$30:$G$229,4,FALSE)</f>
        <v>Ostali doprinosi</v>
      </c>
      <c r="C99" s="630"/>
      <c r="D99" s="630"/>
      <c r="E99" s="630"/>
      <c r="F99" s="630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35" t="str">
        <f>+VLOOKUP(LEFT($A100,LEN(A100)-1)*1,Master!$D$30:$G$229,4,FALSE)</f>
        <v>Takse</v>
      </c>
      <c r="C100" s="636"/>
      <c r="D100" s="636"/>
      <c r="E100" s="636"/>
      <c r="F100" s="636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35" t="str">
        <f>+VLOOKUP(LEFT($A101,LEN(A101)-1)*1,Master!$D$30:$G$229,4,FALSE)</f>
        <v>Naknade</v>
      </c>
      <c r="C101" s="636"/>
      <c r="D101" s="636"/>
      <c r="E101" s="636"/>
      <c r="F101" s="636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35" t="str">
        <f>+VLOOKUP(LEFT($A102,LEN(A102)-1)*1,Master!$D$30:$G$229,4,FALSE)</f>
        <v>Ostali prihodi</v>
      </c>
      <c r="C102" s="636"/>
      <c r="D102" s="636"/>
      <c r="E102" s="636"/>
      <c r="F102" s="636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35" t="str">
        <f>+VLOOKUP(LEFT($A103,LEN(A103)-1)*1,Master!$D$30:$G$229,4,FALSE)</f>
        <v>Primici od otplate kredita i sredstva prenesena iz prethodne godine</v>
      </c>
      <c r="C103" s="636"/>
      <c r="D103" s="636"/>
      <c r="E103" s="636"/>
      <c r="F103" s="636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31" t="str">
        <f>+VLOOKUP(LEFT($A104,LEN(A104)-1)*1,Master!$D$30:$G$229,4,FALSE)</f>
        <v>Donacije i transferi</v>
      </c>
      <c r="C104" s="632"/>
      <c r="D104" s="632"/>
      <c r="E104" s="632"/>
      <c r="F104" s="632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13" t="str">
        <f>+VLOOKUP(LEFT($A105,LEN(A105)-1)*1,Master!$D$30:$G$229,4,FALSE)</f>
        <v>Izdaci budžeta</v>
      </c>
      <c r="C105" s="614"/>
      <c r="D105" s="614"/>
      <c r="E105" s="614"/>
      <c r="F105" s="614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33" t="str">
        <f>+VLOOKUP(LEFT($A106,LEN(A106)-1)*1,Master!$D$30:$G$229,4,FALSE)</f>
        <v>Tekući izdaci</v>
      </c>
      <c r="C106" s="634"/>
      <c r="D106" s="634"/>
      <c r="E106" s="634"/>
      <c r="F106" s="634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29" t="str">
        <f>+VLOOKUP(LEFT($A107,LEN(A107)-1)*1,Master!$D$30:$G$229,4,FALSE)</f>
        <v>Bruto zarade i doprinosi na teret poslodavca</v>
      </c>
      <c r="C107" s="630"/>
      <c r="D107" s="630"/>
      <c r="E107" s="630"/>
      <c r="F107" s="630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29" t="str">
        <f>+VLOOKUP(LEFT($A108,LEN(A108)-1)*1,Master!$D$30:$G$229,4,FALSE)</f>
        <v>Ostala lična primanja</v>
      </c>
      <c r="C108" s="630"/>
      <c r="D108" s="630"/>
      <c r="E108" s="630"/>
      <c r="F108" s="630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29" t="str">
        <f>+VLOOKUP(LEFT($A109,LEN(A109)-1)*1,Master!$D$30:$G$229,4,FALSE)</f>
        <v>Rashodi za materijal</v>
      </c>
      <c r="C109" s="630"/>
      <c r="D109" s="630"/>
      <c r="E109" s="630"/>
      <c r="F109" s="630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29" t="str">
        <f>+VLOOKUP(LEFT($A110,LEN(A110)-1)*1,Master!$D$30:$G$229,4,FALSE)</f>
        <v>Rashodi za usluge</v>
      </c>
      <c r="C110" s="630"/>
      <c r="D110" s="630"/>
      <c r="E110" s="630"/>
      <c r="F110" s="630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29" t="str">
        <f>+VLOOKUP(LEFT($A111,LEN(A111)-1)*1,Master!$D$30:$G$229,4,FALSE)</f>
        <v>Rashodi za tekuće održavanje</v>
      </c>
      <c r="C111" s="630"/>
      <c r="D111" s="630"/>
      <c r="E111" s="630"/>
      <c r="F111" s="630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29" t="str">
        <f>+VLOOKUP(LEFT($A112,LEN(A112)-1)*1,Master!$D$30:$G$229,4,FALSE)</f>
        <v>Kamate</v>
      </c>
      <c r="C112" s="630"/>
      <c r="D112" s="630"/>
      <c r="E112" s="630"/>
      <c r="F112" s="630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29" t="str">
        <f>+VLOOKUP(LEFT($A113,LEN(A113)-1)*1,Master!$D$30:$G$229,4,FALSE)</f>
        <v>Renta</v>
      </c>
      <c r="C113" s="630"/>
      <c r="D113" s="630"/>
      <c r="E113" s="630"/>
      <c r="F113" s="630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29" t="str">
        <f>+VLOOKUP(LEFT($A114,LEN(A114)-1)*1,Master!$D$30:$G$229,4,FALSE)</f>
        <v>Subvencije</v>
      </c>
      <c r="C114" s="630"/>
      <c r="D114" s="630"/>
      <c r="E114" s="630"/>
      <c r="F114" s="630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29" t="str">
        <f>+VLOOKUP(LEFT($A115,LEN(A115)-1)*1,Master!$D$30:$G$229,4,FALSE)</f>
        <v>Ostali izdaci</v>
      </c>
      <c r="C115" s="630"/>
      <c r="D115" s="630"/>
      <c r="E115" s="630"/>
      <c r="F115" s="630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25" t="str">
        <f>+VLOOKUP(LEFT($A116,LEN(A116)-1)*1,Master!$D$30:$G$229,4,FALSE)</f>
        <v>Transferi za socijalnu zaštitu</v>
      </c>
      <c r="C116" s="626"/>
      <c r="D116" s="626"/>
      <c r="E116" s="626"/>
      <c r="F116" s="626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29" t="str">
        <f>+VLOOKUP(LEFT($A117,LEN(A117)-1)*1,Master!$D$30:$G$229,4,FALSE)</f>
        <v>Prava iz oblasti socijalne zaštite</v>
      </c>
      <c r="C117" s="630"/>
      <c r="D117" s="630"/>
      <c r="E117" s="630"/>
      <c r="F117" s="630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29" t="str">
        <f>+VLOOKUP(LEFT($A118,LEN(A118)-1)*1,Master!$D$30:$G$229,4,FALSE)</f>
        <v>Sredstva za tehnološke viškove</v>
      </c>
      <c r="C118" s="630"/>
      <c r="D118" s="630"/>
      <c r="E118" s="630"/>
      <c r="F118" s="630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29" t="str">
        <f>+VLOOKUP(LEFT($A119,LEN(A119)-1)*1,Master!$D$30:$G$229,4,FALSE)</f>
        <v>Prava iz oblasti penzijskog i invalidskog osiguranja</v>
      </c>
      <c r="C119" s="630"/>
      <c r="D119" s="630"/>
      <c r="E119" s="630"/>
      <c r="F119" s="630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29" t="str">
        <f>+VLOOKUP(LEFT($A120,LEN(A120)-1)*1,Master!$D$30:$G$229,4,FALSE)</f>
        <v>Ostala prava iz oblasti zdravstvene zaštite</v>
      </c>
      <c r="C120" s="630"/>
      <c r="D120" s="630"/>
      <c r="E120" s="630"/>
      <c r="F120" s="630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29" t="str">
        <f>+VLOOKUP(LEFT($A121,LEN(A121)-1)*1,Master!$D$30:$G$229,4,FALSE)</f>
        <v>Ostala prava iz zdravstvenog osiguranja</v>
      </c>
      <c r="C121" s="630"/>
      <c r="D121" s="630"/>
      <c r="E121" s="630"/>
      <c r="F121" s="630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27" t="str">
        <f>+VLOOKUP(LEFT($A122,LEN(A122)-1)*1,Master!$D$30:$G$229,4,FALSE)</f>
        <v xml:space="preserve">Transferi institucijama, pojedincima, nevladinom i javnom sektoru </v>
      </c>
      <c r="C122" s="628"/>
      <c r="D122" s="628"/>
      <c r="E122" s="628"/>
      <c r="F122" s="628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27" t="str">
        <f>+VLOOKUP(LEFT($A123,LEN(A123)-1)*1,Master!$D$30:$G$229,4,FALSE)</f>
        <v>Kapitalni izdaci</v>
      </c>
      <c r="C123" s="628"/>
      <c r="D123" s="628"/>
      <c r="E123" s="628"/>
      <c r="F123" s="628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19" t="str">
        <f>+VLOOKUP(LEFT($A124,LEN(A124)-1)*1,Master!$D$30:$G$229,4,FALSE)</f>
        <v>Pozajmice i krediti</v>
      </c>
      <c r="C124" s="620"/>
      <c r="D124" s="620"/>
      <c r="E124" s="620"/>
      <c r="F124" s="620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19" t="str">
        <f>+VLOOKUP(LEFT($A125,LEN(A125)-1)*1,Master!$D$30:$G$229,4,FALSE)</f>
        <v>Rezerve</v>
      </c>
      <c r="C125" s="620"/>
      <c r="D125" s="620"/>
      <c r="E125" s="620"/>
      <c r="F125" s="620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19" t="str">
        <f>+VLOOKUP(LEFT($A126,LEN(A126)-1)*1,Master!$D$30:$G$229,4,FALSE)</f>
        <v>Otplata garancija</v>
      </c>
      <c r="C126" s="620"/>
      <c r="D126" s="620"/>
      <c r="E126" s="620"/>
      <c r="F126" s="620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19" t="str">
        <f>+VLOOKUP(LEFT($A127,LEN(A127)-1)*1,Master!$D$30:$G$229,4,FALSE)</f>
        <v>Otplata obaveza iz prethodnog perioda</v>
      </c>
      <c r="C127" s="620"/>
      <c r="D127" s="620"/>
      <c r="E127" s="620"/>
      <c r="F127" s="620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19" t="str">
        <f>+VLOOKUP(LEFT($A128,LEN(A128)-1)*1,Master!$D$30:$G$229,4,FALSE)</f>
        <v>Neto povećanje obaveza</v>
      </c>
      <c r="C128" s="620"/>
      <c r="D128" s="620"/>
      <c r="E128" s="620"/>
      <c r="F128" s="620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21" t="str">
        <f>+VLOOKUP(LEFT($A129,LEN(A129)-1)*1,Master!$D$30:$G$226,4,FALSE)</f>
        <v>Suficit / deficit</v>
      </c>
      <c r="C129" s="622"/>
      <c r="D129" s="622"/>
      <c r="E129" s="622"/>
      <c r="F129" s="622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23" t="str">
        <f>+VLOOKUP(LEFT($A130,LEN(A130)-1)*1,Master!$D$30:$G$226,4,FALSE)</f>
        <v>Primarni suficit/deficit</v>
      </c>
      <c r="C130" s="624"/>
      <c r="D130" s="624"/>
      <c r="E130" s="624"/>
      <c r="F130" s="624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25" t="str">
        <f>+VLOOKUP(LEFT($A131,LEN(A131)-1)*1,Master!$D$30:$G$226,4,FALSE)</f>
        <v>Otplata dugova</v>
      </c>
      <c r="C131" s="626"/>
      <c r="D131" s="626"/>
      <c r="E131" s="626"/>
      <c r="F131" s="626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17" t="str">
        <f>+VLOOKUP(LEFT($A132,LEN(A132)-1)*1,Master!$D$30:$G$226,4,FALSE)</f>
        <v>Otplata hartija od vrijednosti i kredita rezidentima</v>
      </c>
      <c r="C132" s="618"/>
      <c r="D132" s="618"/>
      <c r="E132" s="618"/>
      <c r="F132" s="618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19" t="str">
        <f>+VLOOKUP(LEFT($A133,LEN(A133)-1)*1,Master!$D$30:$G$226,4,FALSE)</f>
        <v>Otplata hartija od vrijednosti i kredita nerezidentima</v>
      </c>
      <c r="C133" s="620"/>
      <c r="D133" s="620"/>
      <c r="E133" s="620"/>
      <c r="F133" s="620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13" t="str">
        <f>+VLOOKUP(LEFT($A134,LEN(A134)-1)*1,Master!$D$30:$G$226,4,FALSE)</f>
        <v>Izdaci za kupovinu hartija od vrijednosti</v>
      </c>
      <c r="C134" s="614"/>
      <c r="D134" s="614"/>
      <c r="E134" s="614"/>
      <c r="F134" s="614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15" t="str">
        <f>+VLOOKUP(LEFT($A135,LEN(A135)-1)*1,Master!$D$30:$G$226,4,FALSE)</f>
        <v>Nedostajuća sredstva</v>
      </c>
      <c r="C135" s="616"/>
      <c r="D135" s="616"/>
      <c r="E135" s="616"/>
      <c r="F135" s="616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13" t="str">
        <f>+VLOOKUP(LEFT($A136,LEN(A136)-1)*1,Master!$D$30:$G$226,4,FALSE)</f>
        <v>Finansiranje</v>
      </c>
      <c r="C136" s="614"/>
      <c r="D136" s="614"/>
      <c r="E136" s="614"/>
      <c r="F136" s="614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17" t="str">
        <f>+VLOOKUP(LEFT($A137,LEN(A137)-1)*1,Master!$D$30:$G$226,4,FALSE)</f>
        <v>Pozajmice i krediti od domaćih izvora</v>
      </c>
      <c r="C137" s="618"/>
      <c r="D137" s="618"/>
      <c r="E137" s="618"/>
      <c r="F137" s="618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19" t="str">
        <f>+VLOOKUP(LEFT($A138,LEN(A138)-1)*1,Master!$D$30:$G$226,4,FALSE)</f>
        <v>Pozajmice i krediti od inostranih izvora</v>
      </c>
      <c r="C138" s="620"/>
      <c r="D138" s="620"/>
      <c r="E138" s="620"/>
      <c r="F138" s="620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19" t="str">
        <f>+VLOOKUP(LEFT($A139,LEN(A139)-1)*1,Master!$D$30:$G$226,4,FALSE)</f>
        <v>Primici od prodaje imovine</v>
      </c>
      <c r="C139" s="620"/>
      <c r="D139" s="620"/>
      <c r="E139" s="620"/>
      <c r="F139" s="620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93" t="str">
        <f>+Master!G252</f>
        <v>Ostvarenje budžeta</v>
      </c>
      <c r="C7" s="594"/>
      <c r="D7" s="594"/>
      <c r="E7" s="594"/>
      <c r="F7" s="594"/>
      <c r="G7" s="602">
        <v>2021</v>
      </c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6"/>
      <c r="S7" s="220" t="str">
        <f>+Master!G249</f>
        <v>BDP</v>
      </c>
      <c r="T7" s="221">
        <v>4955116000</v>
      </c>
    </row>
    <row r="8" spans="1:22" ht="16.5" customHeight="1">
      <c r="A8" s="129"/>
      <c r="B8" s="595"/>
      <c r="C8" s="596"/>
      <c r="D8" s="596"/>
      <c r="E8" s="596"/>
      <c r="F8" s="597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2" t="str">
        <f>+Master!G247</f>
        <v>Jan - Dec</v>
      </c>
      <c r="T8" s="606"/>
    </row>
    <row r="9" spans="1:22" ht="13.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561" t="str">
        <f>+VLOOKUP($A10,Master!$D$30:$G$226,4,FALSE)</f>
        <v>Prihodi budžeta</v>
      </c>
      <c r="C10" s="562"/>
      <c r="D10" s="562"/>
      <c r="E10" s="562"/>
      <c r="F10" s="562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563" t="str">
        <f>+VLOOKUP($A11,Master!$D$30:$G$226,4,FALSE)</f>
        <v>Porezi</v>
      </c>
      <c r="C11" s="564"/>
      <c r="D11" s="564"/>
      <c r="E11" s="564"/>
      <c r="F11" s="564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65" t="str">
        <f>+VLOOKUP($A12,Master!$D$30:$G$226,4,FALSE)</f>
        <v>Porez na dohodak fizičkih lica</v>
      </c>
      <c r="C12" s="566"/>
      <c r="D12" s="566"/>
      <c r="E12" s="566"/>
      <c r="F12" s="566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65" t="str">
        <f>+VLOOKUP($A13,Master!$D$30:$G$226,4,FALSE)</f>
        <v>Porez na dobit pravnih lica</v>
      </c>
      <c r="C13" s="566"/>
      <c r="D13" s="566"/>
      <c r="E13" s="566"/>
      <c r="F13" s="566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65" t="str">
        <f>+VLOOKUP($A14,Master!$D$30:$G$226,4,FALSE)</f>
        <v>Porez na promet nepokretnosti</v>
      </c>
      <c r="C14" s="566"/>
      <c r="D14" s="566"/>
      <c r="E14" s="566"/>
      <c r="F14" s="566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65" t="str">
        <f>+VLOOKUP($A15,Master!$D$30:$G$226,4,FALSE)</f>
        <v>Porez na dodatu vrijednost</v>
      </c>
      <c r="C15" s="566"/>
      <c r="D15" s="566"/>
      <c r="E15" s="566"/>
      <c r="F15" s="566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65" t="str">
        <f>+VLOOKUP($A16,Master!$D$30:$G$226,4,FALSE)</f>
        <v>Akcize</v>
      </c>
      <c r="C16" s="566"/>
      <c r="D16" s="566"/>
      <c r="E16" s="566"/>
      <c r="F16" s="566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65" t="str">
        <f>+VLOOKUP($A17,Master!$D$30:$G$226,4,FALSE)</f>
        <v>Porez na međunarodnu trgovinu i transakcije</v>
      </c>
      <c r="C17" s="566"/>
      <c r="D17" s="566"/>
      <c r="E17" s="566"/>
      <c r="F17" s="566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65" t="str">
        <f>+VLOOKUP($A18,Master!$D$30:$G$226,4,FALSE)</f>
        <v>Ostali državni porezi</v>
      </c>
      <c r="C18" s="566"/>
      <c r="D18" s="566"/>
      <c r="E18" s="566"/>
      <c r="F18" s="566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569" t="str">
        <f>+VLOOKUP($A19,Master!$D$30:$G$226,4,FALSE)</f>
        <v>Doprinosi</v>
      </c>
      <c r="C19" s="570"/>
      <c r="D19" s="570"/>
      <c r="E19" s="570"/>
      <c r="F19" s="570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65" t="str">
        <f>+VLOOKUP($A20,Master!$D$30:$G$226,4,FALSE)</f>
        <v>Doprinosi za penzijsko i invalidsko osiguranje</v>
      </c>
      <c r="C20" s="566"/>
      <c r="D20" s="566"/>
      <c r="E20" s="566"/>
      <c r="F20" s="566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65" t="str">
        <f>+VLOOKUP($A21,Master!$D$30:$G$226,4,FALSE)</f>
        <v>Doprinosi za zdravstveno osiguranje</v>
      </c>
      <c r="C21" s="566"/>
      <c r="D21" s="566"/>
      <c r="E21" s="566"/>
      <c r="F21" s="566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65" t="str">
        <f>+VLOOKUP($A22,Master!$D$30:$G$226,4,FALSE)</f>
        <v>Doprinosi za osiguranje od nezaposlenosti</v>
      </c>
      <c r="C22" s="566"/>
      <c r="D22" s="566"/>
      <c r="E22" s="566"/>
      <c r="F22" s="566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65" t="str">
        <f>+VLOOKUP($A23,Master!$D$30:$G$226,4,FALSE)</f>
        <v>Ostali doprinosi</v>
      </c>
      <c r="C23" s="566"/>
      <c r="D23" s="566"/>
      <c r="E23" s="566"/>
      <c r="F23" s="566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67" t="str">
        <f>+VLOOKUP($A24,Master!$D$30:$G$226,4,FALSE)</f>
        <v>Takse</v>
      </c>
      <c r="C24" s="568"/>
      <c r="D24" s="568"/>
      <c r="E24" s="568"/>
      <c r="F24" s="568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67" t="str">
        <f>+VLOOKUP($A25,Master!$D$30:$G$226,4,FALSE)</f>
        <v>Naknade</v>
      </c>
      <c r="C25" s="568"/>
      <c r="D25" s="568"/>
      <c r="E25" s="568"/>
      <c r="F25" s="568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67" t="str">
        <f>+VLOOKUP($A26,Master!$D$30:$G$226,4,FALSE)</f>
        <v>Ostali prihodi</v>
      </c>
      <c r="C26" s="568"/>
      <c r="D26" s="568"/>
      <c r="E26" s="568"/>
      <c r="F26" s="568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67" t="str">
        <f>+VLOOKUP($A27,Master!$D$30:$G$226,4,FALSE)</f>
        <v>Primici od otplate kredita i sredstva prenesena iz prethodne godine</v>
      </c>
      <c r="C27" s="568"/>
      <c r="D27" s="568"/>
      <c r="E27" s="568"/>
      <c r="F27" s="568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71" t="str">
        <f>+VLOOKUP($A28,Master!$D$30:$G$226,4,FALSE)</f>
        <v>Donacije i transferi</v>
      </c>
      <c r="C28" s="572"/>
      <c r="D28" s="572"/>
      <c r="E28" s="572"/>
      <c r="F28" s="572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73" t="str">
        <f>+VLOOKUP($A29,Master!$D$30:$G$226,4,FALSE)</f>
        <v>Izdaci budžeta</v>
      </c>
      <c r="C29" s="574"/>
      <c r="D29" s="574"/>
      <c r="E29" s="574"/>
      <c r="F29" s="574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577" t="str">
        <f>+VLOOKUP($A30,Master!$D$30:$G$226,4,FALSE)</f>
        <v>Tekući izdaci</v>
      </c>
      <c r="C30" s="578"/>
      <c r="D30" s="578"/>
      <c r="E30" s="578"/>
      <c r="F30" s="578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65" t="str">
        <f>+VLOOKUP($A31,Master!$D$30:$G$226,4,FALSE)</f>
        <v>Bruto zarade i doprinosi na teret poslodavca</v>
      </c>
      <c r="C31" s="566"/>
      <c r="D31" s="566"/>
      <c r="E31" s="566"/>
      <c r="F31" s="566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65" t="str">
        <f>+VLOOKUP($A32,Master!$D$30:$G$226,4,FALSE)</f>
        <v>Ostala lična primanja</v>
      </c>
      <c r="C32" s="566"/>
      <c r="D32" s="566"/>
      <c r="E32" s="566"/>
      <c r="F32" s="566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65" t="str">
        <f>+VLOOKUP($A33,Master!$D$30:$G$226,4,FALSE)</f>
        <v>Rashodi za materijal</v>
      </c>
      <c r="C33" s="566"/>
      <c r="D33" s="566"/>
      <c r="E33" s="566"/>
      <c r="F33" s="566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60" t="str">
        <f>+VLOOKUP($A34,Master!$D$30:$G$226,4,FALSE)</f>
        <v>Rashodi za usluge</v>
      </c>
      <c r="C34" s="661"/>
      <c r="D34" s="661"/>
      <c r="E34" s="661"/>
      <c r="F34" s="661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65" t="str">
        <f>+VLOOKUP($A35,Master!$D$30:$G$226,4,FALSE)</f>
        <v>Rashodi za tekuće održavanje</v>
      </c>
      <c r="C35" s="566"/>
      <c r="D35" s="566"/>
      <c r="E35" s="566"/>
      <c r="F35" s="566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65" t="str">
        <f>+VLOOKUP($A36,Master!$D$30:$G$226,4,FALSE)</f>
        <v>Kamate</v>
      </c>
      <c r="C36" s="566"/>
      <c r="D36" s="566"/>
      <c r="E36" s="566"/>
      <c r="F36" s="566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65" t="str">
        <f>+VLOOKUP($A37,Master!$D$30:$G$226,4,FALSE)</f>
        <v>Renta</v>
      </c>
      <c r="C37" s="566"/>
      <c r="D37" s="566"/>
      <c r="E37" s="566"/>
      <c r="F37" s="566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65" t="str">
        <f>+VLOOKUP($A38,Master!$D$30:$G$226,4,FALSE)</f>
        <v>Subvencije</v>
      </c>
      <c r="C38" s="566"/>
      <c r="D38" s="566"/>
      <c r="E38" s="566"/>
      <c r="F38" s="566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60" t="str">
        <f>+VLOOKUP($A39,Master!$D$30:$G$226,4,FALSE)</f>
        <v>Ostali izdaci</v>
      </c>
      <c r="C39" s="661"/>
      <c r="D39" s="661"/>
      <c r="E39" s="661"/>
      <c r="F39" s="661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81" t="str">
        <f>+VLOOKUP($A40,Master!$D$30:$G$226,4,FALSE)</f>
        <v>Transferi za socijalnu zaštitu</v>
      </c>
      <c r="C40" s="582"/>
      <c r="D40" s="582"/>
      <c r="E40" s="582"/>
      <c r="F40" s="582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65" t="str">
        <f>+VLOOKUP($A41,Master!$D$30:$G$226,4,FALSE)</f>
        <v>Prava iz oblasti socijalne zaštite</v>
      </c>
      <c r="C41" s="566"/>
      <c r="D41" s="566"/>
      <c r="E41" s="566"/>
      <c r="F41" s="566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65" t="str">
        <f>+VLOOKUP($A42,Master!$D$30:$G$226,4,FALSE)</f>
        <v>Sredstva za tehnološke viškove</v>
      </c>
      <c r="C42" s="566"/>
      <c r="D42" s="566"/>
      <c r="E42" s="566"/>
      <c r="F42" s="566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65" t="str">
        <f>+VLOOKUP($A43,Master!$D$30:$G$226,4,FALSE)</f>
        <v>Prava iz oblasti penzijskog i invalidskog osiguranja</v>
      </c>
      <c r="C43" s="566"/>
      <c r="D43" s="566"/>
      <c r="E43" s="566"/>
      <c r="F43" s="566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65" t="str">
        <f>+VLOOKUP($A44,Master!$D$30:$G$226,4,FALSE)</f>
        <v>Ostala prava iz oblasti zdravstvene zaštite</v>
      </c>
      <c r="C44" s="566"/>
      <c r="D44" s="566"/>
      <c r="E44" s="566"/>
      <c r="F44" s="566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56" t="str">
        <f>+VLOOKUP($A45,Master!$D$30:$G$226,4,FALSE)</f>
        <v>Ostala prava iz zdravstvenog osiguranja</v>
      </c>
      <c r="C45" s="657"/>
      <c r="D45" s="657"/>
      <c r="E45" s="657"/>
      <c r="F45" s="657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79" t="str">
        <f>+VLOOKUP($A46,Master!$D$30:$G$226,4,FALSE)</f>
        <v xml:space="preserve">Transferi institucijama, pojedincima, nevladinom i javnom sektoru </v>
      </c>
      <c r="C46" s="580"/>
      <c r="D46" s="580"/>
      <c r="E46" s="580"/>
      <c r="F46" s="580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79" t="str">
        <f>+VLOOKUP($A47,Master!$D$30:$G$226,4,FALSE)</f>
        <v>Kapitalni izdaci</v>
      </c>
      <c r="C47" s="580"/>
      <c r="D47" s="580"/>
      <c r="E47" s="580"/>
      <c r="F47" s="580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58" t="str">
        <f>+VLOOKUP($A48,Master!$D$30:$G$226,4,FALSE)</f>
        <v>Pozajmice i krediti</v>
      </c>
      <c r="C48" s="659"/>
      <c r="D48" s="659"/>
      <c r="E48" s="659"/>
      <c r="F48" s="659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50" t="str">
        <f>+VLOOKUP($A49,Master!$D$30:$G$226,4,FALSE)</f>
        <v>Rezerve</v>
      </c>
      <c r="C49" s="651"/>
      <c r="D49" s="651"/>
      <c r="E49" s="651"/>
      <c r="F49" s="651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85" t="str">
        <f>+VLOOKUP($A50,Master!$D$30:$G$226,4,FALSE)</f>
        <v>Otplata garancija</v>
      </c>
      <c r="C50" s="586"/>
      <c r="D50" s="586"/>
      <c r="E50" s="586"/>
      <c r="F50" s="586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52" t="str">
        <f>+VLOOKUP($A51,Master!$D$30:$G$226,4,TRUE)</f>
        <v>Otplata obaveza iz prethodnog perioda</v>
      </c>
      <c r="C51" s="653"/>
      <c r="D51" s="653"/>
      <c r="E51" s="653"/>
      <c r="F51" s="653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54" t="str">
        <f>+VLOOKUP($A52,Master!$D$30:$G$228,4,FALSE)</f>
        <v>Neto povećanje obaveza</v>
      </c>
      <c r="C52" s="655"/>
      <c r="D52" s="655"/>
      <c r="E52" s="655"/>
      <c r="F52" s="655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87" t="str">
        <f>+VLOOKUP($A53,Master!$D$30:$G$226,4,FALSE)</f>
        <v>Suficit / deficit</v>
      </c>
      <c r="C53" s="588"/>
      <c r="D53" s="588"/>
      <c r="E53" s="588"/>
      <c r="F53" s="588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89" t="str">
        <f>+VLOOKUP($A54,Master!$D$30:$G$226,4,FALSE)</f>
        <v>Primarni suficit/deficit</v>
      </c>
      <c r="C54" s="590"/>
      <c r="D54" s="590"/>
      <c r="E54" s="590"/>
      <c r="F54" s="590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11" t="str">
        <f>+VLOOKUP($A55,Master!$D$30:$G$226,4,FALSE)</f>
        <v>Otplata dugova</v>
      </c>
      <c r="C55" s="612"/>
      <c r="D55" s="612"/>
      <c r="E55" s="612"/>
      <c r="F55" s="612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607" t="str">
        <f>+VLOOKUP($A56,Master!$D$30:$G$226,4,FALSE)</f>
        <v>Otplata hartija od vrijednosti i kredita rezidentima</v>
      </c>
      <c r="C56" s="608"/>
      <c r="D56" s="608"/>
      <c r="E56" s="608"/>
      <c r="F56" s="608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83" t="str">
        <f>+VLOOKUP($A57,Master!$D$30:$G$226,4,FALSE)</f>
        <v>Otplata hartija od vrijednosti i kredita nerezidentima</v>
      </c>
      <c r="C57" s="584"/>
      <c r="D57" s="584"/>
      <c r="E57" s="584"/>
      <c r="F57" s="584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575" t="str">
        <f>+VLOOKUP($A58,Master!$D$30:$G$226,4,FALSE)</f>
        <v>Izdaci za kupovinu hartija od vrijednosti</v>
      </c>
      <c r="C58" s="576"/>
      <c r="D58" s="576"/>
      <c r="E58" s="576"/>
      <c r="F58" s="576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609" t="str">
        <f>+VLOOKUP($A59,Master!$D$30:$G$226,4,FALSE)</f>
        <v>Nedostajuća sredstva</v>
      </c>
      <c r="C59" s="610"/>
      <c r="D59" s="610"/>
      <c r="E59" s="610"/>
      <c r="F59" s="610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73" t="str">
        <f>+VLOOKUP($A60,Master!$D$30:$G$226,4,FALSE)</f>
        <v>Finansiranje</v>
      </c>
      <c r="C60" s="574"/>
      <c r="D60" s="574"/>
      <c r="E60" s="574"/>
      <c r="F60" s="574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607" t="str">
        <f>+VLOOKUP($A61,Master!$D$30:$G$226,4,FALSE)</f>
        <v>Pozajmice i krediti od domaćih izvora</v>
      </c>
      <c r="C61" s="608"/>
      <c r="D61" s="608"/>
      <c r="E61" s="608"/>
      <c r="F61" s="608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83" t="str">
        <f>+VLOOKUP($A62,Master!$D$30:$G$226,4,FALSE)</f>
        <v>Pozajmice i krediti od inostranih izvora</v>
      </c>
      <c r="C62" s="584"/>
      <c r="D62" s="584"/>
      <c r="E62" s="584"/>
      <c r="F62" s="584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83" t="str">
        <f>+VLOOKUP($A63,Master!$D$30:$G$226,4,FALSE)</f>
        <v>Primici od prodaje imovine</v>
      </c>
      <c r="C63" s="584"/>
      <c r="D63" s="584"/>
      <c r="E63" s="584"/>
      <c r="F63" s="584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39" t="str">
        <f>+Master!G253</f>
        <v>Plan ostvarenja budžeta</v>
      </c>
      <c r="C81" s="640"/>
      <c r="D81" s="640"/>
      <c r="E81" s="640"/>
      <c r="F81" s="640"/>
      <c r="G81" s="647">
        <v>2021</v>
      </c>
      <c r="H81" s="648"/>
      <c r="I81" s="648"/>
      <c r="J81" s="648"/>
      <c r="K81" s="648"/>
      <c r="L81" s="648"/>
      <c r="M81" s="648"/>
      <c r="N81" s="648"/>
      <c r="O81" s="648"/>
      <c r="P81" s="648"/>
      <c r="Q81" s="648"/>
      <c r="R81" s="649"/>
      <c r="S81" s="96" t="str">
        <f>+S7</f>
        <v>BDP</v>
      </c>
      <c r="T81" s="97">
        <v>4636600000</v>
      </c>
    </row>
    <row r="82" spans="1:21" ht="15.75" customHeight="1">
      <c r="B82" s="641"/>
      <c r="C82" s="642"/>
      <c r="D82" s="642"/>
      <c r="E82" s="642"/>
      <c r="F82" s="643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47" t="str">
        <f>+Master!G247</f>
        <v>Jan - Dec</v>
      </c>
      <c r="T82" s="649">
        <f>+T8</f>
        <v>0</v>
      </c>
    </row>
    <row r="83" spans="1:21" ht="13.5" thickBot="1">
      <c r="B83" s="644"/>
      <c r="C83" s="645"/>
      <c r="D83" s="645"/>
      <c r="E83" s="645"/>
      <c r="F83" s="646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62" t="str">
        <f>+VLOOKUP(LEFT($A84,LEN(A84)-1)*1,Master!$D$30:$G$226,4,FALSE)</f>
        <v>Prihodi budžeta</v>
      </c>
      <c r="C84" s="663"/>
      <c r="D84" s="663"/>
      <c r="E84" s="663"/>
      <c r="F84" s="663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37" t="str">
        <f>+VLOOKUP(LEFT($A85,LEN(A85)-1)*1,Master!$D$30:$G$226,4,FALSE)</f>
        <v>Porezi</v>
      </c>
      <c r="C85" s="638"/>
      <c r="D85" s="638"/>
      <c r="E85" s="638"/>
      <c r="F85" s="638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29" t="str">
        <f>+VLOOKUP(LEFT($A86,LEN(A86)-1)*1,Master!$D$30:$G$229,4,FALSE)</f>
        <v>Porez na dohodak fizičkih lica</v>
      </c>
      <c r="C86" s="630"/>
      <c r="D86" s="630"/>
      <c r="E86" s="630"/>
      <c r="F86" s="630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29" t="str">
        <f>+VLOOKUP(LEFT($A87,LEN(A87)-1)*1,Master!$D$30:$G$229,4,FALSE)</f>
        <v>Porez na dobit pravnih lica</v>
      </c>
      <c r="C87" s="630"/>
      <c r="D87" s="630"/>
      <c r="E87" s="630"/>
      <c r="F87" s="630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29" t="str">
        <f>+VLOOKUP(LEFT($A88,LEN(A88)-1)*1,Master!$D$30:$G$229,4,FALSE)</f>
        <v>Porez na promet nepokretnosti</v>
      </c>
      <c r="C88" s="630"/>
      <c r="D88" s="630"/>
      <c r="E88" s="630"/>
      <c r="F88" s="630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29" t="str">
        <f>+VLOOKUP(LEFT($A89,LEN(A89)-1)*1,Master!$D$30:$G$229,4,FALSE)</f>
        <v>Porez na dodatu vrijednost</v>
      </c>
      <c r="C89" s="630"/>
      <c r="D89" s="630"/>
      <c r="E89" s="630"/>
      <c r="F89" s="630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29" t="str">
        <f>+VLOOKUP(LEFT($A90,LEN(A90)-1)*1,Master!$D$30:$G$229,4,FALSE)</f>
        <v>Akcize</v>
      </c>
      <c r="C90" s="630"/>
      <c r="D90" s="630"/>
      <c r="E90" s="630"/>
      <c r="F90" s="630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29" t="str">
        <f>+VLOOKUP(LEFT($A91,LEN(A91)-1)*1,Master!$D$30:$G$229,4,FALSE)</f>
        <v>Porez na međunarodnu trgovinu i transakcije</v>
      </c>
      <c r="C91" s="630"/>
      <c r="D91" s="630"/>
      <c r="E91" s="630"/>
      <c r="F91" s="630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29" t="str">
        <f>+VLOOKUP(LEFT($A92,LEN(A92)-1)*1,Master!$D$30:$G$229,4,FALSE)</f>
        <v>Ostali državni porezi</v>
      </c>
      <c r="C92" s="630"/>
      <c r="D92" s="630"/>
      <c r="E92" s="630"/>
      <c r="F92" s="630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64" t="str">
        <f>+VLOOKUP(LEFT($A93,LEN(A93)-1)*1,Master!$D$30:$G$229,4,FALSE)</f>
        <v>Doprinosi</v>
      </c>
      <c r="C93" s="665"/>
      <c r="D93" s="665"/>
      <c r="E93" s="665"/>
      <c r="F93" s="665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29" t="str">
        <f>+VLOOKUP(LEFT($A94,LEN(A94)-1)*1,Master!$D$30:$G$229,4,FALSE)</f>
        <v>Doprinosi za penzijsko i invalidsko osiguranje</v>
      </c>
      <c r="C94" s="630"/>
      <c r="D94" s="630"/>
      <c r="E94" s="630"/>
      <c r="F94" s="630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29" t="str">
        <f>+VLOOKUP(LEFT($A95,LEN(A95)-1)*1,Master!$D$30:$G$229,4,FALSE)</f>
        <v>Doprinosi za zdravstveno osiguranje</v>
      </c>
      <c r="C95" s="630"/>
      <c r="D95" s="630"/>
      <c r="E95" s="630"/>
      <c r="F95" s="630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29" t="str">
        <f>+VLOOKUP(LEFT($A96,LEN(A96)-1)*1,Master!$D$30:$G$229,4,FALSE)</f>
        <v>Doprinosi za osiguranje od nezaposlenosti</v>
      </c>
      <c r="C96" s="630"/>
      <c r="D96" s="630"/>
      <c r="E96" s="630"/>
      <c r="F96" s="630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29" t="str">
        <f>+VLOOKUP(LEFT($A97,LEN(A97)-1)*1,Master!$D$30:$G$229,4,FALSE)</f>
        <v>Ostali doprinosi</v>
      </c>
      <c r="C97" s="630"/>
      <c r="D97" s="630"/>
      <c r="E97" s="630"/>
      <c r="F97" s="630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35" t="str">
        <f>+VLOOKUP(LEFT($A98,LEN(A98)-1)*1,Master!$D$30:$G$229,4,FALSE)</f>
        <v>Takse</v>
      </c>
      <c r="C98" s="636"/>
      <c r="D98" s="636"/>
      <c r="E98" s="636"/>
      <c r="F98" s="636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35" t="str">
        <f>+VLOOKUP(LEFT($A99,LEN(A99)-1)*1,Master!$D$30:$G$229,4,FALSE)</f>
        <v>Naknade</v>
      </c>
      <c r="C99" s="636"/>
      <c r="D99" s="636"/>
      <c r="E99" s="636"/>
      <c r="F99" s="636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35" t="str">
        <f>+VLOOKUP(LEFT($A100,LEN(A100)-1)*1,Master!$D$30:$G$229,4,FALSE)</f>
        <v>Ostali prihodi</v>
      </c>
      <c r="C100" s="636"/>
      <c r="D100" s="636"/>
      <c r="E100" s="636"/>
      <c r="F100" s="636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35" t="str">
        <f>+VLOOKUP(LEFT($A101,LEN(A101)-1)*1,Master!$D$30:$G$229,4,FALSE)</f>
        <v>Primici od otplate kredita i sredstva prenesena iz prethodne godine</v>
      </c>
      <c r="C101" s="636"/>
      <c r="D101" s="636"/>
      <c r="E101" s="636"/>
      <c r="F101" s="636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31" t="str">
        <f>+VLOOKUP(LEFT($A102,LEN(A102)-1)*1,Master!$D$30:$G$229,4,FALSE)</f>
        <v>Donacije i transferi</v>
      </c>
      <c r="C102" s="632"/>
      <c r="D102" s="632"/>
      <c r="E102" s="632"/>
      <c r="F102" s="632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13" t="str">
        <f>+VLOOKUP(LEFT($A103,LEN(A103)-1)*1,Master!$D$30:$G$229,4,FALSE)</f>
        <v>Izdaci budžeta</v>
      </c>
      <c r="C103" s="614"/>
      <c r="D103" s="614"/>
      <c r="E103" s="614"/>
      <c r="F103" s="614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33" t="str">
        <f>+VLOOKUP(LEFT($A104,LEN(A104)-1)*1,Master!$D$30:$G$229,4,FALSE)</f>
        <v>Tekući izdaci</v>
      </c>
      <c r="C104" s="634"/>
      <c r="D104" s="634"/>
      <c r="E104" s="634"/>
      <c r="F104" s="634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29" t="str">
        <f>+VLOOKUP(LEFT($A105,LEN(A105)-1)*1,Master!$D$30:$G$229,4,FALSE)</f>
        <v>Bruto zarade i doprinosi na teret poslodavca</v>
      </c>
      <c r="C105" s="630"/>
      <c r="D105" s="630"/>
      <c r="E105" s="630"/>
      <c r="F105" s="630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29" t="str">
        <f>+VLOOKUP(LEFT($A106,LEN(A106)-1)*1,Master!$D$30:$G$229,4,FALSE)</f>
        <v>Ostala lična primanja</v>
      </c>
      <c r="C106" s="630"/>
      <c r="D106" s="630"/>
      <c r="E106" s="630"/>
      <c r="F106" s="630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29" t="str">
        <f>+VLOOKUP(LEFT($A107,LEN(A107)-1)*1,Master!$D$30:$G$229,4,FALSE)</f>
        <v>Rashodi za materijal</v>
      </c>
      <c r="C107" s="630"/>
      <c r="D107" s="630"/>
      <c r="E107" s="630"/>
      <c r="F107" s="630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29" t="str">
        <f>+VLOOKUP(LEFT($A108,LEN(A108)-1)*1,Master!$D$30:$G$229,4,FALSE)</f>
        <v>Rashodi za usluge</v>
      </c>
      <c r="C108" s="630"/>
      <c r="D108" s="630"/>
      <c r="E108" s="630"/>
      <c r="F108" s="630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29" t="str">
        <f>+VLOOKUP(LEFT($A109,LEN(A109)-1)*1,Master!$D$30:$G$229,4,FALSE)</f>
        <v>Rashodi za tekuće održavanje</v>
      </c>
      <c r="C109" s="630"/>
      <c r="D109" s="630"/>
      <c r="E109" s="630"/>
      <c r="F109" s="630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29" t="str">
        <f>+VLOOKUP(LEFT($A110,LEN(A110)-1)*1,Master!$D$30:$G$229,4,FALSE)</f>
        <v>Kamate</v>
      </c>
      <c r="C110" s="630"/>
      <c r="D110" s="630"/>
      <c r="E110" s="630"/>
      <c r="F110" s="630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29" t="str">
        <f>+VLOOKUP(LEFT($A111,LEN(A111)-1)*1,Master!$D$30:$G$229,4,FALSE)</f>
        <v>Renta</v>
      </c>
      <c r="C111" s="630"/>
      <c r="D111" s="630"/>
      <c r="E111" s="630"/>
      <c r="F111" s="630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29" t="str">
        <f>+VLOOKUP(LEFT($A112,LEN(A112)-1)*1,Master!$D$30:$G$229,4,FALSE)</f>
        <v>Subvencije</v>
      </c>
      <c r="C112" s="630"/>
      <c r="D112" s="630"/>
      <c r="E112" s="630"/>
      <c r="F112" s="630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29" t="str">
        <f>+VLOOKUP(LEFT($A113,LEN(A113)-1)*1,Master!$D$30:$G$229,4,FALSE)</f>
        <v>Ostali izdaci</v>
      </c>
      <c r="C113" s="630"/>
      <c r="D113" s="630"/>
      <c r="E113" s="630"/>
      <c r="F113" s="630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25" t="str">
        <f>+VLOOKUP(LEFT($A114,LEN(A114)-1)*1,Master!$D$30:$G$229,4,FALSE)</f>
        <v>Transferi za socijalnu zaštitu</v>
      </c>
      <c r="C114" s="626"/>
      <c r="D114" s="626"/>
      <c r="E114" s="626"/>
      <c r="F114" s="626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29" t="str">
        <f>+VLOOKUP(LEFT($A115,LEN(A115)-1)*1,Master!$D$30:$G$229,4,FALSE)</f>
        <v>Prava iz oblasti socijalne zaštite</v>
      </c>
      <c r="C115" s="630"/>
      <c r="D115" s="630"/>
      <c r="E115" s="630"/>
      <c r="F115" s="630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29" t="str">
        <f>+VLOOKUP(LEFT($A116,LEN(A116)-1)*1,Master!$D$30:$G$229,4,FALSE)</f>
        <v>Sredstva za tehnološke viškove</v>
      </c>
      <c r="C116" s="630"/>
      <c r="D116" s="630"/>
      <c r="E116" s="630"/>
      <c r="F116" s="630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29" t="str">
        <f>+VLOOKUP(LEFT($A117,LEN(A117)-1)*1,Master!$D$30:$G$229,4,FALSE)</f>
        <v>Prava iz oblasti penzijskog i invalidskog osiguranja</v>
      </c>
      <c r="C117" s="630"/>
      <c r="D117" s="630"/>
      <c r="E117" s="630"/>
      <c r="F117" s="630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29" t="str">
        <f>+VLOOKUP(LEFT($A118,LEN(A118)-1)*1,Master!$D$30:$G$229,4,FALSE)</f>
        <v>Ostala prava iz oblasti zdravstvene zaštite</v>
      </c>
      <c r="C118" s="630"/>
      <c r="D118" s="630"/>
      <c r="E118" s="630"/>
      <c r="F118" s="630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29" t="str">
        <f>+VLOOKUP(LEFT($A119,LEN(A119)-1)*1,Master!$D$30:$G$229,4,FALSE)</f>
        <v>Ostala prava iz zdravstvenog osiguranja</v>
      </c>
      <c r="C119" s="630"/>
      <c r="D119" s="630"/>
      <c r="E119" s="630"/>
      <c r="F119" s="630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27" t="str">
        <f>+VLOOKUP(LEFT($A120,LEN(A120)-1)*1,Master!$D$30:$G$229,4,FALSE)</f>
        <v xml:space="preserve">Transferi institucijama, pojedincima, nevladinom i javnom sektoru </v>
      </c>
      <c r="C120" s="628"/>
      <c r="D120" s="628"/>
      <c r="E120" s="628"/>
      <c r="F120" s="628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27" t="str">
        <f>+VLOOKUP(LEFT($A121,LEN(A121)-1)*1,Master!$D$30:$G$229,4,FALSE)</f>
        <v>Kapitalni izdaci</v>
      </c>
      <c r="C121" s="628"/>
      <c r="D121" s="628"/>
      <c r="E121" s="628"/>
      <c r="F121" s="628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19" t="str">
        <f>+VLOOKUP(LEFT($A122,LEN(A122)-1)*1,Master!$D$30:$G$229,4,FALSE)</f>
        <v>Pozajmice i krediti</v>
      </c>
      <c r="C122" s="620"/>
      <c r="D122" s="620"/>
      <c r="E122" s="620"/>
      <c r="F122" s="620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19" t="str">
        <f>+VLOOKUP(LEFT($A123,LEN(A123)-1)*1,Master!$D$30:$G$229,4,FALSE)</f>
        <v>Rezerve</v>
      </c>
      <c r="C123" s="620"/>
      <c r="D123" s="620"/>
      <c r="E123" s="620"/>
      <c r="F123" s="620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19" t="str">
        <f>+VLOOKUP(LEFT($A124,LEN(A124)-1)*1,Master!$D$30:$G$229,4,FALSE)</f>
        <v>Otplata garancija</v>
      </c>
      <c r="C124" s="620"/>
      <c r="D124" s="620"/>
      <c r="E124" s="620"/>
      <c r="F124" s="620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19" t="str">
        <f>+VLOOKUP(LEFT($A125,LEN(A125)-1)*1,Master!$D$30:$G$229,4,FALSE)</f>
        <v>Otplata obaveza iz prethodnog perioda</v>
      </c>
      <c r="C125" s="620"/>
      <c r="D125" s="620"/>
      <c r="E125" s="620"/>
      <c r="F125" s="620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19" t="str">
        <f>+VLOOKUP(LEFT($A126,LEN(A126)-1)*1,Master!$D$30:$G$229,4,FALSE)</f>
        <v>Neto povećanje obaveza</v>
      </c>
      <c r="C126" s="620"/>
      <c r="D126" s="620"/>
      <c r="E126" s="620"/>
      <c r="F126" s="620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21" t="str">
        <f>+VLOOKUP(LEFT($A127,LEN(A127)-1)*1,Master!$D$30:$G$226,4,FALSE)</f>
        <v>Suficit / deficit</v>
      </c>
      <c r="C127" s="622"/>
      <c r="D127" s="622"/>
      <c r="E127" s="622"/>
      <c r="F127" s="622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23" t="str">
        <f>+VLOOKUP(LEFT($A128,LEN(A128)-1)*1,Master!$D$30:$G$226,4,FALSE)</f>
        <v>Primarni suficit/deficit</v>
      </c>
      <c r="C128" s="624"/>
      <c r="D128" s="624"/>
      <c r="E128" s="624"/>
      <c r="F128" s="624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25" t="str">
        <f>+VLOOKUP(LEFT($A129,LEN(A129)-1)*1,Master!$D$30:$G$226,4,FALSE)</f>
        <v>Otplata dugova</v>
      </c>
      <c r="C129" s="626"/>
      <c r="D129" s="626"/>
      <c r="E129" s="626"/>
      <c r="F129" s="626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17" t="str">
        <f>+VLOOKUP(LEFT($A130,LEN(A130)-1)*1,Master!$D$30:$G$226,4,FALSE)</f>
        <v>Otplata hartija od vrijednosti i kredita rezidentima</v>
      </c>
      <c r="C130" s="618"/>
      <c r="D130" s="618"/>
      <c r="E130" s="618"/>
      <c r="F130" s="618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19" t="str">
        <f>+VLOOKUP(LEFT($A131,LEN(A131)-1)*1,Master!$D$30:$G$226,4,FALSE)</f>
        <v>Otplata hartija od vrijednosti i kredita nerezidentima</v>
      </c>
      <c r="C131" s="620"/>
      <c r="D131" s="620"/>
      <c r="E131" s="620"/>
      <c r="F131" s="620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13" t="str">
        <f>+VLOOKUP(LEFT($A132,LEN(A132)-1)*1,Master!$D$30:$G$226,4,FALSE)</f>
        <v>Izdaci za kupovinu hartija od vrijednosti</v>
      </c>
      <c r="C132" s="614"/>
      <c r="D132" s="614"/>
      <c r="E132" s="614"/>
      <c r="F132" s="614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15" t="str">
        <f>+VLOOKUP(LEFT($A133,LEN(A133)-1)*1,Master!$D$30:$G$226,4,FALSE)</f>
        <v>Nedostajuća sredstva</v>
      </c>
      <c r="C133" s="616"/>
      <c r="D133" s="616"/>
      <c r="E133" s="616"/>
      <c r="F133" s="616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13" t="str">
        <f>+VLOOKUP(LEFT($A134,LEN(A134)-1)*1,Master!$D$30:$G$226,4,FALSE)</f>
        <v>Finansiranje</v>
      </c>
      <c r="C134" s="614"/>
      <c r="D134" s="614"/>
      <c r="E134" s="614"/>
      <c r="F134" s="614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17" t="str">
        <f>+VLOOKUP(LEFT($A135,LEN(A135)-1)*1,Master!$D$30:$G$226,4,FALSE)</f>
        <v>Pozajmice i krediti od domaćih izvora</v>
      </c>
      <c r="C135" s="618"/>
      <c r="D135" s="618"/>
      <c r="E135" s="618"/>
      <c r="F135" s="618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19" t="str">
        <f>+VLOOKUP(LEFT($A136,LEN(A136)-1)*1,Master!$D$30:$G$226,4,FALSE)</f>
        <v>Pozajmice i krediti od inostranih izvora</v>
      </c>
      <c r="C136" s="620"/>
      <c r="D136" s="620"/>
      <c r="E136" s="620"/>
      <c r="F136" s="620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19" t="str">
        <f>+VLOOKUP(LEFT($A137,LEN(A137)-1)*1,Master!$D$30:$G$226,4,FALSE)</f>
        <v>Primici od prodaje imovine</v>
      </c>
      <c r="C137" s="620"/>
      <c r="D137" s="620"/>
      <c r="E137" s="620"/>
      <c r="F137" s="620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93" t="str">
        <f>+Master!G252</f>
        <v>Ostvarenje budžeta</v>
      </c>
      <c r="C7" s="594"/>
      <c r="D7" s="594"/>
      <c r="E7" s="594"/>
      <c r="F7" s="594"/>
      <c r="G7" s="602">
        <v>2020</v>
      </c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6"/>
      <c r="S7" s="220" t="str">
        <f>+Master!G249</f>
        <v>BDP</v>
      </c>
      <c r="T7" s="221">
        <v>4185600000</v>
      </c>
    </row>
    <row r="8" spans="1:20" ht="16.5" customHeight="1">
      <c r="A8" s="129"/>
      <c r="B8" s="595"/>
      <c r="C8" s="596"/>
      <c r="D8" s="596"/>
      <c r="E8" s="596"/>
      <c r="F8" s="597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2" t="str">
        <f>+Master!G247</f>
        <v>Jan - Dec</v>
      </c>
      <c r="T8" s="606"/>
    </row>
    <row r="9" spans="1:20" ht="13.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561" t="str">
        <f>+VLOOKUP($A10,Master!$D$30:$G$226,4,FALSE)</f>
        <v>Prihodi budžeta</v>
      </c>
      <c r="C10" s="562"/>
      <c r="D10" s="562"/>
      <c r="E10" s="562"/>
      <c r="F10" s="562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563" t="str">
        <f>+VLOOKUP($A11,Master!$D$30:$G$226,4,FALSE)</f>
        <v>Porezi</v>
      </c>
      <c r="C11" s="564"/>
      <c r="D11" s="564"/>
      <c r="E11" s="564"/>
      <c r="F11" s="564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65" t="str">
        <f>+VLOOKUP($A12,Master!$D$30:$G$226,4,FALSE)</f>
        <v>Porez na dohodak fizičkih lica</v>
      </c>
      <c r="C12" s="566"/>
      <c r="D12" s="566"/>
      <c r="E12" s="566"/>
      <c r="F12" s="566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65" t="str">
        <f>+VLOOKUP($A13,Master!$D$30:$G$226,4,FALSE)</f>
        <v>Porez na dobit pravnih lica</v>
      </c>
      <c r="C13" s="566"/>
      <c r="D13" s="566"/>
      <c r="E13" s="566"/>
      <c r="F13" s="566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65" t="str">
        <f>+VLOOKUP($A14,Master!$D$30:$G$226,4,FALSE)</f>
        <v>Porez na promet nepokretnosti</v>
      </c>
      <c r="C14" s="566"/>
      <c r="D14" s="566"/>
      <c r="E14" s="566"/>
      <c r="F14" s="566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65" t="str">
        <f>+VLOOKUP($A15,Master!$D$30:$G$226,4,FALSE)</f>
        <v>Porez na dodatu vrijednost</v>
      </c>
      <c r="C15" s="566"/>
      <c r="D15" s="566"/>
      <c r="E15" s="566"/>
      <c r="F15" s="566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65" t="str">
        <f>+VLOOKUP($A16,Master!$D$30:$G$226,4,FALSE)</f>
        <v>Akcize</v>
      </c>
      <c r="C16" s="566"/>
      <c r="D16" s="566"/>
      <c r="E16" s="566"/>
      <c r="F16" s="566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65" t="str">
        <f>+VLOOKUP($A17,Master!$D$30:$G$226,4,FALSE)</f>
        <v>Porez na međunarodnu trgovinu i transakcije</v>
      </c>
      <c r="C17" s="566"/>
      <c r="D17" s="566"/>
      <c r="E17" s="566"/>
      <c r="F17" s="566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65" t="str">
        <f>+VLOOKUP($A18,Master!$D$30:$G$226,4,FALSE)</f>
        <v>Ostali državni porezi</v>
      </c>
      <c r="C18" s="566"/>
      <c r="D18" s="566"/>
      <c r="E18" s="566"/>
      <c r="F18" s="566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569" t="str">
        <f>+VLOOKUP($A19,Master!$D$30:$G$226,4,FALSE)</f>
        <v>Doprinosi</v>
      </c>
      <c r="C19" s="570"/>
      <c r="D19" s="570"/>
      <c r="E19" s="570"/>
      <c r="F19" s="570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65" t="str">
        <f>+VLOOKUP($A20,Master!$D$30:$G$226,4,FALSE)</f>
        <v>Doprinosi za penzijsko i invalidsko osiguranje</v>
      </c>
      <c r="C20" s="566"/>
      <c r="D20" s="566"/>
      <c r="E20" s="566"/>
      <c r="F20" s="566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65" t="str">
        <f>+VLOOKUP($A21,Master!$D$30:$G$226,4,FALSE)</f>
        <v>Doprinosi za zdravstveno osiguranje</v>
      </c>
      <c r="C21" s="566"/>
      <c r="D21" s="566"/>
      <c r="E21" s="566"/>
      <c r="F21" s="566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65" t="str">
        <f>+VLOOKUP($A22,Master!$D$30:$G$226,4,FALSE)</f>
        <v>Doprinosi za osiguranje od nezaposlenosti</v>
      </c>
      <c r="C22" s="566"/>
      <c r="D22" s="566"/>
      <c r="E22" s="566"/>
      <c r="F22" s="566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65" t="str">
        <f>+VLOOKUP($A23,Master!$D$30:$G$226,4,FALSE)</f>
        <v>Ostali doprinosi</v>
      </c>
      <c r="C23" s="566"/>
      <c r="D23" s="566"/>
      <c r="E23" s="566"/>
      <c r="F23" s="566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67" t="str">
        <f>+VLOOKUP($A24,Master!$D$30:$G$226,4,FALSE)</f>
        <v>Takse</v>
      </c>
      <c r="C24" s="568"/>
      <c r="D24" s="568"/>
      <c r="E24" s="568"/>
      <c r="F24" s="568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67" t="str">
        <f>+VLOOKUP($A25,Master!$D$30:$G$226,4,FALSE)</f>
        <v>Naknade</v>
      </c>
      <c r="C25" s="568"/>
      <c r="D25" s="568"/>
      <c r="E25" s="568"/>
      <c r="F25" s="568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67" t="str">
        <f>+VLOOKUP($A26,Master!$D$30:$G$226,4,FALSE)</f>
        <v>Ostali prihodi</v>
      </c>
      <c r="C26" s="568"/>
      <c r="D26" s="568"/>
      <c r="E26" s="568"/>
      <c r="F26" s="568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67" t="str">
        <f>+VLOOKUP($A27,Master!$D$30:$G$226,4,FALSE)</f>
        <v>Primici od otplate kredita i sredstva prenesena iz prethodne godine</v>
      </c>
      <c r="C27" s="568"/>
      <c r="D27" s="568"/>
      <c r="E27" s="568"/>
      <c r="F27" s="568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71" t="str">
        <f>+VLOOKUP($A28,Master!$D$30:$G$226,4,FALSE)</f>
        <v>Donacije i transferi</v>
      </c>
      <c r="C28" s="572"/>
      <c r="D28" s="572"/>
      <c r="E28" s="572"/>
      <c r="F28" s="572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73" t="str">
        <f>+VLOOKUP($A29,Master!$D$30:$G$226,4,FALSE)</f>
        <v>Izdaci budžeta</v>
      </c>
      <c r="C29" s="574"/>
      <c r="D29" s="574"/>
      <c r="E29" s="574"/>
      <c r="F29" s="574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577" t="str">
        <f>+VLOOKUP($A30,Master!$D$30:$G$226,4,FALSE)</f>
        <v>Tekući izdaci</v>
      </c>
      <c r="C30" s="578"/>
      <c r="D30" s="578"/>
      <c r="E30" s="578"/>
      <c r="F30" s="578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65" t="str">
        <f>+VLOOKUP($A31,Master!$D$30:$G$226,4,FALSE)</f>
        <v>Bruto zarade i doprinosi na teret poslodavca</v>
      </c>
      <c r="C31" s="566"/>
      <c r="D31" s="566"/>
      <c r="E31" s="566"/>
      <c r="F31" s="566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65" t="str">
        <f>+VLOOKUP($A32,Master!$D$30:$G$226,4,FALSE)</f>
        <v>Ostala lična primanja</v>
      </c>
      <c r="C32" s="566"/>
      <c r="D32" s="566"/>
      <c r="E32" s="566"/>
      <c r="F32" s="566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65" t="str">
        <f>+VLOOKUP($A33,Master!$D$30:$G$226,4,FALSE)</f>
        <v>Rashodi za materijal</v>
      </c>
      <c r="C33" s="566"/>
      <c r="D33" s="566"/>
      <c r="E33" s="566"/>
      <c r="F33" s="566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60" t="str">
        <f>+VLOOKUP($A34,Master!$D$30:$G$226,4,FALSE)</f>
        <v>Rashodi za usluge</v>
      </c>
      <c r="C34" s="661"/>
      <c r="D34" s="661"/>
      <c r="E34" s="661"/>
      <c r="F34" s="661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65" t="str">
        <f>+VLOOKUP($A35,Master!$D$30:$G$226,4,FALSE)</f>
        <v>Rashodi za tekuće održavanje</v>
      </c>
      <c r="C35" s="566"/>
      <c r="D35" s="566"/>
      <c r="E35" s="566"/>
      <c r="F35" s="566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65" t="str">
        <f>+VLOOKUP($A36,Master!$D$30:$G$226,4,FALSE)</f>
        <v>Kamate</v>
      </c>
      <c r="C36" s="566"/>
      <c r="D36" s="566"/>
      <c r="E36" s="566"/>
      <c r="F36" s="566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65" t="str">
        <f>+VLOOKUP($A37,Master!$D$30:$G$226,4,FALSE)</f>
        <v>Renta</v>
      </c>
      <c r="C37" s="566"/>
      <c r="D37" s="566"/>
      <c r="E37" s="566"/>
      <c r="F37" s="566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65" t="str">
        <f>+VLOOKUP($A38,Master!$D$30:$G$226,4,FALSE)</f>
        <v>Subvencije</v>
      </c>
      <c r="C38" s="566"/>
      <c r="D38" s="566"/>
      <c r="E38" s="566"/>
      <c r="F38" s="566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60" t="str">
        <f>+VLOOKUP($A39,Master!$D$30:$G$226,4,FALSE)</f>
        <v>Ostali izdaci</v>
      </c>
      <c r="C39" s="661"/>
      <c r="D39" s="661"/>
      <c r="E39" s="661"/>
      <c r="F39" s="661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81" t="str">
        <f>+VLOOKUP($A40,Master!$D$30:$G$226,4,FALSE)</f>
        <v>Transferi za socijalnu zaštitu</v>
      </c>
      <c r="C40" s="582"/>
      <c r="D40" s="582"/>
      <c r="E40" s="582"/>
      <c r="F40" s="582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65" t="str">
        <f>+VLOOKUP($A41,Master!$D$30:$G$226,4,FALSE)</f>
        <v>Prava iz oblasti socijalne zaštite</v>
      </c>
      <c r="C41" s="566"/>
      <c r="D41" s="566"/>
      <c r="E41" s="566"/>
      <c r="F41" s="566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65" t="str">
        <f>+VLOOKUP($A42,Master!$D$30:$G$226,4,FALSE)</f>
        <v>Sredstva za tehnološke viškove</v>
      </c>
      <c r="C42" s="566"/>
      <c r="D42" s="566"/>
      <c r="E42" s="566"/>
      <c r="F42" s="566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65" t="str">
        <f>+VLOOKUP($A43,Master!$D$30:$G$226,4,FALSE)</f>
        <v>Prava iz oblasti penzijskog i invalidskog osiguranja</v>
      </c>
      <c r="C43" s="566"/>
      <c r="D43" s="566"/>
      <c r="E43" s="566"/>
      <c r="F43" s="566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65" t="str">
        <f>+VLOOKUP($A44,Master!$D$30:$G$226,4,FALSE)</f>
        <v>Ostala prava iz oblasti zdravstvene zaštite</v>
      </c>
      <c r="C44" s="566"/>
      <c r="D44" s="566"/>
      <c r="E44" s="566"/>
      <c r="F44" s="566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56" t="str">
        <f>+VLOOKUP($A45,Master!$D$30:$G$226,4,FALSE)</f>
        <v>Ostala prava iz zdravstvenog osiguranja</v>
      </c>
      <c r="C45" s="657"/>
      <c r="D45" s="657"/>
      <c r="E45" s="657"/>
      <c r="F45" s="657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79" t="str">
        <f>+VLOOKUP($A46,Master!$D$30:$G$226,4,FALSE)</f>
        <v xml:space="preserve">Transferi institucijama, pojedincima, nevladinom i javnom sektoru </v>
      </c>
      <c r="C46" s="580"/>
      <c r="D46" s="580"/>
      <c r="E46" s="580"/>
      <c r="F46" s="580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79" t="str">
        <f>+VLOOKUP($A47,Master!$D$30:$G$226,4,FALSE)</f>
        <v>Kapitalni izdaci</v>
      </c>
      <c r="C47" s="580"/>
      <c r="D47" s="580"/>
      <c r="E47" s="580"/>
      <c r="F47" s="580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58" t="str">
        <f>+VLOOKUP($A48,Master!$D$30:$G$226,4,FALSE)</f>
        <v>Pozajmice i krediti</v>
      </c>
      <c r="C48" s="659"/>
      <c r="D48" s="659"/>
      <c r="E48" s="659"/>
      <c r="F48" s="659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50" t="str">
        <f>+VLOOKUP($A49,Master!$D$30:$G$226,4,FALSE)</f>
        <v>Rezerve</v>
      </c>
      <c r="C49" s="651"/>
      <c r="D49" s="651"/>
      <c r="E49" s="651"/>
      <c r="F49" s="651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85" t="str">
        <f>+VLOOKUP($A50,Master!$D$30:$G$226,4,FALSE)</f>
        <v>Otplata garancija</v>
      </c>
      <c r="C50" s="586"/>
      <c r="D50" s="586"/>
      <c r="E50" s="586"/>
      <c r="F50" s="586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52" t="str">
        <f>+VLOOKUP($A51,Master!$D$30:$G$226,4,TRUE)</f>
        <v>Otplata obaveza iz prethodnog perioda</v>
      </c>
      <c r="C51" s="653"/>
      <c r="D51" s="653"/>
      <c r="E51" s="653"/>
      <c r="F51" s="653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54" t="str">
        <f>+VLOOKUP($A52,Master!$D$30:$G$228,4,FALSE)</f>
        <v>Neto povećanje obaveza</v>
      </c>
      <c r="C52" s="655"/>
      <c r="D52" s="655"/>
      <c r="E52" s="655"/>
      <c r="F52" s="655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87" t="str">
        <f>+VLOOKUP($A53,Master!$D$30:$G$226,4,FALSE)</f>
        <v>Suficit / deficit</v>
      </c>
      <c r="C53" s="588"/>
      <c r="D53" s="588"/>
      <c r="E53" s="588"/>
      <c r="F53" s="588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89" t="str">
        <f>+VLOOKUP($A54,Master!$D$30:$G$226,4,FALSE)</f>
        <v>Primarni suficit/deficit</v>
      </c>
      <c r="C54" s="590"/>
      <c r="D54" s="590"/>
      <c r="E54" s="590"/>
      <c r="F54" s="590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11" t="str">
        <f>+VLOOKUP($A55,Master!$D$30:$G$226,4,FALSE)</f>
        <v>Otplata dugova</v>
      </c>
      <c r="C55" s="612"/>
      <c r="D55" s="612"/>
      <c r="E55" s="612"/>
      <c r="F55" s="612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607" t="str">
        <f>+VLOOKUP($A56,Master!$D$30:$G$226,4,FALSE)</f>
        <v>Otplata hartija od vrijednosti i kredita rezidentima</v>
      </c>
      <c r="C56" s="608"/>
      <c r="D56" s="608"/>
      <c r="E56" s="608"/>
      <c r="F56" s="608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83" t="str">
        <f>+VLOOKUP($A57,Master!$D$30:$G$226,4,FALSE)</f>
        <v>Otplata hartija od vrijednosti i kredita nerezidentima</v>
      </c>
      <c r="C57" s="584"/>
      <c r="D57" s="584"/>
      <c r="E57" s="584"/>
      <c r="F57" s="584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575" t="str">
        <f>+VLOOKUP($A58,Master!$D$30:$G$226,4,FALSE)</f>
        <v>Izdaci za kupovinu hartija od vrijednosti</v>
      </c>
      <c r="C58" s="576"/>
      <c r="D58" s="576"/>
      <c r="E58" s="576"/>
      <c r="F58" s="576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609" t="str">
        <f>+VLOOKUP($A59,Master!$D$30:$G$226,4,FALSE)</f>
        <v>Nedostajuća sredstva</v>
      </c>
      <c r="C59" s="610"/>
      <c r="D59" s="610"/>
      <c r="E59" s="610"/>
      <c r="F59" s="610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73" t="str">
        <f>+VLOOKUP($A60,Master!$D$30:$G$226,4,FALSE)</f>
        <v>Finansiranje</v>
      </c>
      <c r="C60" s="574"/>
      <c r="D60" s="574"/>
      <c r="E60" s="574"/>
      <c r="F60" s="574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607" t="str">
        <f>+VLOOKUP($A61,Master!$D$30:$G$226,4,FALSE)</f>
        <v>Pozajmice i krediti od domaćih izvora</v>
      </c>
      <c r="C61" s="608"/>
      <c r="D61" s="608"/>
      <c r="E61" s="608"/>
      <c r="F61" s="608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83" t="str">
        <f>+VLOOKUP($A62,Master!$D$30:$G$226,4,FALSE)</f>
        <v>Pozajmice i krediti od inostranih izvora</v>
      </c>
      <c r="C62" s="584"/>
      <c r="D62" s="584"/>
      <c r="E62" s="584"/>
      <c r="F62" s="584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83" t="str">
        <f>+VLOOKUP($A63,Master!$D$30:$G$226,4,FALSE)</f>
        <v>Primici od prodaje imovine</v>
      </c>
      <c r="C63" s="584"/>
      <c r="D63" s="584"/>
      <c r="E63" s="584"/>
      <c r="F63" s="584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39" t="str">
        <f>+Master!G253</f>
        <v>Plan ostvarenja budžeta</v>
      </c>
      <c r="C100" s="640"/>
      <c r="D100" s="640"/>
      <c r="E100" s="640"/>
      <c r="F100" s="640"/>
      <c r="G100" s="647">
        <v>2020</v>
      </c>
      <c r="H100" s="648"/>
      <c r="I100" s="648"/>
      <c r="J100" s="648"/>
      <c r="K100" s="648"/>
      <c r="L100" s="648"/>
      <c r="M100" s="648"/>
      <c r="N100" s="648"/>
      <c r="O100" s="648"/>
      <c r="P100" s="648"/>
      <c r="Q100" s="648"/>
      <c r="R100" s="649"/>
      <c r="S100" s="96" t="str">
        <f>+S7</f>
        <v>BDP</v>
      </c>
      <c r="T100" s="97">
        <v>4607300000</v>
      </c>
    </row>
    <row r="101" spans="1:21" ht="15.75" customHeight="1">
      <c r="B101" s="641"/>
      <c r="C101" s="642"/>
      <c r="D101" s="642"/>
      <c r="E101" s="642"/>
      <c r="F101" s="643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47" t="str">
        <f>+Master!G247</f>
        <v>Jan - Dec</v>
      </c>
      <c r="T101" s="649">
        <f>+T8</f>
        <v>0</v>
      </c>
    </row>
    <row r="102" spans="1:21" ht="13.5" thickBot="1">
      <c r="B102" s="644"/>
      <c r="C102" s="645"/>
      <c r="D102" s="645"/>
      <c r="E102" s="645"/>
      <c r="F102" s="646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62" t="str">
        <f>+VLOOKUP(LEFT($A103,LEN(A103)-1)*1,Master!$D$30:$G$226,4,FALSE)</f>
        <v>Prihodi budžeta</v>
      </c>
      <c r="C103" s="663"/>
      <c r="D103" s="663"/>
      <c r="E103" s="663"/>
      <c r="F103" s="663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37" t="str">
        <f>+VLOOKUP(LEFT($A104,LEN(A104)-1)*1,Master!$D$30:$G$226,4,FALSE)</f>
        <v>Porezi</v>
      </c>
      <c r="C104" s="638"/>
      <c r="D104" s="638"/>
      <c r="E104" s="638"/>
      <c r="F104" s="638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29" t="str">
        <f>+VLOOKUP(LEFT($A105,LEN(A105)-1)*1,Master!$D$30:$G$229,4,FALSE)</f>
        <v>Porez na dohodak fizičkih lica</v>
      </c>
      <c r="C105" s="630"/>
      <c r="D105" s="630"/>
      <c r="E105" s="630"/>
      <c r="F105" s="630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29" t="str">
        <f>+VLOOKUP(LEFT($A106,LEN(A106)-1)*1,Master!$D$30:$G$229,4,FALSE)</f>
        <v>Porez na dobit pravnih lica</v>
      </c>
      <c r="C106" s="630"/>
      <c r="D106" s="630"/>
      <c r="E106" s="630"/>
      <c r="F106" s="630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29" t="str">
        <f>+VLOOKUP(LEFT($A107,LEN(A107)-1)*1,Master!$D$30:$G$229,4,FALSE)</f>
        <v>Porez na promet nepokretnosti</v>
      </c>
      <c r="C107" s="630"/>
      <c r="D107" s="630"/>
      <c r="E107" s="630"/>
      <c r="F107" s="630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29" t="str">
        <f>+VLOOKUP(LEFT($A108,LEN(A108)-1)*1,Master!$D$30:$G$229,4,FALSE)</f>
        <v>Porez na dodatu vrijednost</v>
      </c>
      <c r="C108" s="630"/>
      <c r="D108" s="630"/>
      <c r="E108" s="630"/>
      <c r="F108" s="630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29" t="str">
        <f>+VLOOKUP(LEFT($A109,LEN(A109)-1)*1,Master!$D$30:$G$229,4,FALSE)</f>
        <v>Akcize</v>
      </c>
      <c r="C109" s="630"/>
      <c r="D109" s="630"/>
      <c r="E109" s="630"/>
      <c r="F109" s="630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29" t="str">
        <f>+VLOOKUP(LEFT($A110,LEN(A110)-1)*1,Master!$D$30:$G$229,4,FALSE)</f>
        <v>Porez na međunarodnu trgovinu i transakcije</v>
      </c>
      <c r="C110" s="630"/>
      <c r="D110" s="630"/>
      <c r="E110" s="630"/>
      <c r="F110" s="630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29" t="str">
        <f>+VLOOKUP(LEFT($A111,LEN(A111)-1)*1,Master!$D$30:$G$229,4,FALSE)</f>
        <v>Ostali državni porezi</v>
      </c>
      <c r="C111" s="630"/>
      <c r="D111" s="630"/>
      <c r="E111" s="630"/>
      <c r="F111" s="630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64" t="str">
        <f>+VLOOKUP(LEFT($A112,LEN(A112)-1)*1,Master!$D$30:$G$229,4,FALSE)</f>
        <v>Doprinosi</v>
      </c>
      <c r="C112" s="665"/>
      <c r="D112" s="665"/>
      <c r="E112" s="665"/>
      <c r="F112" s="665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29" t="str">
        <f>+VLOOKUP(LEFT($A113,LEN(A113)-1)*1,Master!$D$30:$G$229,4,FALSE)</f>
        <v>Doprinosi za penzijsko i invalidsko osiguranje</v>
      </c>
      <c r="C113" s="630"/>
      <c r="D113" s="630"/>
      <c r="E113" s="630"/>
      <c r="F113" s="630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29" t="str">
        <f>+VLOOKUP(LEFT($A114,LEN(A114)-1)*1,Master!$D$30:$G$229,4,FALSE)</f>
        <v>Doprinosi za zdravstveno osiguranje</v>
      </c>
      <c r="C114" s="630"/>
      <c r="D114" s="630"/>
      <c r="E114" s="630"/>
      <c r="F114" s="630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29" t="str">
        <f>+VLOOKUP(LEFT($A115,LEN(A115)-1)*1,Master!$D$30:$G$229,4,FALSE)</f>
        <v>Doprinosi za osiguranje od nezaposlenosti</v>
      </c>
      <c r="C115" s="630"/>
      <c r="D115" s="630"/>
      <c r="E115" s="630"/>
      <c r="F115" s="630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29" t="str">
        <f>+VLOOKUP(LEFT($A116,LEN(A116)-1)*1,Master!$D$30:$G$229,4,FALSE)</f>
        <v>Ostali doprinosi</v>
      </c>
      <c r="C116" s="630"/>
      <c r="D116" s="630"/>
      <c r="E116" s="630"/>
      <c r="F116" s="630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35" t="str">
        <f>+VLOOKUP(LEFT($A117,LEN(A117)-1)*1,Master!$D$30:$G$229,4,FALSE)</f>
        <v>Takse</v>
      </c>
      <c r="C117" s="636"/>
      <c r="D117" s="636"/>
      <c r="E117" s="636"/>
      <c r="F117" s="636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35" t="str">
        <f>+VLOOKUP(LEFT($A118,LEN(A118)-1)*1,Master!$D$30:$G$229,4,FALSE)</f>
        <v>Naknade</v>
      </c>
      <c r="C118" s="636"/>
      <c r="D118" s="636"/>
      <c r="E118" s="636"/>
      <c r="F118" s="636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35" t="str">
        <f>+VLOOKUP(LEFT($A119,LEN(A119)-1)*1,Master!$D$30:$G$229,4,FALSE)</f>
        <v>Ostali prihodi</v>
      </c>
      <c r="C119" s="636"/>
      <c r="D119" s="636"/>
      <c r="E119" s="636"/>
      <c r="F119" s="636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35" t="str">
        <f>+VLOOKUP(LEFT($A120,LEN(A120)-1)*1,Master!$D$30:$G$229,4,FALSE)</f>
        <v>Primici od otplate kredita i sredstva prenesena iz prethodne godine</v>
      </c>
      <c r="C120" s="636"/>
      <c r="D120" s="636"/>
      <c r="E120" s="636"/>
      <c r="F120" s="636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31" t="str">
        <f>+VLOOKUP(LEFT($A121,LEN(A121)-1)*1,Master!$D$30:$G$229,4,FALSE)</f>
        <v>Donacije i transferi</v>
      </c>
      <c r="C121" s="632"/>
      <c r="D121" s="632"/>
      <c r="E121" s="632"/>
      <c r="F121" s="632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13" t="str">
        <f>+VLOOKUP(LEFT($A122,LEN(A122)-1)*1,Master!$D$30:$G$229,4,FALSE)</f>
        <v>Izdaci budžeta</v>
      </c>
      <c r="C122" s="614"/>
      <c r="D122" s="614"/>
      <c r="E122" s="614"/>
      <c r="F122" s="614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33" t="str">
        <f>+VLOOKUP(LEFT($A123,LEN(A123)-1)*1,Master!$D$30:$G$229,4,FALSE)</f>
        <v>Tekući izdaci</v>
      </c>
      <c r="C123" s="634"/>
      <c r="D123" s="634"/>
      <c r="E123" s="634"/>
      <c r="F123" s="634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29" t="str">
        <f>+VLOOKUP(LEFT($A124,LEN(A124)-1)*1,Master!$D$30:$G$229,4,FALSE)</f>
        <v>Bruto zarade i doprinosi na teret poslodavca</v>
      </c>
      <c r="C124" s="630"/>
      <c r="D124" s="630"/>
      <c r="E124" s="630"/>
      <c r="F124" s="630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29" t="str">
        <f>+VLOOKUP(LEFT($A125,LEN(A125)-1)*1,Master!$D$30:$G$229,4,FALSE)</f>
        <v>Ostala lična primanja</v>
      </c>
      <c r="C125" s="630"/>
      <c r="D125" s="630"/>
      <c r="E125" s="630"/>
      <c r="F125" s="630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29" t="str">
        <f>+VLOOKUP(LEFT($A126,LEN(A126)-1)*1,Master!$D$30:$G$229,4,FALSE)</f>
        <v>Rashodi za materijal</v>
      </c>
      <c r="C126" s="630"/>
      <c r="D126" s="630"/>
      <c r="E126" s="630"/>
      <c r="F126" s="630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29" t="str">
        <f>+VLOOKUP(LEFT($A127,LEN(A127)-1)*1,Master!$D$30:$G$229,4,FALSE)</f>
        <v>Rashodi za usluge</v>
      </c>
      <c r="C127" s="630"/>
      <c r="D127" s="630"/>
      <c r="E127" s="630"/>
      <c r="F127" s="630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29" t="str">
        <f>+VLOOKUP(LEFT($A128,LEN(A128)-1)*1,Master!$D$30:$G$229,4,FALSE)</f>
        <v>Rashodi za tekuće održavanje</v>
      </c>
      <c r="C128" s="630"/>
      <c r="D128" s="630"/>
      <c r="E128" s="630"/>
      <c r="F128" s="630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29" t="str">
        <f>+VLOOKUP(LEFT($A129,LEN(A129)-1)*1,Master!$D$30:$G$229,4,FALSE)</f>
        <v>Kamate</v>
      </c>
      <c r="C129" s="630"/>
      <c r="D129" s="630"/>
      <c r="E129" s="630"/>
      <c r="F129" s="630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29" t="str">
        <f>+VLOOKUP(LEFT($A130,LEN(A130)-1)*1,Master!$D$30:$G$229,4,FALSE)</f>
        <v>Renta</v>
      </c>
      <c r="C130" s="630"/>
      <c r="D130" s="630"/>
      <c r="E130" s="630"/>
      <c r="F130" s="630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29" t="str">
        <f>+VLOOKUP(LEFT($A131,LEN(A131)-1)*1,Master!$D$30:$G$229,4,FALSE)</f>
        <v>Subvencije</v>
      </c>
      <c r="C131" s="630"/>
      <c r="D131" s="630"/>
      <c r="E131" s="630"/>
      <c r="F131" s="630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29" t="str">
        <f>+VLOOKUP(LEFT($A132,LEN(A132)-1)*1,Master!$D$30:$G$229,4,FALSE)</f>
        <v>Ostali izdaci</v>
      </c>
      <c r="C132" s="630"/>
      <c r="D132" s="630"/>
      <c r="E132" s="630"/>
      <c r="F132" s="630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25" t="str">
        <f>+VLOOKUP(LEFT($A133,LEN(A133)-1)*1,Master!$D$30:$G$229,4,FALSE)</f>
        <v>Transferi za socijalnu zaštitu</v>
      </c>
      <c r="C133" s="626"/>
      <c r="D133" s="626"/>
      <c r="E133" s="626"/>
      <c r="F133" s="626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29" t="str">
        <f>+VLOOKUP(LEFT($A134,LEN(A134)-1)*1,Master!$D$30:$G$229,4,FALSE)</f>
        <v>Prava iz oblasti socijalne zaštite</v>
      </c>
      <c r="C134" s="630"/>
      <c r="D134" s="630"/>
      <c r="E134" s="630"/>
      <c r="F134" s="630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29" t="str">
        <f>+VLOOKUP(LEFT($A135,LEN(A135)-1)*1,Master!$D$30:$G$229,4,FALSE)</f>
        <v>Sredstva za tehnološke viškove</v>
      </c>
      <c r="C135" s="630"/>
      <c r="D135" s="630"/>
      <c r="E135" s="630"/>
      <c r="F135" s="630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29" t="str">
        <f>+VLOOKUP(LEFT($A136,LEN(A136)-1)*1,Master!$D$30:$G$229,4,FALSE)</f>
        <v>Prava iz oblasti penzijskog i invalidskog osiguranja</v>
      </c>
      <c r="C136" s="630"/>
      <c r="D136" s="630"/>
      <c r="E136" s="630"/>
      <c r="F136" s="630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29" t="str">
        <f>+VLOOKUP(LEFT($A137,LEN(A137)-1)*1,Master!$D$30:$G$229,4,FALSE)</f>
        <v>Ostala prava iz oblasti zdravstvene zaštite</v>
      </c>
      <c r="C137" s="630"/>
      <c r="D137" s="630"/>
      <c r="E137" s="630"/>
      <c r="F137" s="630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29" t="str">
        <f>+VLOOKUP(LEFT($A138,LEN(A138)-1)*1,Master!$D$30:$G$229,4,FALSE)</f>
        <v>Ostala prava iz zdravstvenog osiguranja</v>
      </c>
      <c r="C138" s="630"/>
      <c r="D138" s="630"/>
      <c r="E138" s="630"/>
      <c r="F138" s="630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27" t="str">
        <f>+VLOOKUP(LEFT($A139,LEN(A139)-1)*1,Master!$D$30:$G$229,4,FALSE)</f>
        <v xml:space="preserve">Transferi institucijama, pojedincima, nevladinom i javnom sektoru </v>
      </c>
      <c r="C139" s="628"/>
      <c r="D139" s="628"/>
      <c r="E139" s="628"/>
      <c r="F139" s="628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27" t="str">
        <f>+VLOOKUP(LEFT($A140,LEN(A140)-1)*1,Master!$D$30:$G$229,4,FALSE)</f>
        <v>Kapitalni izdaci</v>
      </c>
      <c r="C140" s="628"/>
      <c r="D140" s="628"/>
      <c r="E140" s="628"/>
      <c r="F140" s="628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19" t="str">
        <f>+VLOOKUP(LEFT($A141,LEN(A141)-1)*1,Master!$D$30:$G$229,4,FALSE)</f>
        <v>Pozajmice i krediti</v>
      </c>
      <c r="C141" s="620"/>
      <c r="D141" s="620"/>
      <c r="E141" s="620"/>
      <c r="F141" s="620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19" t="str">
        <f>+VLOOKUP(LEFT($A142,LEN(A142)-1)*1,Master!$D$30:$G$229,4,FALSE)</f>
        <v>Rezerve</v>
      </c>
      <c r="C142" s="620"/>
      <c r="D142" s="620"/>
      <c r="E142" s="620"/>
      <c r="F142" s="620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19" t="str">
        <f>+VLOOKUP(LEFT($A143,LEN(A143)-1)*1,Master!$D$30:$G$229,4,FALSE)</f>
        <v>Otplata garancija</v>
      </c>
      <c r="C143" s="620"/>
      <c r="D143" s="620"/>
      <c r="E143" s="620"/>
      <c r="F143" s="620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19" t="str">
        <f>+VLOOKUP(LEFT($A144,LEN(A144)-1)*1,Master!$D$30:$G$229,4,FALSE)</f>
        <v>Otplata obaveza iz prethodnog perioda</v>
      </c>
      <c r="C144" s="620"/>
      <c r="D144" s="620"/>
      <c r="E144" s="620"/>
      <c r="F144" s="620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19" t="str">
        <f>+VLOOKUP(LEFT($A145,LEN(A145)-1)*1,Master!$D$30:$G$229,4,FALSE)</f>
        <v>Neto povećanje obaveza</v>
      </c>
      <c r="C145" s="620"/>
      <c r="D145" s="620"/>
      <c r="E145" s="620"/>
      <c r="F145" s="620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21" t="str">
        <f>+VLOOKUP(LEFT($A146,LEN(A146)-1)*1,Master!$D$30:$G$226,4,FALSE)</f>
        <v>Suficit / deficit</v>
      </c>
      <c r="C146" s="622"/>
      <c r="D146" s="622"/>
      <c r="E146" s="622"/>
      <c r="F146" s="622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23" t="str">
        <f>+VLOOKUP(LEFT($A147,LEN(A147)-1)*1,Master!$D$30:$G$226,4,FALSE)</f>
        <v>Primarni suficit/deficit</v>
      </c>
      <c r="C147" s="624"/>
      <c r="D147" s="624"/>
      <c r="E147" s="624"/>
      <c r="F147" s="624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25" t="str">
        <f>+VLOOKUP(LEFT($A148,LEN(A148)-1)*1,Master!$D$30:$G$226,4,FALSE)</f>
        <v>Otplata dugova</v>
      </c>
      <c r="C148" s="626"/>
      <c r="D148" s="626"/>
      <c r="E148" s="626"/>
      <c r="F148" s="626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17" t="str">
        <f>+VLOOKUP(LEFT($A149,LEN(A149)-1)*1,Master!$D$30:$G$226,4,FALSE)</f>
        <v>Otplata hartija od vrijednosti i kredita rezidentima</v>
      </c>
      <c r="C149" s="618"/>
      <c r="D149" s="618"/>
      <c r="E149" s="618"/>
      <c r="F149" s="618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19" t="str">
        <f>+VLOOKUP(LEFT($A150,LEN(A150)-1)*1,Master!$D$30:$G$226,4,FALSE)</f>
        <v>Otplata hartija od vrijednosti i kredita nerezidentima</v>
      </c>
      <c r="C150" s="620"/>
      <c r="D150" s="620"/>
      <c r="E150" s="620"/>
      <c r="F150" s="620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13" t="str">
        <f>+VLOOKUP(LEFT($A151,LEN(A151)-1)*1,Master!$D$30:$G$226,4,FALSE)</f>
        <v>Izdaci za kupovinu hartija od vrijednosti</v>
      </c>
      <c r="C151" s="614"/>
      <c r="D151" s="614"/>
      <c r="E151" s="614"/>
      <c r="F151" s="614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15" t="str">
        <f>+VLOOKUP(LEFT($A152,LEN(A152)-1)*1,Master!$D$30:$G$226,4,FALSE)</f>
        <v>Nedostajuća sredstva</v>
      </c>
      <c r="C152" s="616"/>
      <c r="D152" s="616"/>
      <c r="E152" s="616"/>
      <c r="F152" s="616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13" t="str">
        <f>+VLOOKUP(LEFT($A153,LEN(A153)-1)*1,Master!$D$30:$G$226,4,FALSE)</f>
        <v>Finansiranje</v>
      </c>
      <c r="C153" s="614"/>
      <c r="D153" s="614"/>
      <c r="E153" s="614"/>
      <c r="F153" s="614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17" t="str">
        <f>+VLOOKUP(LEFT($A154,LEN(A154)-1)*1,Master!$D$30:$G$226,4,FALSE)</f>
        <v>Pozajmice i krediti od domaćih izvora</v>
      </c>
      <c r="C154" s="618"/>
      <c r="D154" s="618"/>
      <c r="E154" s="618"/>
      <c r="F154" s="618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19" t="str">
        <f>+VLOOKUP(LEFT($A155,LEN(A155)-1)*1,Master!$D$30:$G$226,4,FALSE)</f>
        <v>Pozajmice i krediti od inostranih izvora</v>
      </c>
      <c r="C155" s="620"/>
      <c r="D155" s="620"/>
      <c r="E155" s="620"/>
      <c r="F155" s="620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19" t="str">
        <f>+VLOOKUP(LEFT($A156,LEN(A156)-1)*1,Master!$D$30:$G$226,4,FALSE)</f>
        <v>Primici od prodaje imovine</v>
      </c>
      <c r="C156" s="620"/>
      <c r="D156" s="620"/>
      <c r="E156" s="620"/>
      <c r="F156" s="620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93" t="s">
        <v>553</v>
      </c>
      <c r="C7" s="594"/>
      <c r="D7" s="594"/>
      <c r="E7" s="594"/>
      <c r="F7" s="594"/>
      <c r="G7" s="602">
        <v>2019</v>
      </c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6"/>
      <c r="S7" s="220" t="s">
        <v>419</v>
      </c>
      <c r="T7" s="221">
        <v>4951000000</v>
      </c>
    </row>
    <row r="8" spans="1:20" ht="16.5" customHeight="1">
      <c r="A8" s="129"/>
      <c r="B8" s="595"/>
      <c r="C8" s="596"/>
      <c r="D8" s="596"/>
      <c r="E8" s="596"/>
      <c r="F8" s="597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602" t="s">
        <v>806</v>
      </c>
      <c r="T8" s="606"/>
    </row>
    <row r="9" spans="1:20" ht="13.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73" t="s">
        <v>680</v>
      </c>
      <c r="C10" s="574"/>
      <c r="D10" s="574"/>
      <c r="E10" s="574"/>
      <c r="F10" s="574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563" t="s">
        <v>21</v>
      </c>
      <c r="C11" s="564"/>
      <c r="D11" s="564"/>
      <c r="E11" s="564"/>
      <c r="F11" s="564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65" t="s">
        <v>23</v>
      </c>
      <c r="C12" s="566"/>
      <c r="D12" s="566"/>
      <c r="E12" s="566"/>
      <c r="F12" s="566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65" t="s">
        <v>25</v>
      </c>
      <c r="C13" s="566"/>
      <c r="D13" s="566"/>
      <c r="E13" s="566"/>
      <c r="F13" s="566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65" t="s">
        <v>27</v>
      </c>
      <c r="C14" s="566"/>
      <c r="D14" s="566"/>
      <c r="E14" s="566"/>
      <c r="F14" s="566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65" t="s">
        <v>29</v>
      </c>
      <c r="C15" s="566"/>
      <c r="D15" s="566"/>
      <c r="E15" s="566"/>
      <c r="F15" s="566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65" t="s">
        <v>31</v>
      </c>
      <c r="C16" s="566"/>
      <c r="D16" s="566"/>
      <c r="E16" s="566"/>
      <c r="F16" s="566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65" t="s">
        <v>33</v>
      </c>
      <c r="C17" s="566"/>
      <c r="D17" s="566"/>
      <c r="E17" s="566"/>
      <c r="F17" s="566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65" t="s">
        <v>721</v>
      </c>
      <c r="C18" s="566"/>
      <c r="D18" s="566"/>
      <c r="E18" s="566"/>
      <c r="F18" s="566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569" t="s">
        <v>37</v>
      </c>
      <c r="C19" s="570"/>
      <c r="D19" s="570"/>
      <c r="E19" s="570"/>
      <c r="F19" s="570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65" t="s">
        <v>39</v>
      </c>
      <c r="C20" s="566"/>
      <c r="D20" s="566"/>
      <c r="E20" s="566"/>
      <c r="F20" s="566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65" t="s">
        <v>41</v>
      </c>
      <c r="C21" s="566"/>
      <c r="D21" s="566"/>
      <c r="E21" s="566"/>
      <c r="F21" s="566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65" t="s">
        <v>43</v>
      </c>
      <c r="C22" s="566"/>
      <c r="D22" s="566"/>
      <c r="E22" s="566"/>
      <c r="F22" s="566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65" t="s">
        <v>45</v>
      </c>
      <c r="C23" s="566"/>
      <c r="D23" s="566"/>
      <c r="E23" s="566"/>
      <c r="F23" s="566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67" t="s">
        <v>47</v>
      </c>
      <c r="C24" s="568"/>
      <c r="D24" s="568"/>
      <c r="E24" s="568"/>
      <c r="F24" s="568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67" t="s">
        <v>61</v>
      </c>
      <c r="C25" s="568"/>
      <c r="D25" s="568"/>
      <c r="E25" s="568"/>
      <c r="F25" s="568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67" t="s">
        <v>81</v>
      </c>
      <c r="C26" s="568"/>
      <c r="D26" s="568"/>
      <c r="E26" s="568"/>
      <c r="F26" s="568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67" t="s">
        <v>99</v>
      </c>
      <c r="C27" s="568"/>
      <c r="D27" s="568"/>
      <c r="E27" s="568"/>
      <c r="F27" s="568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71" t="s">
        <v>105</v>
      </c>
      <c r="C28" s="572"/>
      <c r="D28" s="572"/>
      <c r="E28" s="572"/>
      <c r="F28" s="572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73" t="s">
        <v>801</v>
      </c>
      <c r="C29" s="574"/>
      <c r="D29" s="574"/>
      <c r="E29" s="574"/>
      <c r="F29" s="574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575" t="s">
        <v>120</v>
      </c>
      <c r="C30" s="576"/>
      <c r="D30" s="576"/>
      <c r="E30" s="576"/>
      <c r="F30" s="576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65" t="s">
        <v>122</v>
      </c>
      <c r="C31" s="566"/>
      <c r="D31" s="566"/>
      <c r="E31" s="566"/>
      <c r="F31" s="566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65" t="s">
        <v>133</v>
      </c>
      <c r="C32" s="566"/>
      <c r="D32" s="566"/>
      <c r="E32" s="566"/>
      <c r="F32" s="566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65" t="s">
        <v>148</v>
      </c>
      <c r="C33" s="566"/>
      <c r="D33" s="566"/>
      <c r="E33" s="566"/>
      <c r="F33" s="566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65" t="s">
        <v>162</v>
      </c>
      <c r="C34" s="566"/>
      <c r="D34" s="566"/>
      <c r="E34" s="566"/>
      <c r="F34" s="566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60" t="s">
        <v>182</v>
      </c>
      <c r="C35" s="661"/>
      <c r="D35" s="661"/>
      <c r="E35" s="661"/>
      <c r="F35" s="661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65" t="s">
        <v>190</v>
      </c>
      <c r="C36" s="566"/>
      <c r="D36" s="566"/>
      <c r="E36" s="566"/>
      <c r="F36" s="566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65" t="s">
        <v>196</v>
      </c>
      <c r="C37" s="566"/>
      <c r="D37" s="566"/>
      <c r="E37" s="566"/>
      <c r="F37" s="566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65" t="s">
        <v>204</v>
      </c>
      <c r="C38" s="566"/>
      <c r="D38" s="566"/>
      <c r="E38" s="566"/>
      <c r="F38" s="566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65" t="s">
        <v>212</v>
      </c>
      <c r="C39" s="566"/>
      <c r="D39" s="566"/>
      <c r="E39" s="566"/>
      <c r="F39" s="566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81" t="s">
        <v>230</v>
      </c>
      <c r="C40" s="582"/>
      <c r="D40" s="582"/>
      <c r="E40" s="582"/>
      <c r="F40" s="582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65" t="s">
        <v>232</v>
      </c>
      <c r="C41" s="566"/>
      <c r="D41" s="566"/>
      <c r="E41" s="566"/>
      <c r="F41" s="566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65" t="s">
        <v>248</v>
      </c>
      <c r="C42" s="566"/>
      <c r="D42" s="566"/>
      <c r="E42" s="566"/>
      <c r="F42" s="566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65" t="s">
        <v>259</v>
      </c>
      <c r="C43" s="566"/>
      <c r="D43" s="566"/>
      <c r="E43" s="566"/>
      <c r="F43" s="566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65" t="s">
        <v>274</v>
      </c>
      <c r="C44" s="566"/>
      <c r="D44" s="566"/>
      <c r="E44" s="566"/>
      <c r="F44" s="566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65" t="s">
        <v>278</v>
      </c>
      <c r="C45" s="566"/>
      <c r="D45" s="566"/>
      <c r="E45" s="566"/>
      <c r="F45" s="566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79" t="s">
        <v>286</v>
      </c>
      <c r="C46" s="580"/>
      <c r="D46" s="580"/>
      <c r="E46" s="580"/>
      <c r="F46" s="580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79" t="s">
        <v>320</v>
      </c>
      <c r="C47" s="580"/>
      <c r="D47" s="580"/>
      <c r="E47" s="580"/>
      <c r="F47" s="580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58" t="s">
        <v>113</v>
      </c>
      <c r="C48" s="659"/>
      <c r="D48" s="659"/>
      <c r="E48" s="659"/>
      <c r="F48" s="659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50" t="s">
        <v>366</v>
      </c>
      <c r="C49" s="651"/>
      <c r="D49" s="651"/>
      <c r="E49" s="651"/>
      <c r="F49" s="651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85" t="s">
        <v>359</v>
      </c>
      <c r="C50" s="586"/>
      <c r="D50" s="586"/>
      <c r="E50" s="586"/>
      <c r="F50" s="586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52" t="s">
        <v>794</v>
      </c>
      <c r="C51" s="653"/>
      <c r="D51" s="653"/>
      <c r="E51" s="653"/>
      <c r="F51" s="653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54" t="s">
        <v>684</v>
      </c>
      <c r="C52" s="655"/>
      <c r="D52" s="655"/>
      <c r="E52" s="655"/>
      <c r="F52" s="655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87" t="s">
        <v>545</v>
      </c>
      <c r="C53" s="588"/>
      <c r="D53" s="588"/>
      <c r="E53" s="588"/>
      <c r="F53" s="588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89" t="s">
        <v>792</v>
      </c>
      <c r="C54" s="590"/>
      <c r="D54" s="590"/>
      <c r="E54" s="590"/>
      <c r="F54" s="590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11" t="s">
        <v>352</v>
      </c>
      <c r="C55" s="612"/>
      <c r="D55" s="612"/>
      <c r="E55" s="612"/>
      <c r="F55" s="612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607" t="s">
        <v>355</v>
      </c>
      <c r="C56" s="608"/>
      <c r="D56" s="608"/>
      <c r="E56" s="608"/>
      <c r="F56" s="608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83" t="s">
        <v>357</v>
      </c>
      <c r="C57" s="584"/>
      <c r="D57" s="584"/>
      <c r="E57" s="584"/>
      <c r="F57" s="584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66" t="s">
        <v>336</v>
      </c>
      <c r="C58" s="667"/>
      <c r="D58" s="667"/>
      <c r="E58" s="667"/>
      <c r="F58" s="667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609" t="s">
        <v>543</v>
      </c>
      <c r="C59" s="610"/>
      <c r="D59" s="610"/>
      <c r="E59" s="610"/>
      <c r="F59" s="610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73" t="s">
        <v>544</v>
      </c>
      <c r="C60" s="574"/>
      <c r="D60" s="574"/>
      <c r="E60" s="574"/>
      <c r="F60" s="574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607" t="s">
        <v>114</v>
      </c>
      <c r="C61" s="608"/>
      <c r="D61" s="608"/>
      <c r="E61" s="608"/>
      <c r="F61" s="608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83" t="s">
        <v>116</v>
      </c>
      <c r="C62" s="584"/>
      <c r="D62" s="584"/>
      <c r="E62" s="584"/>
      <c r="F62" s="584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83" t="s">
        <v>93</v>
      </c>
      <c r="C63" s="584"/>
      <c r="D63" s="584"/>
      <c r="E63" s="584"/>
      <c r="F63" s="584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39" t="s">
        <v>551</v>
      </c>
      <c r="C100" s="640"/>
      <c r="D100" s="640"/>
      <c r="E100" s="640"/>
      <c r="F100" s="640"/>
      <c r="G100" s="647">
        <v>2019</v>
      </c>
      <c r="H100" s="648"/>
      <c r="I100" s="648"/>
      <c r="J100" s="648"/>
      <c r="K100" s="648"/>
      <c r="L100" s="648"/>
      <c r="M100" s="648"/>
      <c r="N100" s="648"/>
      <c r="O100" s="648"/>
      <c r="P100" s="648"/>
      <c r="Q100" s="648"/>
      <c r="R100" s="649"/>
      <c r="S100" s="96" t="str">
        <f>+S7</f>
        <v>BDP</v>
      </c>
      <c r="T100" s="97">
        <f>+T7</f>
        <v>4951000000</v>
      </c>
    </row>
    <row r="101" spans="1:21" ht="15.75" customHeight="1">
      <c r="B101" s="641"/>
      <c r="C101" s="642"/>
      <c r="D101" s="642"/>
      <c r="E101" s="642"/>
      <c r="F101" s="643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47" t="s">
        <v>806</v>
      </c>
      <c r="T101" s="649">
        <f>+T8</f>
        <v>0</v>
      </c>
    </row>
    <row r="102" spans="1:21" ht="13.5" thickBot="1">
      <c r="B102" s="644"/>
      <c r="C102" s="645"/>
      <c r="D102" s="645"/>
      <c r="E102" s="645"/>
      <c r="F102" s="646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62" t="s">
        <v>680</v>
      </c>
      <c r="C103" s="663"/>
      <c r="D103" s="663"/>
      <c r="E103" s="663"/>
      <c r="F103" s="663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37" t="s">
        <v>21</v>
      </c>
      <c r="C104" s="638"/>
      <c r="D104" s="638"/>
      <c r="E104" s="638"/>
      <c r="F104" s="638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29" t="s">
        <v>23</v>
      </c>
      <c r="C105" s="630"/>
      <c r="D105" s="630"/>
      <c r="E105" s="630"/>
      <c r="F105" s="630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29" t="s">
        <v>25</v>
      </c>
      <c r="C106" s="630"/>
      <c r="D106" s="630"/>
      <c r="E106" s="630"/>
      <c r="F106" s="630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29" t="s">
        <v>27</v>
      </c>
      <c r="C107" s="630"/>
      <c r="D107" s="630"/>
      <c r="E107" s="630"/>
      <c r="F107" s="630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29" t="s">
        <v>29</v>
      </c>
      <c r="C108" s="630"/>
      <c r="D108" s="630"/>
      <c r="E108" s="630"/>
      <c r="F108" s="630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29" t="s">
        <v>31</v>
      </c>
      <c r="C109" s="630"/>
      <c r="D109" s="630"/>
      <c r="E109" s="630"/>
      <c r="F109" s="630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29" t="s">
        <v>33</v>
      </c>
      <c r="C110" s="630"/>
      <c r="D110" s="630"/>
      <c r="E110" s="630"/>
      <c r="F110" s="630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29" t="s">
        <v>721</v>
      </c>
      <c r="C111" s="630"/>
      <c r="D111" s="630"/>
      <c r="E111" s="630"/>
      <c r="F111" s="630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64" t="s">
        <v>37</v>
      </c>
      <c r="C112" s="665"/>
      <c r="D112" s="665"/>
      <c r="E112" s="665"/>
      <c r="F112" s="665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29" t="s">
        <v>39</v>
      </c>
      <c r="C113" s="630"/>
      <c r="D113" s="630"/>
      <c r="E113" s="630"/>
      <c r="F113" s="630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29" t="s">
        <v>41</v>
      </c>
      <c r="C114" s="630"/>
      <c r="D114" s="630"/>
      <c r="E114" s="630"/>
      <c r="F114" s="630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29" t="s">
        <v>43</v>
      </c>
      <c r="C115" s="630"/>
      <c r="D115" s="630"/>
      <c r="E115" s="630"/>
      <c r="F115" s="630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29" t="s">
        <v>45</v>
      </c>
      <c r="C116" s="630"/>
      <c r="D116" s="630"/>
      <c r="E116" s="630"/>
      <c r="F116" s="630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35" t="s">
        <v>47</v>
      </c>
      <c r="C117" s="636"/>
      <c r="D117" s="636"/>
      <c r="E117" s="636"/>
      <c r="F117" s="636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35" t="s">
        <v>61</v>
      </c>
      <c r="C118" s="636"/>
      <c r="D118" s="636"/>
      <c r="E118" s="636"/>
      <c r="F118" s="636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35" t="s">
        <v>81</v>
      </c>
      <c r="C119" s="636"/>
      <c r="D119" s="636"/>
      <c r="E119" s="636"/>
      <c r="F119" s="636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35" t="s">
        <v>99</v>
      </c>
      <c r="C120" s="636"/>
      <c r="D120" s="636"/>
      <c r="E120" s="636"/>
      <c r="F120" s="636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31" t="s">
        <v>105</v>
      </c>
      <c r="C121" s="632"/>
      <c r="D121" s="632"/>
      <c r="E121" s="632"/>
      <c r="F121" s="632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13" t="s">
        <v>808</v>
      </c>
      <c r="C122" s="614"/>
      <c r="D122" s="614"/>
      <c r="E122" s="614"/>
      <c r="F122" s="614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68" t="s">
        <v>773</v>
      </c>
      <c r="C123" s="669"/>
      <c r="D123" s="669"/>
      <c r="E123" s="669"/>
      <c r="F123" s="669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33" t="e">
        <v>#REF!</v>
      </c>
      <c r="C124" s="634"/>
      <c r="D124" s="634"/>
      <c r="E124" s="634"/>
      <c r="F124" s="634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29" t="s">
        <v>122</v>
      </c>
      <c r="C125" s="630"/>
      <c r="D125" s="630"/>
      <c r="E125" s="630"/>
      <c r="F125" s="630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29" t="s">
        <v>133</v>
      </c>
      <c r="C126" s="630"/>
      <c r="D126" s="630"/>
      <c r="E126" s="630"/>
      <c r="F126" s="630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29" t="s">
        <v>148</v>
      </c>
      <c r="C127" s="630"/>
      <c r="D127" s="630"/>
      <c r="E127" s="630"/>
      <c r="F127" s="630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29" t="s">
        <v>162</v>
      </c>
      <c r="C128" s="630"/>
      <c r="D128" s="630"/>
      <c r="E128" s="630"/>
      <c r="F128" s="630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29" t="s">
        <v>182</v>
      </c>
      <c r="C129" s="630"/>
      <c r="D129" s="630"/>
      <c r="E129" s="630"/>
      <c r="F129" s="630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29" t="s">
        <v>190</v>
      </c>
      <c r="C130" s="630"/>
      <c r="D130" s="630"/>
      <c r="E130" s="630"/>
      <c r="F130" s="630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29" t="s">
        <v>196</v>
      </c>
      <c r="C131" s="630"/>
      <c r="D131" s="630"/>
      <c r="E131" s="630"/>
      <c r="F131" s="630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29" t="s">
        <v>204</v>
      </c>
      <c r="C132" s="630"/>
      <c r="D132" s="630"/>
      <c r="E132" s="630"/>
      <c r="F132" s="630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29" t="s">
        <v>212</v>
      </c>
      <c r="C133" s="630"/>
      <c r="D133" s="630"/>
      <c r="E133" s="630"/>
      <c r="F133" s="630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29" t="e">
        <v>#REF!</v>
      </c>
      <c r="C134" s="630"/>
      <c r="D134" s="630"/>
      <c r="E134" s="630"/>
      <c r="F134" s="630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25" t="s">
        <v>230</v>
      </c>
      <c r="C135" s="626"/>
      <c r="D135" s="626"/>
      <c r="E135" s="626"/>
      <c r="F135" s="626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29" t="s">
        <v>232</v>
      </c>
      <c r="C136" s="630"/>
      <c r="D136" s="630"/>
      <c r="E136" s="630"/>
      <c r="F136" s="630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29" t="s">
        <v>248</v>
      </c>
      <c r="C137" s="630"/>
      <c r="D137" s="630"/>
      <c r="E137" s="630"/>
      <c r="F137" s="630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29" t="s">
        <v>259</v>
      </c>
      <c r="C138" s="630"/>
      <c r="D138" s="630"/>
      <c r="E138" s="630"/>
      <c r="F138" s="630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29" t="s">
        <v>274</v>
      </c>
      <c r="C139" s="630"/>
      <c r="D139" s="630"/>
      <c r="E139" s="630"/>
      <c r="F139" s="630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29" t="s">
        <v>278</v>
      </c>
      <c r="C140" s="630"/>
      <c r="D140" s="630"/>
      <c r="E140" s="630"/>
      <c r="F140" s="630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27" t="s">
        <v>286</v>
      </c>
      <c r="C141" s="628"/>
      <c r="D141" s="628"/>
      <c r="E141" s="628"/>
      <c r="F141" s="628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27" t="s">
        <v>809</v>
      </c>
      <c r="C142" s="628"/>
      <c r="D142" s="628"/>
      <c r="E142" s="628"/>
      <c r="F142" s="628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19" t="s">
        <v>113</v>
      </c>
      <c r="C143" s="620"/>
      <c r="D143" s="620"/>
      <c r="E143" s="620"/>
      <c r="F143" s="620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19" t="s">
        <v>366</v>
      </c>
      <c r="C144" s="620"/>
      <c r="D144" s="620"/>
      <c r="E144" s="620"/>
      <c r="F144" s="620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19" t="s">
        <v>359</v>
      </c>
      <c r="C145" s="620"/>
      <c r="D145" s="620"/>
      <c r="E145" s="620"/>
      <c r="F145" s="620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19" t="s">
        <v>365</v>
      </c>
      <c r="C146" s="620"/>
      <c r="D146" s="620"/>
      <c r="E146" s="620"/>
      <c r="F146" s="620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70" t="s">
        <v>685</v>
      </c>
      <c r="C147" s="671"/>
      <c r="D147" s="671"/>
      <c r="E147" s="671"/>
      <c r="F147" s="671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21" t="s">
        <v>545</v>
      </c>
      <c r="C148" s="622"/>
      <c r="D148" s="622"/>
      <c r="E148" s="622"/>
      <c r="F148" s="622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23" t="s">
        <v>810</v>
      </c>
      <c r="C149" s="624"/>
      <c r="D149" s="624"/>
      <c r="E149" s="624"/>
      <c r="F149" s="624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25" t="s">
        <v>352</v>
      </c>
      <c r="C150" s="626"/>
      <c r="D150" s="626"/>
      <c r="E150" s="626"/>
      <c r="F150" s="626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17" t="s">
        <v>355</v>
      </c>
      <c r="C151" s="618"/>
      <c r="D151" s="618"/>
      <c r="E151" s="618"/>
      <c r="F151" s="618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19" t="s">
        <v>357</v>
      </c>
      <c r="C152" s="620"/>
      <c r="D152" s="620"/>
      <c r="E152" s="620"/>
      <c r="F152" s="620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66" t="s">
        <v>336</v>
      </c>
      <c r="C153" s="667"/>
      <c r="D153" s="667"/>
      <c r="E153" s="667"/>
      <c r="F153" s="667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15" t="s">
        <v>543</v>
      </c>
      <c r="C154" s="616"/>
      <c r="D154" s="616"/>
      <c r="E154" s="616"/>
      <c r="F154" s="616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13" t="s">
        <v>544</v>
      </c>
      <c r="C155" s="614"/>
      <c r="D155" s="614"/>
      <c r="E155" s="614"/>
      <c r="F155" s="614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17" t="s">
        <v>114</v>
      </c>
      <c r="C156" s="618"/>
      <c r="D156" s="618"/>
      <c r="E156" s="618"/>
      <c r="F156" s="618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19" t="s">
        <v>116</v>
      </c>
      <c r="C157" s="620"/>
      <c r="D157" s="620"/>
      <c r="E157" s="620"/>
      <c r="F157" s="620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19" t="s">
        <v>93</v>
      </c>
      <c r="C158" s="620"/>
      <c r="D158" s="620"/>
      <c r="E158" s="620"/>
      <c r="F158" s="620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Analitika - 2014</vt:lpstr>
      <vt:lpstr>Pregled</vt:lpstr>
      <vt:lpstr>Analitika 2024</vt:lpstr>
      <vt:lpstr>2024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owner</cp:lastModifiedBy>
  <cp:lastPrinted>2024-06-26T14:13:15Z</cp:lastPrinted>
  <dcterms:created xsi:type="dcterms:W3CDTF">2014-09-15T13:41:17Z</dcterms:created>
  <dcterms:modified xsi:type="dcterms:W3CDTF">2024-11-29T15:16:35Z</dcterms:modified>
</cp:coreProperties>
</file>