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Za slanje\Mjesecni\"/>
    </mc:Choice>
  </mc:AlternateContent>
  <workbookProtection workbookAlgorithmName="SHA-512" workbookHashValue="WnVi8QXUcXN9Z2PeHMmQHtdvuT4ZSy7C46yOHXaHXTRPMLwOOuE7JJt8i8LA2c3DDxF2Jx/cmhlV+msxbAPUGw==" workbookSaltValue="FJ9OTvX1OjeaYHL1I8Fkmg==" workbookSpinCount="100000" lockStructure="1"/>
  <bookViews>
    <workbookView xWindow="0" yWindow="0" windowWidth="7890" windowHeight="9495" tabRatio="587" firstSheet="1" activeTab="1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K10" i="11" l="1"/>
  <c r="G10" i="1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105" i="27" l="1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L136" i="27"/>
  <c r="L142" i="27" s="1"/>
  <c r="L137" i="27" s="1"/>
  <c r="S11" i="27"/>
  <c r="T11" i="27" s="1"/>
  <c r="I129" i="27"/>
  <c r="S116" i="27"/>
  <c r="T116" i="27" s="1"/>
  <c r="S109" i="27"/>
  <c r="T109" i="27" s="1"/>
  <c r="J130" i="27" l="1"/>
  <c r="J136" i="27"/>
  <c r="J142" i="27" s="1"/>
  <c r="J137" i="27" s="1"/>
  <c r="G53" i="27"/>
  <c r="N130" i="27"/>
  <c r="O53" i="27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O60" i="27" l="1"/>
  <c r="H66" i="27"/>
  <c r="H54" i="27"/>
  <c r="O130" i="27"/>
  <c r="S130" i="27" s="1"/>
  <c r="T130" i="27" s="1"/>
  <c r="O136" i="27"/>
  <c r="O142" i="27" s="1"/>
  <c r="O137" i="27" s="1"/>
  <c r="G66" i="27"/>
  <c r="G142" i="27"/>
  <c r="S136" i="27"/>
  <c r="T136" i="27" s="1"/>
  <c r="S60" i="27"/>
  <c r="T53" i="27"/>
  <c r="S59" i="11"/>
  <c r="P59" i="11"/>
  <c r="O66" i="27" l="1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G59" i="11" s="1"/>
  <c r="S65" i="26"/>
  <c r="G65" i="11" s="1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G64" i="11" s="1"/>
  <c r="S63" i="26"/>
  <c r="G63" i="11" s="1"/>
  <c r="S62" i="26"/>
  <c r="G62" i="11" s="1"/>
  <c r="S58" i="26"/>
  <c r="G58" i="11" s="1"/>
  <c r="S57" i="26"/>
  <c r="G57" i="11" s="1"/>
  <c r="S56" i="26"/>
  <c r="G56" i="11" s="1"/>
  <c r="R55" i="26"/>
  <c r="Q55" i="26"/>
  <c r="P55" i="26"/>
  <c r="N55" i="11" s="1"/>
  <c r="O55" i="26"/>
  <c r="N55" i="26"/>
  <c r="M55" i="26"/>
  <c r="S52" i="26"/>
  <c r="G52" i="11" s="1"/>
  <c r="S51" i="26"/>
  <c r="G51" i="11" s="1"/>
  <c r="S48" i="26"/>
  <c r="G48" i="11" s="1"/>
  <c r="Q40" i="26"/>
  <c r="P40" i="26"/>
  <c r="N40" i="11" s="1"/>
  <c r="O40" i="26"/>
  <c r="N40" i="26"/>
  <c r="M40" i="26"/>
  <c r="R30" i="26"/>
  <c r="Q30" i="26"/>
  <c r="P30" i="26"/>
  <c r="N30" i="11" s="1"/>
  <c r="O30" i="26"/>
  <c r="N30" i="26"/>
  <c r="M30" i="26"/>
  <c r="S28" i="26"/>
  <c r="G28" i="11" s="1"/>
  <c r="S27" i="26"/>
  <c r="G27" i="11" s="1"/>
  <c r="S26" i="26"/>
  <c r="G26" i="11" s="1"/>
  <c r="S25" i="26"/>
  <c r="G25" i="11" s="1"/>
  <c r="S24" i="26"/>
  <c r="G24" i="11" s="1"/>
  <c r="S23" i="26"/>
  <c r="G23" i="11" s="1"/>
  <c r="S22" i="26"/>
  <c r="G22" i="11" s="1"/>
  <c r="S21" i="26"/>
  <c r="G21" i="11" s="1"/>
  <c r="S20" i="26"/>
  <c r="G20" i="11" s="1"/>
  <c r="R19" i="26"/>
  <c r="Q19" i="26"/>
  <c r="P19" i="26"/>
  <c r="N19" i="11" s="1"/>
  <c r="O19" i="26"/>
  <c r="N19" i="26"/>
  <c r="M19" i="26"/>
  <c r="S18" i="26"/>
  <c r="G18" i="11" s="1"/>
  <c r="S17" i="26"/>
  <c r="G17" i="11" s="1"/>
  <c r="S16" i="26"/>
  <c r="G16" i="11" s="1"/>
  <c r="S15" i="26"/>
  <c r="G15" i="11" s="1"/>
  <c r="S14" i="26"/>
  <c r="G14" i="11" s="1"/>
  <c r="S13" i="26"/>
  <c r="G13" i="11" s="1"/>
  <c r="S12" i="26"/>
  <c r="G12" i="11" s="1"/>
  <c r="R11" i="26"/>
  <c r="Q11" i="26"/>
  <c r="P11" i="26"/>
  <c r="N11" i="11" s="1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N29" i="11" s="1"/>
  <c r="P86" i="26"/>
  <c r="S19" i="26"/>
  <c r="G19" i="11" s="1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G55" i="11" s="1"/>
  <c r="O10" i="26"/>
  <c r="P10" i="26"/>
  <c r="N10" i="11" s="1"/>
  <c r="M10" i="26"/>
  <c r="S11" i="26"/>
  <c r="G11" i="11" s="1"/>
  <c r="S87" i="26"/>
  <c r="T87" i="26" s="1"/>
  <c r="N53" i="26" l="1"/>
  <c r="D12" i="1"/>
  <c r="E12" i="1" s="1"/>
  <c r="Q53" i="26"/>
  <c r="Q60" i="26" s="1"/>
  <c r="O129" i="26"/>
  <c r="M53" i="26"/>
  <c r="N129" i="26"/>
  <c r="R53" i="26"/>
  <c r="R129" i="26"/>
  <c r="P53" i="26"/>
  <c r="N53" i="11" s="1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O136" i="26" l="1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N60" i="11" s="1"/>
  <c r="O130" i="26"/>
  <c r="O60" i="26"/>
  <c r="N130" i="26"/>
  <c r="Q54" i="26"/>
  <c r="N60" i="26"/>
  <c r="M54" i="26"/>
  <c r="R54" i="26"/>
  <c r="R60" i="26"/>
  <c r="R66" i="26" s="1"/>
  <c r="R61" i="26" s="1"/>
  <c r="P54" i="26"/>
  <c r="N54" i="11" s="1"/>
  <c r="O54" i="26"/>
  <c r="Q66" i="26"/>
  <c r="Q61" i="26" s="1"/>
  <c r="T10" i="26"/>
  <c r="G12" i="1"/>
  <c r="H12" i="1" s="1"/>
  <c r="T105" i="26"/>
  <c r="Q130" i="26"/>
  <c r="M130" i="26"/>
  <c r="S129" i="26"/>
  <c r="T129" i="26" s="1"/>
  <c r="G11" i="2"/>
  <c r="O142" i="26" l="1"/>
  <c r="N142" i="26"/>
  <c r="M142" i="26"/>
  <c r="M66" i="26"/>
  <c r="P66" i="26"/>
  <c r="O66" i="26"/>
  <c r="N66" i="26"/>
  <c r="I10" i="11"/>
  <c r="S130" i="26"/>
  <c r="T130" i="26" s="1"/>
  <c r="S136" i="26"/>
  <c r="T136" i="26" s="1"/>
  <c r="P61" i="26" l="1"/>
  <c r="N61" i="11" s="1"/>
  <c r="N66" i="11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G31" i="11" s="1"/>
  <c r="S43" i="26"/>
  <c r="G43" i="11" s="1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G42" i="11" s="1"/>
  <c r="S36" i="26"/>
  <c r="G36" i="11" s="1"/>
  <c r="S35" i="26"/>
  <c r="G35" i="11" s="1"/>
  <c r="S49" i="26"/>
  <c r="G49" i="11" s="1"/>
  <c r="S34" i="26"/>
  <c r="G34" i="11" s="1"/>
  <c r="S33" i="26"/>
  <c r="G33" i="11" s="1"/>
  <c r="S41" i="26"/>
  <c r="G41" i="11" s="1"/>
  <c r="S47" i="26"/>
  <c r="G47" i="11" s="1"/>
  <c r="S44" i="26"/>
  <c r="G44" i="11" s="1"/>
  <c r="S39" i="26"/>
  <c r="G39" i="11" s="1"/>
  <c r="I53" i="26"/>
  <c r="S45" i="26"/>
  <c r="G45" i="11" s="1"/>
  <c r="S50" i="26"/>
  <c r="G50" i="11" s="1"/>
  <c r="S38" i="26"/>
  <c r="G38" i="11" s="1"/>
  <c r="S37" i="26"/>
  <c r="G37" i="11" s="1"/>
  <c r="Q30" i="11"/>
  <c r="T30" i="11"/>
  <c r="S30" i="11"/>
  <c r="P30" i="11"/>
  <c r="T37" i="26" l="1"/>
  <c r="T50" i="26"/>
  <c r="D16" i="1"/>
  <c r="E16" i="1" s="1"/>
  <c r="T29" i="11"/>
  <c r="S29" i="11"/>
  <c r="P29" i="11"/>
  <c r="Q29" i="11"/>
  <c r="T44" i="26"/>
  <c r="T41" i="26"/>
  <c r="T34" i="26"/>
  <c r="H30" i="26"/>
  <c r="S32" i="26"/>
  <c r="G32" i="11" s="1"/>
  <c r="T36" i="26"/>
  <c r="S46" i="26"/>
  <c r="G46" i="11" s="1"/>
  <c r="I60" i="26"/>
  <c r="I54" i="26"/>
  <c r="H40" i="26"/>
  <c r="S40" i="26" s="1"/>
  <c r="G40" i="11" s="1"/>
  <c r="T38" i="26"/>
  <c r="T45" i="26"/>
  <c r="T39" i="26"/>
  <c r="T47" i="26"/>
  <c r="T33" i="26"/>
  <c r="T49" i="26"/>
  <c r="T35" i="26"/>
  <c r="T42" i="26"/>
  <c r="I49" i="11" l="1"/>
  <c r="J49" i="11"/>
  <c r="M49" i="11"/>
  <c r="L49" i="11"/>
  <c r="T54" i="11"/>
  <c r="S54" i="11"/>
  <c r="P54" i="11"/>
  <c r="Q54" i="11"/>
  <c r="H29" i="26"/>
  <c r="S30" i="26"/>
  <c r="G30" i="11" s="1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T60" i="11"/>
  <c r="S60" i="11"/>
  <c r="Q60" i="11"/>
  <c r="H53" i="26"/>
  <c r="S29" i="26"/>
  <c r="G29" i="11" s="1"/>
  <c r="J30" i="11" l="1"/>
  <c r="I30" i="11"/>
  <c r="L30" i="11"/>
  <c r="M30" i="11"/>
  <c r="T29" i="26"/>
  <c r="T66" i="11"/>
  <c r="S66" i="11"/>
  <c r="Q66" i="11"/>
  <c r="P66" i="11"/>
  <c r="H54" i="26"/>
  <c r="S54" i="26" s="1"/>
  <c r="G54" i="11" s="1"/>
  <c r="H60" i="26"/>
  <c r="H66" i="26" s="1"/>
  <c r="H61" i="26" s="1"/>
  <c r="S61" i="26" s="1"/>
  <c r="G61" i="11" s="1"/>
  <c r="S53" i="26"/>
  <c r="G53" i="11" s="1"/>
  <c r="P61" i="11"/>
  <c r="T61" i="11"/>
  <c r="S61" i="11"/>
  <c r="Q61" i="11"/>
  <c r="T61" i="26" l="1"/>
  <c r="T54" i="26"/>
  <c r="S60" i="26"/>
  <c r="G60" i="11" s="1"/>
  <c r="T53" i="26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G66" i="11" s="1"/>
  <c r="T60" i="26"/>
  <c r="L60" i="11" l="1"/>
  <c r="M60" i="11"/>
  <c r="J60" i="11"/>
  <c r="I60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<sst xmlns="http://schemas.openxmlformats.org/spreadsheetml/2006/main" count="1866" uniqueCount="869">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</sst>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8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4" fillId="0" borderId="0" xfId="0" applyNumberFormat="1" applyFont="1" applyFill="1" applyBorder="1" applyAlignment="1" applyProtection="1">
      <alignment horizontal="center"/>
      <protection hidden="1"/>
    </xf>
    <xf numFmtId="167" fontId="24" fillId="0" borderId="25" xfId="0" applyNumberFormat="1" applyFont="1" applyFill="1" applyBorder="1" applyAlignment="1" applyProtection="1">
      <alignment horizontal="center" vertical="center"/>
      <protection hidden="1"/>
    </xf>
    <xf numFmtId="167" fontId="24" fillId="0" borderId="14" xfId="0" applyNumberFormat="1" applyFont="1" applyFill="1" applyBorder="1" applyAlignment="1" applyProtection="1">
      <alignment horizontal="center" vertical="center"/>
      <protection hidden="1"/>
    </xf>
    <xf numFmtId="167" fontId="4" fillId="0" borderId="0" xfId="0" applyNumberFormat="1" applyFont="1" applyFill="1" applyBorder="1" applyAlignment="1" applyProtection="1">
      <alignment horizontal="center" vertical="center"/>
      <protection hidden="1"/>
    </xf>
    <xf numFmtId="167" fontId="4" fillId="0" borderId="14" xfId="0" applyNumberFormat="1" applyFont="1" applyFill="1" applyBorder="1" applyAlignment="1" applyProtection="1">
      <alignment horizontal="center" vertical="center"/>
      <protection hidden="1"/>
    </xf>
    <xf numFmtId="167" fontId="4" fillId="0" borderId="9" xfId="0" applyNumberFormat="1" applyFont="1" applyFill="1" applyBorder="1" applyAlignment="1">
      <alignment horizontal="center"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omma 2" xfId="185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-oktobar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2,31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31.8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33.9 mil. € ili 1.5%.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193.9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2,242.6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30.8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146.5 mil. € ili 6.1% dok su u odnosu na isti period 2023. godine veći za 302.4 mil. € ili 15.6%.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oktobar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1.0%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2024-10</v>
      </c>
      <c r="O6" s="128" t="str">
        <f>+CONCATENATE(N6,"p")</f>
        <v>2024-10p</v>
      </c>
      <c r="P6" s="116"/>
      <c r="Q6" s="116"/>
      <c r="R6" s="128" t="str">
        <f>+IF(Master!B3-10&gt;=0,CONCATENATE(Master!B4-1,"-",Master!B3),CONCATENATE(Master!B4-1,"-0",Master!B3))</f>
        <v>2023-10</v>
      </c>
      <c r="S6" s="116"/>
      <c r="T6" s="116"/>
    </row>
    <row r="7" spans="1:20">
      <c r="A7" s="129"/>
      <c r="B7" s="593" t="s">
        <v>691</v>
      </c>
      <c r="C7" s="594"/>
      <c r="D7" s="594"/>
      <c r="E7" s="594"/>
      <c r="F7" s="594"/>
      <c r="G7" s="602" t="s">
        <v>690</v>
      </c>
      <c r="H7" s="603"/>
      <c r="I7" s="603"/>
      <c r="J7" s="603"/>
      <c r="K7" s="603"/>
      <c r="L7" s="603"/>
      <c r="M7" s="604"/>
      <c r="N7" s="605" t="str">
        <f>+Master!G243</f>
        <v>Decembar</v>
      </c>
      <c r="O7" s="603"/>
      <c r="P7" s="603"/>
      <c r="Q7" s="603"/>
      <c r="R7" s="603"/>
      <c r="S7" s="603"/>
      <c r="T7" s="606"/>
    </row>
    <row r="8" spans="1:20">
      <c r="A8" s="129"/>
      <c r="B8" s="595"/>
      <c r="C8" s="596"/>
      <c r="D8" s="596"/>
      <c r="E8" s="596"/>
      <c r="F8" s="597"/>
      <c r="G8" s="130" t="str">
        <f>+Master!G26</f>
        <v>Ostvarenje</v>
      </c>
      <c r="H8" s="1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Okt 2023</v>
      </c>
      <c r="L8" s="591" t="str">
        <f>+I8</f>
        <v>Odstupanje</v>
      </c>
      <c r="M8" s="601"/>
      <c r="N8" s="131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Oktobar 2023</v>
      </c>
      <c r="S8" s="591" t="str">
        <f>+P8</f>
        <v>Odstupanje</v>
      </c>
      <c r="T8" s="592"/>
    </row>
    <row r="9" spans="1:20" ht="15.7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65" t="e">
        <f>+VLOOKUP($A18,Master!$D$30:$G$226,4,FALSE)</f>
        <v>#N/A</v>
      </c>
      <c r="C18" s="566"/>
      <c r="D18" s="566"/>
      <c r="E18" s="566"/>
      <c r="F18" s="566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65" t="str">
        <f>+VLOOKUP($A19,Master!$D$30:$G$226,4,FALSE)</f>
        <v>Ostali državni porezi</v>
      </c>
      <c r="C19" s="566"/>
      <c r="D19" s="566"/>
      <c r="E19" s="566"/>
      <c r="F19" s="566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9" t="str">
        <f>+VLOOKUP($A20,Master!$D$30:$G$226,4,FALSE)</f>
        <v>Doprinosi</v>
      </c>
      <c r="C20" s="570"/>
      <c r="D20" s="570"/>
      <c r="E20" s="570"/>
      <c r="F20" s="570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65" t="str">
        <f>+VLOOKUP($A21,Master!$D$30:$G$226,4,FALSE)</f>
        <v>Doprinosi za penzijsko i invalidsko osiguranje</v>
      </c>
      <c r="C21" s="566"/>
      <c r="D21" s="566"/>
      <c r="E21" s="566"/>
      <c r="F21" s="566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65" t="str">
        <f>+VLOOKUP($A22,Master!$D$30:$G$226,4,FALSE)</f>
        <v>Doprinosi za zdravstveno osiguranje</v>
      </c>
      <c r="C22" s="566"/>
      <c r="D22" s="566"/>
      <c r="E22" s="566"/>
      <c r="F22" s="566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65" t="str">
        <f>+VLOOKUP($A23,Master!$D$30:$G$226,4,FALSE)</f>
        <v>Doprinosi za osiguranje od nezaposlenosti</v>
      </c>
      <c r="C23" s="566"/>
      <c r="D23" s="566"/>
      <c r="E23" s="566"/>
      <c r="F23" s="566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65" t="str">
        <f>+VLOOKUP($A24,Master!$D$30:$G$226,4,FALSE)</f>
        <v>Ostali doprinosi</v>
      </c>
      <c r="C24" s="566"/>
      <c r="D24" s="566"/>
      <c r="E24" s="566"/>
      <c r="F24" s="566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7" t="str">
        <f>+VLOOKUP($A25,Master!$D$30:$G$226,4,FALSE)</f>
        <v>Takse</v>
      </c>
      <c r="C25" s="568"/>
      <c r="D25" s="568"/>
      <c r="E25" s="568"/>
      <c r="F25" s="568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7" t="str">
        <f>+VLOOKUP($A26,Master!$D$30:$G$226,4,FALSE)</f>
        <v>Naknade</v>
      </c>
      <c r="C26" s="568"/>
      <c r="D26" s="568"/>
      <c r="E26" s="568"/>
      <c r="F26" s="568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7" t="str">
        <f>+VLOOKUP($A27,Master!$D$30:$G$226,4,FALSE)</f>
        <v>Ostali prihodi</v>
      </c>
      <c r="C27" s="568"/>
      <c r="D27" s="568"/>
      <c r="E27" s="568"/>
      <c r="F27" s="568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7" t="str">
        <f>+VLOOKUP($A28,Master!$D$30:$G$226,4,FALSE)</f>
        <v>Primici od otplate kredita i sredstva prenesena iz prethodne godine</v>
      </c>
      <c r="C28" s="568"/>
      <c r="D28" s="568"/>
      <c r="E28" s="568"/>
      <c r="F28" s="568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71" t="str">
        <f>+VLOOKUP($A29,Master!$D$30:$G$226,4,FALSE)</f>
        <v>Donacije i transferi</v>
      </c>
      <c r="C29" s="572"/>
      <c r="D29" s="572"/>
      <c r="E29" s="572"/>
      <c r="F29" s="572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3" t="str">
        <f>+VLOOKUP($A30,Master!$D$30:$G$226,4,FALSE)</f>
        <v>Izdaci budžeta</v>
      </c>
      <c r="C30" s="574"/>
      <c r="D30" s="574"/>
      <c r="E30" s="574"/>
      <c r="F30" s="574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75" t="str">
        <f>+VLOOKUP($A31,Master!$D$30:$G$226,4,FALSE)</f>
        <v>Tekući izdaci</v>
      </c>
      <c r="C31" s="576"/>
      <c r="D31" s="576"/>
      <c r="E31" s="576"/>
      <c r="F31" s="576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7" t="str">
        <f>+VLOOKUP($A32,Master!$D$30:$G$226,4,FALSE)</f>
        <v>Tekuća budžetska potrošnja</v>
      </c>
      <c r="C32" s="578"/>
      <c r="D32" s="578"/>
      <c r="E32" s="578"/>
      <c r="F32" s="578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65" t="str">
        <f>+VLOOKUP($A33,Master!$D$30:$G$226,4,FALSE)</f>
        <v>Bruto zarade i doprinosi na teret poslodavca</v>
      </c>
      <c r="C33" s="566"/>
      <c r="D33" s="566"/>
      <c r="E33" s="566"/>
      <c r="F33" s="566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65" t="str">
        <f>+VLOOKUP($A34,Master!$D$30:$G$226,4,FALSE)</f>
        <v>Ostala lična primanja</v>
      </c>
      <c r="C34" s="566"/>
      <c r="D34" s="566"/>
      <c r="E34" s="566"/>
      <c r="F34" s="566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65" t="str">
        <f>+VLOOKUP($A35,Master!$D$30:$G$226,4,FALSE)</f>
        <v>Rashodi za materijal</v>
      </c>
      <c r="C35" s="566"/>
      <c r="D35" s="566"/>
      <c r="E35" s="566"/>
      <c r="F35" s="566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65" t="str">
        <f>+VLOOKUP($A36,Master!$D$30:$G$226,4,FALSE)</f>
        <v>Rashodi za usluge</v>
      </c>
      <c r="C36" s="566"/>
      <c r="D36" s="566"/>
      <c r="E36" s="566"/>
      <c r="F36" s="566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65" t="str">
        <f>+VLOOKUP($A37,Master!$D$30:$G$226,4,FALSE)</f>
        <v>Rashodi za tekuće održavanje</v>
      </c>
      <c r="C37" s="566"/>
      <c r="D37" s="566"/>
      <c r="E37" s="566"/>
      <c r="F37" s="566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65" t="str">
        <f>+VLOOKUP($A38,Master!$D$30:$G$226,4,FALSE)</f>
        <v>Kamate</v>
      </c>
      <c r="C38" s="566"/>
      <c r="D38" s="566"/>
      <c r="E38" s="566"/>
      <c r="F38" s="566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65" t="str">
        <f>+VLOOKUP($A39,Master!$D$30:$G$226,4,FALSE)</f>
        <v>Renta</v>
      </c>
      <c r="C39" s="566"/>
      <c r="D39" s="566"/>
      <c r="E39" s="566"/>
      <c r="F39" s="566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65" t="str">
        <f>+VLOOKUP($A40,Master!$D$30:$G$226,4,FALSE)</f>
        <v>Subvencije</v>
      </c>
      <c r="C40" s="566"/>
      <c r="D40" s="566"/>
      <c r="E40" s="566"/>
      <c r="F40" s="566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65" t="str">
        <f>+VLOOKUP($A41,Master!$D$30:$G$226,4,FALSE)</f>
        <v>Ostali izdaci</v>
      </c>
      <c r="C41" s="566"/>
      <c r="D41" s="566"/>
      <c r="E41" s="566"/>
      <c r="F41" s="566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65" t="e">
        <f>+VLOOKUP($A42,Master!$D$30:$G$226,4,FALSE)</f>
        <v>#N/A</v>
      </c>
      <c r="C42" s="566"/>
      <c r="D42" s="566"/>
      <c r="E42" s="566"/>
      <c r="F42" s="566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1" t="str">
        <f>+VLOOKUP($A43,Master!$D$30:$G$226,4,FALSE)</f>
        <v>Transferi za socijalnu zaštitu</v>
      </c>
      <c r="C43" s="582"/>
      <c r="D43" s="582"/>
      <c r="E43" s="582"/>
      <c r="F43" s="582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65" t="str">
        <f>+VLOOKUP($A44,Master!$D$30:$G$226,4,FALSE)</f>
        <v>Prava iz oblasti socijalne zaštite</v>
      </c>
      <c r="C44" s="566"/>
      <c r="D44" s="566"/>
      <c r="E44" s="566"/>
      <c r="F44" s="566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65" t="str">
        <f>+VLOOKUP($A45,Master!$D$30:$G$226,4,FALSE)</f>
        <v>Sredstva za tehnološke viškove</v>
      </c>
      <c r="C45" s="566"/>
      <c r="D45" s="566"/>
      <c r="E45" s="566"/>
      <c r="F45" s="566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65" t="str">
        <f>+VLOOKUP($A46,Master!$D$30:$G$226,4,FALSE)</f>
        <v>Prava iz oblasti penzijskog i invalidskog osiguranja</v>
      </c>
      <c r="C46" s="566"/>
      <c r="D46" s="566"/>
      <c r="E46" s="566"/>
      <c r="F46" s="566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65" t="str">
        <f>+VLOOKUP($A47,Master!$D$30:$G$226,4,FALSE)</f>
        <v>Ostala prava iz oblasti zdravstvene zaštite</v>
      </c>
      <c r="C47" s="566"/>
      <c r="D47" s="566"/>
      <c r="E47" s="566"/>
      <c r="F47" s="566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65" t="str">
        <f>+VLOOKUP($A48,Master!$D$30:$G$226,4,FALSE)</f>
        <v>Ostala prava iz zdravstvenog osiguranja</v>
      </c>
      <c r="C48" s="566"/>
      <c r="D48" s="566"/>
      <c r="E48" s="566"/>
      <c r="F48" s="566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9" t="str">
        <f>+VLOOKUP($A49,Master!$D$30:$G$226,4,FALSE)</f>
        <v xml:space="preserve">Transferi institucijama, pojedincima, nevladinom i javnom sektoru </v>
      </c>
      <c r="C49" s="580"/>
      <c r="D49" s="580"/>
      <c r="E49" s="580"/>
      <c r="F49" s="580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9" t="str">
        <f>+VLOOKUP($A50,Master!$D$30:$G$226,4,FALSE)</f>
        <v>Kapitalni izdaci</v>
      </c>
      <c r="C50" s="580"/>
      <c r="D50" s="580"/>
      <c r="E50" s="580"/>
      <c r="F50" s="580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83" t="str">
        <f>+VLOOKUP($A51,Master!$D$30:$G$226,4,FALSE)</f>
        <v>Pozajmice i krediti</v>
      </c>
      <c r="C51" s="584"/>
      <c r="D51" s="584"/>
      <c r="E51" s="584"/>
      <c r="F51" s="584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83" t="str">
        <f>+VLOOKUP($A52,Master!$D$30:$G$226,4,FALSE)</f>
        <v>Rezerve</v>
      </c>
      <c r="C52" s="584"/>
      <c r="D52" s="584"/>
      <c r="E52" s="584"/>
      <c r="F52" s="584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5" t="str">
        <f>+VLOOKUP($A53,Master!$D$30:$G$226,4,FALSE)</f>
        <v>Otplata garancija</v>
      </c>
      <c r="C53" s="586"/>
      <c r="D53" s="586"/>
      <c r="E53" s="586"/>
      <c r="F53" s="586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5" t="str">
        <f>+VLOOKUP($A54,Master!$D$30:$G$226,4,FALSE)</f>
        <v>Otplata obaveza iz prethodnog perioda</v>
      </c>
      <c r="C54" s="586"/>
      <c r="D54" s="586"/>
      <c r="E54" s="586"/>
      <c r="F54" s="586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5" t="str">
        <f>+VLOOKUP($A55,Master!$D$30:$G$228,4,FALSE)</f>
        <v>Neto povećanje obaveza</v>
      </c>
      <c r="C55" s="586"/>
      <c r="D55" s="586"/>
      <c r="E55" s="586"/>
      <c r="F55" s="586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7" t="str">
        <f>+VLOOKUP($A56,Master!$D$30:$G$226,4,FALSE)</f>
        <v>Suficit / deficit</v>
      </c>
      <c r="C56" s="588"/>
      <c r="D56" s="588"/>
      <c r="E56" s="588"/>
      <c r="F56" s="588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9" t="str">
        <f>+VLOOKUP($A57,Master!$D$30:$G$226,4,FALSE)</f>
        <v>Primarni suficit/deficit</v>
      </c>
      <c r="C57" s="590"/>
      <c r="D57" s="590"/>
      <c r="E57" s="590"/>
      <c r="F57" s="590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1" t="str">
        <f>+VLOOKUP($A58,Master!$D$30:$G$226,4,FALSE)</f>
        <v>Otplata dugova</v>
      </c>
      <c r="C58" s="582"/>
      <c r="D58" s="582"/>
      <c r="E58" s="582"/>
      <c r="F58" s="582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7" t="str">
        <f>+VLOOKUP($A59,Master!$D$30:$G$226,4,FALSE)</f>
        <v>Otplata hartija od vrijednosti i kredita rezidentima</v>
      </c>
      <c r="C59" s="608"/>
      <c r="D59" s="608"/>
      <c r="E59" s="608"/>
      <c r="F59" s="608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83" t="str">
        <f>+VLOOKUP($A60,Master!$D$30:$G$226,4,FALSE)</f>
        <v>Otplata hartija od vrijednosti i kredita nerezidentima</v>
      </c>
      <c r="C60" s="584"/>
      <c r="D60" s="584"/>
      <c r="E60" s="584"/>
      <c r="F60" s="584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9" t="str">
        <f>+VLOOKUP($A62,Master!$D$30:$G$226,4,FALSE)</f>
        <v>Nedostajuća sredstva</v>
      </c>
      <c r="C62" s="610"/>
      <c r="D62" s="610"/>
      <c r="E62" s="610"/>
      <c r="F62" s="610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3" t="str">
        <f>+VLOOKUP($A63,Master!$D$30:$G$226,4,FALSE)</f>
        <v>Finansiranje</v>
      </c>
      <c r="C63" s="574"/>
      <c r="D63" s="574"/>
      <c r="E63" s="574"/>
      <c r="F63" s="574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7" t="str">
        <f>+VLOOKUP($A64,Master!$D$30:$G$226,4,FALSE)</f>
        <v>Pozajmice i krediti od domaćih izvora</v>
      </c>
      <c r="C64" s="608"/>
      <c r="D64" s="608"/>
      <c r="E64" s="608"/>
      <c r="F64" s="608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83" t="str">
        <f>+VLOOKUP($A65,Master!$D$30:$G$226,4,FALSE)</f>
        <v>Pozajmice i krediti od inostranih izvora</v>
      </c>
      <c r="C65" s="584"/>
      <c r="D65" s="584"/>
      <c r="E65" s="584"/>
      <c r="F65" s="584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83" t="str">
        <f>+VLOOKUP($A66,Master!$D$30:$G$226,4,FALSE)</f>
        <v>Primici od prodaje imovine</v>
      </c>
      <c r="C66" s="584"/>
      <c r="D66" s="584"/>
      <c r="E66" s="584"/>
      <c r="F66" s="584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2018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4663130000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1" t="s">
        <v>680</v>
      </c>
      <c r="C10" s="562"/>
      <c r="D10" s="562"/>
      <c r="E10" s="562"/>
      <c r="F10" s="562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65" t="s">
        <v>23</v>
      </c>
      <c r="C12" s="566"/>
      <c r="D12" s="566"/>
      <c r="E12" s="566"/>
      <c r="F12" s="566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65" t="s">
        <v>25</v>
      </c>
      <c r="C13" s="566"/>
      <c r="D13" s="566"/>
      <c r="E13" s="566"/>
      <c r="F13" s="566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65" t="s">
        <v>27</v>
      </c>
      <c r="C14" s="566"/>
      <c r="D14" s="566"/>
      <c r="E14" s="566"/>
      <c r="F14" s="566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65" t="s">
        <v>29</v>
      </c>
      <c r="C15" s="566"/>
      <c r="D15" s="566"/>
      <c r="E15" s="566"/>
      <c r="F15" s="566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65" t="s">
        <v>31</v>
      </c>
      <c r="C16" s="566"/>
      <c r="D16" s="566"/>
      <c r="E16" s="566"/>
      <c r="F16" s="566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65" t="s">
        <v>33</v>
      </c>
      <c r="C17" s="566"/>
      <c r="D17" s="566"/>
      <c r="E17" s="566"/>
      <c r="F17" s="566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65" t="s">
        <v>721</v>
      </c>
      <c r="C18" s="566"/>
      <c r="D18" s="566"/>
      <c r="E18" s="566"/>
      <c r="F18" s="566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9" t="s">
        <v>37</v>
      </c>
      <c r="C19" s="570"/>
      <c r="D19" s="570"/>
      <c r="E19" s="570"/>
      <c r="F19" s="570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65" t="s">
        <v>39</v>
      </c>
      <c r="C20" s="566"/>
      <c r="D20" s="566"/>
      <c r="E20" s="566"/>
      <c r="F20" s="566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65" t="s">
        <v>41</v>
      </c>
      <c r="C21" s="566"/>
      <c r="D21" s="566"/>
      <c r="E21" s="566"/>
      <c r="F21" s="566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65" t="s">
        <v>43</v>
      </c>
      <c r="C22" s="566"/>
      <c r="D22" s="566"/>
      <c r="E22" s="566"/>
      <c r="F22" s="566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65" t="s">
        <v>45</v>
      </c>
      <c r="C23" s="566"/>
      <c r="D23" s="566"/>
      <c r="E23" s="566"/>
      <c r="F23" s="566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7" t="s">
        <v>47</v>
      </c>
      <c r="C24" s="568"/>
      <c r="D24" s="568"/>
      <c r="E24" s="568"/>
      <c r="F24" s="568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7" t="s">
        <v>61</v>
      </c>
      <c r="C25" s="568"/>
      <c r="D25" s="568"/>
      <c r="E25" s="568"/>
      <c r="F25" s="568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7" t="s">
        <v>81</v>
      </c>
      <c r="C26" s="568"/>
      <c r="D26" s="568"/>
      <c r="E26" s="568"/>
      <c r="F26" s="568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7" t="s">
        <v>99</v>
      </c>
      <c r="C27" s="568"/>
      <c r="D27" s="568"/>
      <c r="E27" s="568"/>
      <c r="F27" s="568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75" t="s">
        <v>773</v>
      </c>
      <c r="C30" s="576"/>
      <c r="D30" s="576"/>
      <c r="E30" s="576"/>
      <c r="F30" s="576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7" t="s">
        <v>120</v>
      </c>
      <c r="C31" s="578"/>
      <c r="D31" s="578"/>
      <c r="E31" s="578"/>
      <c r="F31" s="578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65" t="s">
        <v>122</v>
      </c>
      <c r="C32" s="566"/>
      <c r="D32" s="566"/>
      <c r="E32" s="566"/>
      <c r="F32" s="566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65" t="s">
        <v>133</v>
      </c>
      <c r="C33" s="566"/>
      <c r="D33" s="566"/>
      <c r="E33" s="566"/>
      <c r="F33" s="566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65" t="s">
        <v>148</v>
      </c>
      <c r="C34" s="566"/>
      <c r="D34" s="566"/>
      <c r="E34" s="566"/>
      <c r="F34" s="566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65" t="s">
        <v>162</v>
      </c>
      <c r="C35" s="566"/>
      <c r="D35" s="566"/>
      <c r="E35" s="566"/>
      <c r="F35" s="566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65" t="s">
        <v>182</v>
      </c>
      <c r="C36" s="566"/>
      <c r="D36" s="566"/>
      <c r="E36" s="566"/>
      <c r="F36" s="566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65" t="s">
        <v>190</v>
      </c>
      <c r="C37" s="566"/>
      <c r="D37" s="566"/>
      <c r="E37" s="566"/>
      <c r="F37" s="566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65" t="s">
        <v>196</v>
      </c>
      <c r="C38" s="566"/>
      <c r="D38" s="566"/>
      <c r="E38" s="566"/>
      <c r="F38" s="566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65" t="s">
        <v>204</v>
      </c>
      <c r="C39" s="566"/>
      <c r="D39" s="566"/>
      <c r="E39" s="566"/>
      <c r="F39" s="566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65" t="s">
        <v>212</v>
      </c>
      <c r="C40" s="566"/>
      <c r="D40" s="566"/>
      <c r="E40" s="566"/>
      <c r="F40" s="566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65" t="s">
        <v>802</v>
      </c>
      <c r="C41" s="566"/>
      <c r="D41" s="566"/>
      <c r="E41" s="566"/>
      <c r="F41" s="566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1" t="s">
        <v>230</v>
      </c>
      <c r="C42" s="582"/>
      <c r="D42" s="582"/>
      <c r="E42" s="582"/>
      <c r="F42" s="582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65" t="s">
        <v>232</v>
      </c>
      <c r="C43" s="566"/>
      <c r="D43" s="566"/>
      <c r="E43" s="566"/>
      <c r="F43" s="566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65" t="s">
        <v>248</v>
      </c>
      <c r="C44" s="566"/>
      <c r="D44" s="566"/>
      <c r="E44" s="566"/>
      <c r="F44" s="566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65" t="s">
        <v>259</v>
      </c>
      <c r="C45" s="566"/>
      <c r="D45" s="566"/>
      <c r="E45" s="566"/>
      <c r="F45" s="566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65" t="s">
        <v>274</v>
      </c>
      <c r="C46" s="566"/>
      <c r="D46" s="566"/>
      <c r="E46" s="566"/>
      <c r="F46" s="566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2" t="s">
        <v>278</v>
      </c>
      <c r="C47" s="673"/>
      <c r="D47" s="673"/>
      <c r="E47" s="673"/>
      <c r="F47" s="673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9" t="s">
        <v>286</v>
      </c>
      <c r="C48" s="580"/>
      <c r="D48" s="580"/>
      <c r="E48" s="580"/>
      <c r="F48" s="580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9" t="s">
        <v>320</v>
      </c>
      <c r="C49" s="580"/>
      <c r="D49" s="580"/>
      <c r="E49" s="580"/>
      <c r="F49" s="580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8" t="s">
        <v>113</v>
      </c>
      <c r="C50" s="659"/>
      <c r="D50" s="659"/>
      <c r="E50" s="659"/>
      <c r="F50" s="659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83" t="s">
        <v>366</v>
      </c>
      <c r="C51" s="584"/>
      <c r="D51" s="584"/>
      <c r="E51" s="584"/>
      <c r="F51" s="584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5" t="s">
        <v>359</v>
      </c>
      <c r="C52" s="586"/>
      <c r="D52" s="586"/>
      <c r="E52" s="586"/>
      <c r="F52" s="586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52" t="s">
        <v>794</v>
      </c>
      <c r="C53" s="653"/>
      <c r="D53" s="653"/>
      <c r="E53" s="653"/>
      <c r="F53" s="653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54" t="s">
        <v>684</v>
      </c>
      <c r="C54" s="655"/>
      <c r="D54" s="655"/>
      <c r="E54" s="655"/>
      <c r="F54" s="655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7" t="s">
        <v>545</v>
      </c>
      <c r="C55" s="588"/>
      <c r="D55" s="588"/>
      <c r="E55" s="588"/>
      <c r="F55" s="588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9" t="s">
        <v>793</v>
      </c>
      <c r="C57" s="590"/>
      <c r="D57" s="590"/>
      <c r="E57" s="590"/>
      <c r="F57" s="590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1" t="s">
        <v>352</v>
      </c>
      <c r="C58" s="612"/>
      <c r="D58" s="612"/>
      <c r="E58" s="612"/>
      <c r="F58" s="612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7" t="s">
        <v>355</v>
      </c>
      <c r="C59" s="608"/>
      <c r="D59" s="608"/>
      <c r="E59" s="608"/>
      <c r="F59" s="608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83" t="s">
        <v>357</v>
      </c>
      <c r="C60" s="584"/>
      <c r="D60" s="584"/>
      <c r="E60" s="584"/>
      <c r="F60" s="584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4" t="s">
        <v>336</v>
      </c>
      <c r="C61" s="675"/>
      <c r="D61" s="675"/>
      <c r="E61" s="675"/>
      <c r="F61" s="675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9" t="s">
        <v>543</v>
      </c>
      <c r="C62" s="610"/>
      <c r="D62" s="610"/>
      <c r="E62" s="610"/>
      <c r="F62" s="610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3" t="s">
        <v>544</v>
      </c>
      <c r="C63" s="574"/>
      <c r="D63" s="574"/>
      <c r="E63" s="574"/>
      <c r="F63" s="574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7" t="s">
        <v>114</v>
      </c>
      <c r="C64" s="608"/>
      <c r="D64" s="608"/>
      <c r="E64" s="608"/>
      <c r="F64" s="608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83" t="s">
        <v>116</v>
      </c>
      <c r="C65" s="584"/>
      <c r="D65" s="584"/>
      <c r="E65" s="584"/>
      <c r="F65" s="584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83" t="s">
        <v>93</v>
      </c>
      <c r="C66" s="584"/>
      <c r="D66" s="584"/>
      <c r="E66" s="584"/>
      <c r="F66" s="584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9" t="s">
        <v>551</v>
      </c>
      <c r="C103" s="640"/>
      <c r="D103" s="640"/>
      <c r="E103" s="640"/>
      <c r="F103" s="640"/>
      <c r="G103" s="647">
        <v>2018</v>
      </c>
      <c r="H103" s="648"/>
      <c r="I103" s="648"/>
      <c r="J103" s="648"/>
      <c r="K103" s="648"/>
      <c r="L103" s="648"/>
      <c r="M103" s="648"/>
      <c r="N103" s="648"/>
      <c r="O103" s="648"/>
      <c r="P103" s="648"/>
      <c r="Q103" s="648"/>
      <c r="R103" s="649"/>
      <c r="S103" s="96" t="str">
        <f>+S7</f>
        <v>BDP</v>
      </c>
      <c r="T103" s="97">
        <f>+T7</f>
        <v>4663130000</v>
      </c>
    </row>
    <row r="104" spans="1:21" ht="15.75" customHeight="1">
      <c r="B104" s="641"/>
      <c r="C104" s="642"/>
      <c r="D104" s="642"/>
      <c r="E104" s="642"/>
      <c r="F104" s="64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7" t="s">
        <v>806</v>
      </c>
      <c r="T104" s="649">
        <f>+T8</f>
        <v>0</v>
      </c>
    </row>
    <row r="105" spans="1:21" ht="13.5" thickBot="1">
      <c r="B105" s="644"/>
      <c r="C105" s="645"/>
      <c r="D105" s="645"/>
      <c r="E105" s="645"/>
      <c r="F105" s="64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2" t="s">
        <v>680</v>
      </c>
      <c r="C106" s="663"/>
      <c r="D106" s="663"/>
      <c r="E106" s="663"/>
      <c r="F106" s="663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7" t="s">
        <v>21</v>
      </c>
      <c r="C107" s="638"/>
      <c r="D107" s="638"/>
      <c r="E107" s="638"/>
      <c r="F107" s="638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9" t="s">
        <v>23</v>
      </c>
      <c r="C108" s="630"/>
      <c r="D108" s="630"/>
      <c r="E108" s="630"/>
      <c r="F108" s="630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9" t="s">
        <v>25</v>
      </c>
      <c r="C109" s="630"/>
      <c r="D109" s="630"/>
      <c r="E109" s="630"/>
      <c r="F109" s="630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9" t="s">
        <v>27</v>
      </c>
      <c r="C110" s="630"/>
      <c r="D110" s="630"/>
      <c r="E110" s="630"/>
      <c r="F110" s="630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9" t="s">
        <v>29</v>
      </c>
      <c r="C111" s="630"/>
      <c r="D111" s="630"/>
      <c r="E111" s="630"/>
      <c r="F111" s="630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9" t="s">
        <v>31</v>
      </c>
      <c r="C112" s="630"/>
      <c r="D112" s="630"/>
      <c r="E112" s="630"/>
      <c r="F112" s="630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9" t="s">
        <v>33</v>
      </c>
      <c r="C113" s="630"/>
      <c r="D113" s="630"/>
      <c r="E113" s="630"/>
      <c r="F113" s="630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9" t="s">
        <v>721</v>
      </c>
      <c r="C114" s="630"/>
      <c r="D114" s="630"/>
      <c r="E114" s="630"/>
      <c r="F114" s="630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4" t="s">
        <v>37</v>
      </c>
      <c r="C115" s="665"/>
      <c r="D115" s="665"/>
      <c r="E115" s="665"/>
      <c r="F115" s="665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9" t="s">
        <v>39</v>
      </c>
      <c r="C116" s="630"/>
      <c r="D116" s="630"/>
      <c r="E116" s="630"/>
      <c r="F116" s="630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9" t="s">
        <v>41</v>
      </c>
      <c r="C117" s="630"/>
      <c r="D117" s="630"/>
      <c r="E117" s="630"/>
      <c r="F117" s="630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9" t="s">
        <v>43</v>
      </c>
      <c r="C118" s="630"/>
      <c r="D118" s="630"/>
      <c r="E118" s="630"/>
      <c r="F118" s="630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9" t="s">
        <v>45</v>
      </c>
      <c r="C119" s="630"/>
      <c r="D119" s="630"/>
      <c r="E119" s="630"/>
      <c r="F119" s="630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5" t="s">
        <v>47</v>
      </c>
      <c r="C120" s="636"/>
      <c r="D120" s="636"/>
      <c r="E120" s="636"/>
      <c r="F120" s="636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5" t="s">
        <v>61</v>
      </c>
      <c r="C121" s="636"/>
      <c r="D121" s="636"/>
      <c r="E121" s="636"/>
      <c r="F121" s="636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5" t="s">
        <v>81</v>
      </c>
      <c r="C122" s="636"/>
      <c r="D122" s="636"/>
      <c r="E122" s="636"/>
      <c r="F122" s="636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5" t="s">
        <v>99</v>
      </c>
      <c r="C123" s="636"/>
      <c r="D123" s="636"/>
      <c r="E123" s="636"/>
      <c r="F123" s="636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1" t="s">
        <v>105</v>
      </c>
      <c r="C124" s="632"/>
      <c r="D124" s="632"/>
      <c r="E124" s="632"/>
      <c r="F124" s="632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13" t="s">
        <v>808</v>
      </c>
      <c r="C125" s="614"/>
      <c r="D125" s="614"/>
      <c r="E125" s="614"/>
      <c r="F125" s="61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8" t="s">
        <v>773</v>
      </c>
      <c r="C126" s="669"/>
      <c r="D126" s="669"/>
      <c r="E126" s="669"/>
      <c r="F126" s="669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33" t="s">
        <v>120</v>
      </c>
      <c r="C127" s="634"/>
      <c r="D127" s="634"/>
      <c r="E127" s="634"/>
      <c r="F127" s="634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9" t="s">
        <v>122</v>
      </c>
      <c r="C128" s="630"/>
      <c r="D128" s="630"/>
      <c r="E128" s="630"/>
      <c r="F128" s="630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9" t="s">
        <v>133</v>
      </c>
      <c r="C129" s="630"/>
      <c r="D129" s="630"/>
      <c r="E129" s="630"/>
      <c r="F129" s="630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9" t="s">
        <v>148</v>
      </c>
      <c r="C130" s="630"/>
      <c r="D130" s="630"/>
      <c r="E130" s="630"/>
      <c r="F130" s="630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9" t="s">
        <v>162</v>
      </c>
      <c r="C131" s="630"/>
      <c r="D131" s="630"/>
      <c r="E131" s="630"/>
      <c r="F131" s="630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9" t="s">
        <v>182</v>
      </c>
      <c r="C132" s="630"/>
      <c r="D132" s="630"/>
      <c r="E132" s="630"/>
      <c r="F132" s="630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9" t="s">
        <v>190</v>
      </c>
      <c r="C133" s="630"/>
      <c r="D133" s="630"/>
      <c r="E133" s="630"/>
      <c r="F133" s="630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9" t="s">
        <v>196</v>
      </c>
      <c r="C134" s="630"/>
      <c r="D134" s="630"/>
      <c r="E134" s="630"/>
      <c r="F134" s="630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9" t="s">
        <v>204</v>
      </c>
      <c r="C135" s="630"/>
      <c r="D135" s="630"/>
      <c r="E135" s="630"/>
      <c r="F135" s="630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9" t="s">
        <v>212</v>
      </c>
      <c r="C136" s="630"/>
      <c r="D136" s="630"/>
      <c r="E136" s="630"/>
      <c r="F136" s="630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9" t="s">
        <v>802</v>
      </c>
      <c r="C137" s="630"/>
      <c r="D137" s="630"/>
      <c r="E137" s="630"/>
      <c r="F137" s="630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25" t="s">
        <v>230</v>
      </c>
      <c r="C138" s="626"/>
      <c r="D138" s="626"/>
      <c r="E138" s="626"/>
      <c r="F138" s="626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9" t="s">
        <v>232</v>
      </c>
      <c r="C139" s="630"/>
      <c r="D139" s="630"/>
      <c r="E139" s="630"/>
      <c r="F139" s="630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9" t="s">
        <v>248</v>
      </c>
      <c r="C140" s="630"/>
      <c r="D140" s="630"/>
      <c r="E140" s="630"/>
      <c r="F140" s="630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9" t="s">
        <v>259</v>
      </c>
      <c r="C141" s="630"/>
      <c r="D141" s="630"/>
      <c r="E141" s="630"/>
      <c r="F141" s="630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9" t="s">
        <v>274</v>
      </c>
      <c r="C142" s="630"/>
      <c r="D142" s="630"/>
      <c r="E142" s="630"/>
      <c r="F142" s="630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9" t="s">
        <v>278</v>
      </c>
      <c r="C143" s="630"/>
      <c r="D143" s="630"/>
      <c r="E143" s="630"/>
      <c r="F143" s="630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7" t="s">
        <v>286</v>
      </c>
      <c r="C144" s="628"/>
      <c r="D144" s="628"/>
      <c r="E144" s="628"/>
      <c r="F144" s="62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7" t="s">
        <v>809</v>
      </c>
      <c r="C145" s="628"/>
      <c r="D145" s="628"/>
      <c r="E145" s="628"/>
      <c r="F145" s="62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9" t="s">
        <v>113</v>
      </c>
      <c r="C146" s="620"/>
      <c r="D146" s="620"/>
      <c r="E146" s="620"/>
      <c r="F146" s="62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9" t="s">
        <v>366</v>
      </c>
      <c r="C147" s="620"/>
      <c r="D147" s="620"/>
      <c r="E147" s="620"/>
      <c r="F147" s="62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9" t="s">
        <v>359</v>
      </c>
      <c r="C148" s="620"/>
      <c r="D148" s="620"/>
      <c r="E148" s="620"/>
      <c r="F148" s="62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21" t="s">
        <v>545</v>
      </c>
      <c r="C150" s="622"/>
      <c r="D150" s="622"/>
      <c r="E150" s="622"/>
      <c r="F150" s="622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23" t="s">
        <v>810</v>
      </c>
      <c r="C151" s="624"/>
      <c r="D151" s="624"/>
      <c r="E151" s="624"/>
      <c r="F151" s="624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25" t="s">
        <v>352</v>
      </c>
      <c r="C152" s="626"/>
      <c r="D152" s="626"/>
      <c r="E152" s="626"/>
      <c r="F152" s="626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7" t="s">
        <v>355</v>
      </c>
      <c r="C153" s="618"/>
      <c r="D153" s="618"/>
      <c r="E153" s="618"/>
      <c r="F153" s="618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9" t="s">
        <v>357</v>
      </c>
      <c r="C154" s="620"/>
      <c r="D154" s="620"/>
      <c r="E154" s="620"/>
      <c r="F154" s="62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9" t="s">
        <v>365</v>
      </c>
      <c r="C155" s="620"/>
      <c r="D155" s="620"/>
      <c r="E155" s="620"/>
      <c r="F155" s="62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15" t="s">
        <v>543</v>
      </c>
      <c r="C157" s="616"/>
      <c r="D157" s="616"/>
      <c r="E157" s="616"/>
      <c r="F157" s="616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13" t="s">
        <v>544</v>
      </c>
      <c r="C158" s="614"/>
      <c r="D158" s="614"/>
      <c r="E158" s="614"/>
      <c r="F158" s="61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7" t="s">
        <v>114</v>
      </c>
      <c r="C159" s="618"/>
      <c r="D159" s="618"/>
      <c r="E159" s="618"/>
      <c r="F159" s="618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9" t="s">
        <v>116</v>
      </c>
      <c r="C160" s="620"/>
      <c r="D160" s="620"/>
      <c r="E160" s="620"/>
      <c r="F160" s="62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9" t="s">
        <v>93</v>
      </c>
      <c r="C161" s="620"/>
      <c r="D161" s="620"/>
      <c r="E161" s="620"/>
      <c r="F161" s="62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9" t="s">
        <v>554</v>
      </c>
      <c r="F6" s="677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8"/>
      <c r="R6" s="677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8"/>
      <c r="AD6" s="677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8"/>
      <c r="AP6" s="677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8"/>
      <c r="BB6" s="677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8"/>
      <c r="BN6" s="677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8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7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8"/>
      <c r="CX6" s="677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8"/>
      <c r="DJ6" s="677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8"/>
    </row>
    <row r="7" spans="1:321">
      <c r="E7" s="679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9" t="s">
        <v>675</v>
      </c>
      <c r="F214" s="677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8"/>
      <c r="R214" s="677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8"/>
      <c r="AD214" s="677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8"/>
      <c r="AP214" s="677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8"/>
      <c r="BB214" s="677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8"/>
      <c r="BN214" s="677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8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7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8"/>
      <c r="CX214" s="677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8"/>
      <c r="DJ214" s="677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8"/>
    </row>
    <row r="215" spans="1:187">
      <c r="E215" s="679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10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Oktobar</v>
      </c>
    </row>
    <row r="246" spans="4:7">
      <c r="D246" s="41"/>
      <c r="G246" s="44" t="str">
        <f>+CONCATENATE("Jan - ",LEFT(G245,3))</f>
        <v>Jan - Okt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Okt</v>
      </c>
      <c r="F254" s="6" t="str">
        <f>+CONCATENATE("Analytics for period ",G246)</f>
        <v>Analytics for period Jan - Okt</v>
      </c>
      <c r="G254" s="44" t="str">
        <f>+IF(ISBLANK(IF($B$2=1,E254,F254)),"",IF($B$2=1,E254,F254))</f>
        <v>Analitika za period Jan - Okt</v>
      </c>
    </row>
    <row r="255" spans="4:7">
      <c r="E255" s="5" t="str">
        <f>+CONCATENATE("Analitika za period ",G245)</f>
        <v>Analitika za period Oktobar</v>
      </c>
      <c r="F255" s="6" t="str">
        <f>+CONCATENATE("Analytics for period ",G245)</f>
        <v>Analytics for period Oktobar</v>
      </c>
      <c r="G255" s="44" t="str">
        <f>+IF(ISBLANK(IF($B$2=1,E255,F255)),"",IF($B$2=1,E255,F255))</f>
        <v>Analitika za period Oktobar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Oktobar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Oktobar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Oktobar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Oktobar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Oktobar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Oktobar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H5" sqref="H5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Oktobar</v>
      </c>
      <c r="G11" s="122" t="str">
        <f>+Master!G274</f>
        <v>Prihodi za period Januar - Oktobar</v>
      </c>
      <c r="J11" s="121"/>
    </row>
    <row r="12" spans="3:10">
      <c r="C12" s="120"/>
      <c r="D12" s="123">
        <f>+'Analitika 2024'!N10</f>
        <v>240433854.94999999</v>
      </c>
      <c r="E12" s="427">
        <f>+D12/'2024'!T7</f>
        <v>3.3027989470719943E-2</v>
      </c>
      <c r="G12" s="123">
        <f>+'Analitika 2024'!G10</f>
        <v>2317675582.5899997</v>
      </c>
      <c r="H12" s="427">
        <f>+G12/'2024'!T7</f>
        <v>0.31837515043064957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Oktobar</v>
      </c>
      <c r="G15" s="122" t="str">
        <f>+Master!G275</f>
        <v>Rashodi za period Januar - Oktobar</v>
      </c>
      <c r="J15" s="121"/>
    </row>
    <row r="16" spans="3:10">
      <c r="C16" s="120"/>
      <c r="D16" s="123">
        <f>+'Analitika 2024'!N29</f>
        <v>253541261.47</v>
      </c>
      <c r="E16" s="427">
        <f>+D16/'2024'!T7</f>
        <v>3.4828531597455942E-2</v>
      </c>
      <c r="G16" s="123">
        <f>+'Analitika 2024'!G29</f>
        <v>2242570708.5199995</v>
      </c>
      <c r="H16" s="427">
        <f>+G16/'2024'!T7</f>
        <v>0.30805812169732261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Oktobar</v>
      </c>
      <c r="G19" s="122" t="str">
        <f>+Master!G276</f>
        <v>Suficit/Deficit za period Januar - Oktobar</v>
      </c>
      <c r="J19" s="121"/>
    </row>
    <row r="20" spans="3:11">
      <c r="C20" s="120"/>
      <c r="D20" s="123">
        <f>+'Analitika 2024'!N53</f>
        <v>-13107406.520000011</v>
      </c>
      <c r="E20" s="427">
        <f>+D20/'2024'!T7</f>
        <v>-1.8005421267359933E-3</v>
      </c>
      <c r="G20" s="123">
        <f>+'Analitika 2024'!G53</f>
        <v>75104874.070000201</v>
      </c>
      <c r="H20" s="427">
        <f>+G20/'2024'!T7</f>
        <v>1.031702873332695E-2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KyQVNmac1WxTHOWEjyMfcCtE7e8j3f29wm38i9WGVVYQhulLlgrBpUV3K+mGfcOtnkJOSifQ5QlG0wd5QWk7fw==" saltValue="7QvgbDtSF8VMUmLVfjaCi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D6" sqref="D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2024-10</v>
      </c>
      <c r="O6" s="128" t="str">
        <f>+CONCATENATE(N6,"p")</f>
        <v>2024-10p</v>
      </c>
      <c r="P6" s="116"/>
      <c r="Q6" s="116"/>
      <c r="R6" s="128" t="str">
        <f>+IF(Master!B3-10&gt;=0,CONCATENATE(Master!B4-1,"-",Master!B3),CONCATENATE(Master!B4-1,"-0",Master!B3))</f>
        <v>2023-10</v>
      </c>
      <c r="S6" s="116"/>
      <c r="T6" s="116"/>
    </row>
    <row r="7" spans="1:25" ht="14.25" customHeight="1">
      <c r="A7" s="129"/>
      <c r="B7" s="593" t="str">
        <f>+Master!G254</f>
        <v>Analitika za period Jan - Okt</v>
      </c>
      <c r="C7" s="594"/>
      <c r="D7" s="594"/>
      <c r="E7" s="594"/>
      <c r="F7" s="594"/>
      <c r="G7" s="602" t="str">
        <f>+Master!G246</f>
        <v>Jan - Okt</v>
      </c>
      <c r="H7" s="603"/>
      <c r="I7" s="603"/>
      <c r="J7" s="603"/>
      <c r="K7" s="603"/>
      <c r="L7" s="603"/>
      <c r="M7" s="606"/>
      <c r="N7" s="603" t="str">
        <f>+Master!G245</f>
        <v>Oktobar</v>
      </c>
      <c r="O7" s="603"/>
      <c r="P7" s="603"/>
      <c r="Q7" s="603"/>
      <c r="R7" s="603"/>
      <c r="S7" s="603"/>
      <c r="T7" s="606"/>
    </row>
    <row r="8" spans="1:25" ht="29.25" customHeight="1">
      <c r="A8" s="129"/>
      <c r="B8" s="595"/>
      <c r="C8" s="596"/>
      <c r="D8" s="596"/>
      <c r="E8" s="596"/>
      <c r="F8" s="597"/>
      <c r="G8" s="487" t="str">
        <f>+Master!G26</f>
        <v>Ostvarenje</v>
      </c>
      <c r="H8" s="3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Okt 2023</v>
      </c>
      <c r="L8" s="591" t="str">
        <f>+I8</f>
        <v>Odstupanje</v>
      </c>
      <c r="M8" s="592"/>
      <c r="N8" s="487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Oktobar 2023</v>
      </c>
      <c r="S8" s="591" t="str">
        <f>+P8</f>
        <v>Odstupanje</v>
      </c>
      <c r="T8" s="592"/>
    </row>
    <row r="9" spans="1:25" ht="15.75" thickBot="1">
      <c r="A9" s="129"/>
      <c r="B9" s="598"/>
      <c r="C9" s="599"/>
      <c r="D9" s="599"/>
      <c r="E9" s="599"/>
      <c r="F9" s="600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'2024'!S10</f>
        <v>2317675582.5899997</v>
      </c>
      <c r="H10" s="136">
        <f>SUM('2024'!G86:P86)</f>
        <v>2283746918.8636193</v>
      </c>
      <c r="I10" s="137">
        <f>+G10-H10</f>
        <v>33928663.726380348</v>
      </c>
      <c r="J10" s="139">
        <f>IF(+IF(ISERROR(G10/H10),"…",G10/H10-1)&gt;200%,"...",IF(ISERROR(G10/H10),"…",G10/H10-1))</f>
        <v>1.4856577778444402E-2</v>
      </c>
      <c r="K10" s="136">
        <f>SUM('2023'!G10:P10)</f>
        <v>2123762526.5</v>
      </c>
      <c r="L10" s="137">
        <f>+G10-K10</f>
        <v>193913056.08999968</v>
      </c>
      <c r="M10" s="141">
        <f>IF(+IF(ISERROR(G10/K10),"…",G10/K10-1)&gt;200%,"...",IF(ISERROR(G10/K10),"…",G10/K10-1))</f>
        <v>9.1306374262838164E-2</v>
      </c>
      <c r="N10" s="136">
        <f>'2024'!P10</f>
        <v>240433854.94999999</v>
      </c>
      <c r="O10" s="136">
        <f>'2024'!P86</f>
        <v>235724553.51601768</v>
      </c>
      <c r="P10" s="137">
        <f>+N10-O10</f>
        <v>4709301.4339823127</v>
      </c>
      <c r="Q10" s="139">
        <f>IF(+IF(ISERROR(N10/O10),"…",N10/O10-1)&gt;200%,"...",IF(ISERROR(N10/O10),"…",N10/O10-1))</f>
        <v>1.9977984320001418E-2</v>
      </c>
      <c r="R10" s="136">
        <f>'2023'!P10</f>
        <v>220012875.28999999</v>
      </c>
      <c r="S10" s="137">
        <f>+N10-R10</f>
        <v>20420979.659999996</v>
      </c>
      <c r="T10" s="141">
        <f>IF(+IF(ISERROR(N10/R10),"…",N10/R10-1)&gt;200%,"...",IF(ISERROR(N10/R10),"…",N10/R10-1))</f>
        <v>9.2817202779987396E-2</v>
      </c>
      <c r="W10" s="470"/>
      <c r="Y10" s="470"/>
    </row>
    <row r="11" spans="1:25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262">
        <f>'2024'!S11</f>
        <v>1668980871.1700001</v>
      </c>
      <c r="H11" s="262">
        <f>SUM('2024'!G87:P87)</f>
        <v>1640762851.2321842</v>
      </c>
      <c r="I11" s="143">
        <f t="shared" ref="I11:I57" si="0">+G11-H11</f>
        <v>28218019.937815905</v>
      </c>
      <c r="J11" s="145">
        <f t="shared" ref="J11:J66" si="1">IF(+IF(ISERROR(G11/H11-1),"…",G11/H11-1)&gt;200%,"...",IF(ISERROR(G11/H11-1),"…",G11/H11-1))</f>
        <v>1.7198109962463404E-2</v>
      </c>
      <c r="K11" s="262">
        <f>SUM('2023'!G11:P11)</f>
        <v>1411723982.4699998</v>
      </c>
      <c r="L11" s="143">
        <f>+G11-K11</f>
        <v>257256888.70000029</v>
      </c>
      <c r="M11" s="147">
        <f t="shared" ref="M11:M66" si="2">IF(+IF(ISERROR(G11/K11),"…",G11/K11-1)&gt;200%,"...",IF(ISERROR(G11/K11),"…",G11/K11-1))</f>
        <v>0.18222888602479848</v>
      </c>
      <c r="N11" s="262">
        <f>'2024'!P11</f>
        <v>170940704.73000002</v>
      </c>
      <c r="O11" s="262">
        <f>'2024'!P87</f>
        <v>153706833.67658257</v>
      </c>
      <c r="P11" s="143">
        <f>+N11-O11</f>
        <v>17233871.053417444</v>
      </c>
      <c r="Q11" s="145">
        <f t="shared" ref="Q11:Q66" si="3">IF(+IF(ISERROR(N11/O11),"…",N11/O11-1)&gt;200%,"...",IF(ISERROR(N11/O11),"…",N11/O11-1))</f>
        <v>0.11212169713728892</v>
      </c>
      <c r="R11" s="262">
        <f>'2023'!P11</f>
        <v>146031901.31</v>
      </c>
      <c r="S11" s="143">
        <f t="shared" ref="S11:S57" si="4">+N11-R11</f>
        <v>24908803.420000017</v>
      </c>
      <c r="T11" s="147">
        <f t="shared" ref="T11:T66" si="5">IF(+IF(ISERROR(N11/R11),"…",N11/R11-1)&gt;200%,"...",IF(ISERROR(N11/R11),"…",N11/R11-1))</f>
        <v>0.17057097248308106</v>
      </c>
      <c r="W11" s="470"/>
      <c r="Y11" s="470"/>
    </row>
    <row r="12" spans="1:25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'2024'!S12</f>
        <v>70000406.510000005</v>
      </c>
      <c r="H12" s="148">
        <f>SUM('2024'!G88:P88)</f>
        <v>66818407.200109459</v>
      </c>
      <c r="I12" s="149">
        <f t="shared" si="0"/>
        <v>3181999.3098905459</v>
      </c>
      <c r="J12" s="151">
        <f t="shared" si="1"/>
        <v>4.7621597748671363E-2</v>
      </c>
      <c r="K12" s="148">
        <f>SUM('2023'!G12:P12)</f>
        <v>50131844.5</v>
      </c>
      <c r="L12" s="149">
        <f>+G12-K12</f>
        <v>19868562.010000005</v>
      </c>
      <c r="M12" s="153">
        <f t="shared" si="2"/>
        <v>0.39632617168115569</v>
      </c>
      <c r="N12" s="148">
        <f>'2024'!P12</f>
        <v>10490866.800000001</v>
      </c>
      <c r="O12" s="148">
        <f>'2024'!P88</f>
        <v>8280983.0276610926</v>
      </c>
      <c r="P12" s="149">
        <f t="shared" ref="P12:P57" si="6">+N12-O12</f>
        <v>2209883.7723389082</v>
      </c>
      <c r="Q12" s="151">
        <f t="shared" si="3"/>
        <v>0.26686249264817952</v>
      </c>
      <c r="R12" s="148">
        <f>'2023'!P12</f>
        <v>6808747.9500000002</v>
      </c>
      <c r="S12" s="149">
        <f t="shared" si="4"/>
        <v>3682118.8500000006</v>
      </c>
      <c r="T12" s="153">
        <f t="shared" si="5"/>
        <v>0.54079235669165882</v>
      </c>
      <c r="W12" s="470"/>
      <c r="Y12" s="470"/>
    </row>
    <row r="13" spans="1:25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'2024'!S13</f>
        <v>205898816.11999997</v>
      </c>
      <c r="H13" s="148">
        <f>SUM('2024'!G89:P89)</f>
        <v>202979603.35553202</v>
      </c>
      <c r="I13" s="149">
        <f t="shared" si="0"/>
        <v>2919212.7644679546</v>
      </c>
      <c r="J13" s="151">
        <f t="shared" si="1"/>
        <v>1.4381803472907295E-2</v>
      </c>
      <c r="K13" s="148">
        <f>SUM('2023'!G13:P13)</f>
        <v>143288029.15000001</v>
      </c>
      <c r="L13" s="149">
        <f t="shared" ref="L13:L57" si="7">+G13-K13</f>
        <v>62610786.969999969</v>
      </c>
      <c r="M13" s="153">
        <f t="shared" si="2"/>
        <v>0.43695755564099725</v>
      </c>
      <c r="N13" s="148">
        <f>'2024'!P13</f>
        <v>1559675.82</v>
      </c>
      <c r="O13" s="148">
        <f>'2024'!P89</f>
        <v>998970.87553201988</v>
      </c>
      <c r="P13" s="149">
        <f t="shared" si="6"/>
        <v>560704.94446798018</v>
      </c>
      <c r="Q13" s="151">
        <f t="shared" si="3"/>
        <v>0.56128257409843574</v>
      </c>
      <c r="R13" s="148">
        <f>'2023'!P13</f>
        <v>2296101.2799999998</v>
      </c>
      <c r="S13" s="149">
        <f t="shared" si="4"/>
        <v>-736425.45999999973</v>
      </c>
      <c r="T13" s="153">
        <f t="shared" si="5"/>
        <v>-0.32072864834603454</v>
      </c>
      <c r="W13" s="470"/>
      <c r="Y13" s="470"/>
    </row>
    <row r="14" spans="1:25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'2024'!S14</f>
        <v>0</v>
      </c>
      <c r="H14" s="148">
        <f>SUM('2024'!G90:P90)</f>
        <v>0</v>
      </c>
      <c r="I14" s="149">
        <f t="shared" si="0"/>
        <v>0</v>
      </c>
      <c r="J14" s="151" t="str">
        <f t="shared" si="1"/>
        <v>...</v>
      </c>
      <c r="K14" s="148">
        <f>SUM('2023'!G14:P14)</f>
        <v>0</v>
      </c>
      <c r="L14" s="149">
        <f t="shared" si="7"/>
        <v>0</v>
      </c>
      <c r="M14" s="153" t="str">
        <f t="shared" si="2"/>
        <v>...</v>
      </c>
      <c r="N14" s="148">
        <f>'2024'!P14</f>
        <v>0</v>
      </c>
      <c r="O14" s="148">
        <f>'2024'!P90</f>
        <v>0</v>
      </c>
      <c r="P14" s="149">
        <f t="shared" si="6"/>
        <v>0</v>
      </c>
      <c r="Q14" s="151" t="str">
        <f t="shared" si="3"/>
        <v>...</v>
      </c>
      <c r="R14" s="148">
        <f>'2023'!P14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'2024'!S15</f>
        <v>1020489514.9000001</v>
      </c>
      <c r="H15" s="148">
        <f>SUM('2024'!G91:P91)</f>
        <v>1004262535.4964161</v>
      </c>
      <c r="I15" s="149">
        <f t="shared" si="0"/>
        <v>16226979.403584003</v>
      </c>
      <c r="J15" s="151">
        <f t="shared" si="1"/>
        <v>1.6158104907859405E-2</v>
      </c>
      <c r="K15" s="148">
        <f>SUM('2023'!G15:P15)</f>
        <v>892943020.36000013</v>
      </c>
      <c r="L15" s="149">
        <f t="shared" si="7"/>
        <v>127546494.53999996</v>
      </c>
      <c r="M15" s="153">
        <f t="shared" si="2"/>
        <v>0.14283833529330692</v>
      </c>
      <c r="N15" s="148">
        <f>'2024'!P15</f>
        <v>118929652.58</v>
      </c>
      <c r="O15" s="148">
        <f>'2024'!P91</f>
        <v>106592102.58641601</v>
      </c>
      <c r="P15" s="149">
        <f t="shared" si="6"/>
        <v>12337549.993583992</v>
      </c>
      <c r="Q15" s="151">
        <f t="shared" si="3"/>
        <v>0.11574544168112011</v>
      </c>
      <c r="R15" s="148">
        <f>'2023'!P15</f>
        <v>102950012.68000001</v>
      </c>
      <c r="S15" s="149">
        <f t="shared" si="4"/>
        <v>15979639.899999991</v>
      </c>
      <c r="T15" s="153">
        <f t="shared" si="5"/>
        <v>0.15521746412668813</v>
      </c>
      <c r="W15" s="470"/>
      <c r="Y15" s="470"/>
    </row>
    <row r="16" spans="1:25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'2024'!S16</f>
        <v>309947316.21000004</v>
      </c>
      <c r="H16" s="148">
        <f>SUM('2024'!G92:P92)</f>
        <v>305823374.50885695</v>
      </c>
      <c r="I16" s="149">
        <f t="shared" si="0"/>
        <v>4123941.701143086</v>
      </c>
      <c r="J16" s="151">
        <f t="shared" si="1"/>
        <v>1.3484717143567027E-2</v>
      </c>
      <c r="K16" s="148">
        <f>SUM('2023'!G16:P16)</f>
        <v>270451734.31999999</v>
      </c>
      <c r="L16" s="149">
        <f t="shared" si="7"/>
        <v>39495581.890000045</v>
      </c>
      <c r="M16" s="153">
        <f t="shared" si="2"/>
        <v>0.14603560220940803</v>
      </c>
      <c r="N16" s="148">
        <f>'2024'!P16</f>
        <v>33032024.920000002</v>
      </c>
      <c r="O16" s="148">
        <f>'2024'!P92</f>
        <v>32313707.2157037</v>
      </c>
      <c r="P16" s="149">
        <f t="shared" si="6"/>
        <v>718317.70429630205</v>
      </c>
      <c r="Q16" s="151">
        <f t="shared" si="3"/>
        <v>2.2229504634095898E-2</v>
      </c>
      <c r="R16" s="148">
        <f>'2023'!P16</f>
        <v>28234460.510000002</v>
      </c>
      <c r="S16" s="149">
        <f t="shared" si="4"/>
        <v>4797564.41</v>
      </c>
      <c r="T16" s="153">
        <f t="shared" si="5"/>
        <v>0.16991875613493002</v>
      </c>
      <c r="W16" s="470"/>
      <c r="Y16" s="470"/>
    </row>
    <row r="17" spans="1:25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'2024'!S17</f>
        <v>50225678.159999996</v>
      </c>
      <c r="H17" s="148">
        <f>SUM('2024'!G93:P93)</f>
        <v>48872751.739349455</v>
      </c>
      <c r="I17" s="149">
        <f t="shared" si="0"/>
        <v>1352926.4206505418</v>
      </c>
      <c r="J17" s="151">
        <f t="shared" si="1"/>
        <v>2.7682632397415086E-2</v>
      </c>
      <c r="K17" s="148">
        <f>SUM('2023'!G17:P17)</f>
        <v>43521988.550000004</v>
      </c>
      <c r="L17" s="149">
        <f t="shared" si="7"/>
        <v>6703689.609999992</v>
      </c>
      <c r="M17" s="153">
        <f t="shared" si="2"/>
        <v>0.15402994746663512</v>
      </c>
      <c r="N17" s="148">
        <f>'2024'!P17</f>
        <v>5536331.3300000001</v>
      </c>
      <c r="O17" s="148">
        <f>'2024'!P93</f>
        <v>4514923.99934946</v>
      </c>
      <c r="P17" s="149" t="s">
        <v>92</v>
      </c>
      <c r="Q17" s="151">
        <f>IF(+IF(ISERROR(N17/O17),"…",N17/O17-1)&gt;200%,"...",IF(ISERROR(N17/O17),"…",N17/O17-1))</f>
        <v>0.22622913050091453</v>
      </c>
      <c r="R17" s="148">
        <f>'2023'!P17</f>
        <v>4489829.42</v>
      </c>
      <c r="S17" s="149">
        <f t="shared" si="4"/>
        <v>1046501.9100000001</v>
      </c>
      <c r="T17" s="153">
        <f t="shared" si="5"/>
        <v>0.23308277711806702</v>
      </c>
      <c r="W17" s="470"/>
      <c r="Y17" s="470"/>
    </row>
    <row r="18" spans="1:25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'2024'!S18</f>
        <v>12419139.269999998</v>
      </c>
      <c r="H18" s="148">
        <f>SUM('2024'!G94:P94)</f>
        <v>12006178.93192032</v>
      </c>
      <c r="I18" s="149">
        <f t="shared" si="0"/>
        <v>412960.33807967789</v>
      </c>
      <c r="J18" s="151">
        <f t="shared" si="1"/>
        <v>3.4395650807915068E-2</v>
      </c>
      <c r="K18" s="148">
        <f>SUM('2023'!G18:P18)</f>
        <v>11387365.590000002</v>
      </c>
      <c r="L18" s="149">
        <f t="shared" si="7"/>
        <v>1031773.679999996</v>
      </c>
      <c r="M18" s="153">
        <f t="shared" si="2"/>
        <v>9.0606881095137926E-2</v>
      </c>
      <c r="N18" s="148">
        <f>'2024'!P18</f>
        <v>1392153.28</v>
      </c>
      <c r="O18" s="148">
        <f>'2024'!P94</f>
        <v>1006145.9719203205</v>
      </c>
      <c r="P18" s="149">
        <f t="shared" si="6"/>
        <v>386007.3080796795</v>
      </c>
      <c r="Q18" s="151">
        <f t="shared" si="3"/>
        <v>0.38364940958114624</v>
      </c>
      <c r="R18" s="148">
        <f>'2023'!P18</f>
        <v>1252749.47</v>
      </c>
      <c r="S18" s="149">
        <f t="shared" si="4"/>
        <v>139403.81000000006</v>
      </c>
      <c r="T18" s="153">
        <f t="shared" si="5"/>
        <v>0.11127828295948117</v>
      </c>
      <c r="W18" s="470"/>
      <c r="Y18" s="470"/>
    </row>
    <row r="19" spans="1:25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'2024'!S19</f>
        <v>484931075.12</v>
      </c>
      <c r="H19" s="154">
        <f>SUM('2024'!G95:P95)</f>
        <v>476402122.32186812</v>
      </c>
      <c r="I19" s="155">
        <f t="shared" si="0"/>
        <v>8528952.7981318831</v>
      </c>
      <c r="J19" s="157">
        <f t="shared" si="1"/>
        <v>1.7902843834036286E-2</v>
      </c>
      <c r="K19" s="154">
        <f>SUM('2023'!G19:P19)</f>
        <v>439354755.71000004</v>
      </c>
      <c r="L19" s="155">
        <f t="shared" si="7"/>
        <v>45576319.409999967</v>
      </c>
      <c r="M19" s="159">
        <f t="shared" si="2"/>
        <v>0.1037346672994317</v>
      </c>
      <c r="N19" s="154">
        <f>'2024'!P19</f>
        <v>54762650.329999998</v>
      </c>
      <c r="O19" s="154">
        <f>'2024'!P95</f>
        <v>53465829.031868093</v>
      </c>
      <c r="P19" s="155">
        <f t="shared" si="6"/>
        <v>1296821.2981319055</v>
      </c>
      <c r="Q19" s="157">
        <f t="shared" si="3"/>
        <v>2.4255142426744092E-2</v>
      </c>
      <c r="R19" s="154">
        <f>'2023'!P19</f>
        <v>51603762.280000001</v>
      </c>
      <c r="S19" s="155">
        <f t="shared" si="4"/>
        <v>3158888.049999997</v>
      </c>
      <c r="T19" s="159">
        <f t="shared" si="5"/>
        <v>6.1214297377388815E-2</v>
      </c>
      <c r="W19" s="470"/>
      <c r="Y19" s="470"/>
    </row>
    <row r="20" spans="1:25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'2024'!S20</f>
        <v>444502164.57000005</v>
      </c>
      <c r="H20" s="148">
        <f>SUM('2024'!G96:P96)</f>
        <v>438372067.94925761</v>
      </c>
      <c r="I20" s="149">
        <f t="shared" si="0"/>
        <v>6130096.6207424402</v>
      </c>
      <c r="J20" s="151">
        <f t="shared" si="1"/>
        <v>1.398377558456132E-2</v>
      </c>
      <c r="K20" s="148">
        <f>SUM('2023'!G20:P20)</f>
        <v>401874758.27000004</v>
      </c>
      <c r="L20" s="149">
        <f t="shared" si="7"/>
        <v>42627406.300000012</v>
      </c>
      <c r="M20" s="153">
        <f t="shared" si="2"/>
        <v>0.10607137030328428</v>
      </c>
      <c r="N20" s="148">
        <f>'2024'!P20</f>
        <v>50008955.340000004</v>
      </c>
      <c r="O20" s="148">
        <f>'2024'!P96</f>
        <v>50246198.769257635</v>
      </c>
      <c r="P20" s="149">
        <f t="shared" si="6"/>
        <v>-237243.4292576313</v>
      </c>
      <c r="Q20" s="151">
        <f t="shared" si="3"/>
        <v>-4.7216194472164963E-3</v>
      </c>
      <c r="R20" s="148">
        <f>'2023'!P20</f>
        <v>47259866.420000002</v>
      </c>
      <c r="S20" s="149">
        <f t="shared" si="4"/>
        <v>2749088.9200000018</v>
      </c>
      <c r="T20" s="153">
        <f t="shared" si="5"/>
        <v>5.8169629502731857E-2</v>
      </c>
      <c r="W20" s="470"/>
      <c r="Y20" s="470"/>
    </row>
    <row r="21" spans="1:25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'2024'!S21</f>
        <v>4302666.17</v>
      </c>
      <c r="H21" s="148">
        <f>SUM('2024'!G97:P97)</f>
        <v>3000000</v>
      </c>
      <c r="I21" s="149">
        <f t="shared" si="0"/>
        <v>1302666.17</v>
      </c>
      <c r="J21" s="151">
        <f t="shared" si="1"/>
        <v>0.43422205666666658</v>
      </c>
      <c r="K21" s="148">
        <f>SUM('2023'!G21:P21)</f>
        <v>5473212.9099999992</v>
      </c>
      <c r="L21" s="149">
        <f t="shared" si="7"/>
        <v>-1170546.7399999993</v>
      </c>
      <c r="M21" s="153">
        <f t="shared" si="2"/>
        <v>-0.21386829989042022</v>
      </c>
      <c r="N21" s="148">
        <f>'2024'!P21</f>
        <v>631287.55000000005</v>
      </c>
      <c r="O21" s="148">
        <f>'2024'!P97</f>
        <v>0</v>
      </c>
      <c r="P21" s="149">
        <f t="shared" si="6"/>
        <v>631287.55000000005</v>
      </c>
      <c r="Q21" s="151" t="str">
        <f t="shared" si="3"/>
        <v>...</v>
      </c>
      <c r="R21" s="148">
        <f>'2023'!P21</f>
        <v>464431.04</v>
      </c>
      <c r="S21" s="149">
        <f t="shared" si="4"/>
        <v>166856.51000000007</v>
      </c>
      <c r="T21" s="153">
        <f t="shared" si="5"/>
        <v>0.35927079723181299</v>
      </c>
      <c r="W21" s="470"/>
      <c r="Y21" s="470"/>
    </row>
    <row r="22" spans="1:25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'2024'!S22</f>
        <v>20898635.580000002</v>
      </c>
      <c r="H22" s="148">
        <f>SUM('2024'!G98:P98)</f>
        <v>20226063.856757373</v>
      </c>
      <c r="I22" s="149">
        <f t="shared" si="0"/>
        <v>672571.72324262932</v>
      </c>
      <c r="J22" s="151">
        <f t="shared" si="1"/>
        <v>3.325272420802361E-2</v>
      </c>
      <c r="K22" s="148">
        <f>SUM('2023'!G22:P22)</f>
        <v>18435301.399999999</v>
      </c>
      <c r="L22" s="149">
        <f t="shared" si="7"/>
        <v>2463334.1800000034</v>
      </c>
      <c r="M22" s="153">
        <f t="shared" si="2"/>
        <v>0.13362049941857768</v>
      </c>
      <c r="N22" s="148">
        <f>'2024'!P22</f>
        <v>2360830.64</v>
      </c>
      <c r="O22" s="148">
        <f>'2024'!P98</f>
        <v>1799280.6967573734</v>
      </c>
      <c r="P22" s="149">
        <f t="shared" si="6"/>
        <v>561549.94324262673</v>
      </c>
      <c r="Q22" s="151">
        <f t="shared" si="3"/>
        <v>0.31209690864501605</v>
      </c>
      <c r="R22" s="148">
        <f>'2023'!P22</f>
        <v>2219307.1800000002</v>
      </c>
      <c r="S22" s="149">
        <f t="shared" si="4"/>
        <v>141523.45999999996</v>
      </c>
      <c r="T22" s="153">
        <f t="shared" si="5"/>
        <v>6.3769207469513089E-2</v>
      </c>
      <c r="W22" s="470"/>
      <c r="Y22" s="470"/>
    </row>
    <row r="23" spans="1:25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'2024'!S23</f>
        <v>15227608.800000001</v>
      </c>
      <c r="H23" s="148">
        <f>SUM('2024'!G99:P99)</f>
        <v>14803990.515853079</v>
      </c>
      <c r="I23" s="149">
        <f t="shared" si="0"/>
        <v>423618.28414692171</v>
      </c>
      <c r="J23" s="151">
        <f t="shared" si="1"/>
        <v>2.8615141552089218E-2</v>
      </c>
      <c r="K23" s="148">
        <f>SUM('2023'!G23:P23)</f>
        <v>13571483.129999999</v>
      </c>
      <c r="L23" s="149">
        <f t="shared" si="7"/>
        <v>1656125.6700000018</v>
      </c>
      <c r="M23" s="153">
        <f t="shared" si="2"/>
        <v>0.12202982195358647</v>
      </c>
      <c r="N23" s="148">
        <f>'2024'!P23</f>
        <v>1761576.8</v>
      </c>
      <c r="O23" s="148">
        <f>'2024'!P99</f>
        <v>1420349.56585308</v>
      </c>
      <c r="P23" s="149">
        <f t="shared" si="6"/>
        <v>341227.23414692003</v>
      </c>
      <c r="Q23" s="151">
        <f t="shared" si="3"/>
        <v>0.24024172805796207</v>
      </c>
      <c r="R23" s="148">
        <f>'2023'!P23</f>
        <v>1660157.64</v>
      </c>
      <c r="S23" s="149">
        <f t="shared" si="4"/>
        <v>101419.16000000015</v>
      </c>
      <c r="T23" s="153">
        <f t="shared" si="5"/>
        <v>6.1090078168721362E-2</v>
      </c>
      <c r="W23" s="470"/>
      <c r="Y23" s="470"/>
    </row>
    <row r="24" spans="1:25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'2024'!S24</f>
        <v>13458559.160000002</v>
      </c>
      <c r="H24" s="160">
        <f>SUM('2024'!G100:P100)</f>
        <v>13077097.584957359</v>
      </c>
      <c r="I24" s="161">
        <f t="shared" si="0"/>
        <v>381461.57504264265</v>
      </c>
      <c r="J24" s="163">
        <f t="shared" si="1"/>
        <v>2.9170201764146864E-2</v>
      </c>
      <c r="K24" s="160">
        <f>SUM('2023'!G24:P24)</f>
        <v>13057305.98</v>
      </c>
      <c r="L24" s="161">
        <f t="shared" si="7"/>
        <v>401253.18000000156</v>
      </c>
      <c r="M24" s="165">
        <f t="shared" si="2"/>
        <v>3.073016597869449E-2</v>
      </c>
      <c r="N24" s="160">
        <f>'2024'!P24</f>
        <v>1438790.56</v>
      </c>
      <c r="O24" s="160">
        <f>'2024'!P100</f>
        <v>1366751.5629573569</v>
      </c>
      <c r="P24" s="161">
        <f t="shared" si="6"/>
        <v>72038.997042643139</v>
      </c>
      <c r="Q24" s="163">
        <f t="shared" si="3"/>
        <v>5.2708187058345901E-2</v>
      </c>
      <c r="R24" s="160">
        <f>'2023'!P24</f>
        <v>1531116.13</v>
      </c>
      <c r="S24" s="161">
        <f t="shared" si="4"/>
        <v>-92325.569999999832</v>
      </c>
      <c r="T24" s="165">
        <f t="shared" si="5"/>
        <v>-6.0299521500044473E-2</v>
      </c>
      <c r="W24" s="470"/>
      <c r="Y24" s="470"/>
    </row>
    <row r="25" spans="1:25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'2024'!S25</f>
        <v>43372442.359999999</v>
      </c>
      <c r="H25" s="160">
        <f>SUM('2024'!G101:P101)</f>
        <v>45667880.279778875</v>
      </c>
      <c r="I25" s="161">
        <f t="shared" si="0"/>
        <v>-2295437.919778876</v>
      </c>
      <c r="J25" s="163">
        <f t="shared" si="1"/>
        <v>-5.0263728154583576E-2</v>
      </c>
      <c r="K25" s="160">
        <f>SUM('2023'!G25:P25)</f>
        <v>46391950.980000004</v>
      </c>
      <c r="L25" s="161">
        <f t="shared" si="7"/>
        <v>-3019508.6200000048</v>
      </c>
      <c r="M25" s="165">
        <f t="shared" si="2"/>
        <v>-6.5086907453013598E-2</v>
      </c>
      <c r="N25" s="160">
        <f>'2024'!P25</f>
        <v>5561939.7699999996</v>
      </c>
      <c r="O25" s="160">
        <f>'2024'!P101</f>
        <v>8444856.5697788838</v>
      </c>
      <c r="P25" s="161">
        <f t="shared" si="6"/>
        <v>-2882916.7997788843</v>
      </c>
      <c r="Q25" s="163">
        <f t="shared" si="3"/>
        <v>-0.34138138119430128</v>
      </c>
      <c r="R25" s="160">
        <f>'2023'!P25</f>
        <v>3955363.51</v>
      </c>
      <c r="S25" s="161">
        <f t="shared" si="4"/>
        <v>1606576.2599999998</v>
      </c>
      <c r="T25" s="165">
        <f t="shared" si="5"/>
        <v>0.40617663988107133</v>
      </c>
      <c r="W25" s="470"/>
      <c r="Y25" s="470"/>
    </row>
    <row r="26" spans="1:25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'2024'!S26</f>
        <v>77944557.49000001</v>
      </c>
      <c r="H26" s="160">
        <f>SUM('2024'!G102:P102)</f>
        <v>81370330.43705292</v>
      </c>
      <c r="I26" s="161">
        <f t="shared" si="0"/>
        <v>-3425772.9470529109</v>
      </c>
      <c r="J26" s="163">
        <f t="shared" si="1"/>
        <v>-4.2101008176475885E-2</v>
      </c>
      <c r="K26" s="160">
        <f>SUM('2023'!G26:P26)</f>
        <v>157480399.95999998</v>
      </c>
      <c r="L26" s="161">
        <f t="shared" si="7"/>
        <v>-79535842.469999969</v>
      </c>
      <c r="M26" s="165">
        <f t="shared" si="2"/>
        <v>-0.50505232708452652</v>
      </c>
      <c r="N26" s="160">
        <f>'2024'!P26</f>
        <v>2158978.42</v>
      </c>
      <c r="O26" s="160">
        <f>'2024'!P102</f>
        <v>14669178.907052923</v>
      </c>
      <c r="P26" s="161">
        <f t="shared" si="6"/>
        <v>-12510200.487052923</v>
      </c>
      <c r="Q26" s="163">
        <f t="shared" si="3"/>
        <v>-0.85282213587551481</v>
      </c>
      <c r="R26" s="160">
        <f>'2023'!P26</f>
        <v>14370883.219999999</v>
      </c>
      <c r="S26" s="161">
        <f t="shared" si="4"/>
        <v>-12211904.799999999</v>
      </c>
      <c r="T26" s="165">
        <f t="shared" si="5"/>
        <v>-0.84976717248698086</v>
      </c>
      <c r="W26" s="470"/>
      <c r="Y26" s="470"/>
    </row>
    <row r="27" spans="1:25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'2024'!S27</f>
        <v>0</v>
      </c>
      <c r="H27" s="160">
        <f>SUM('2024'!G103:P103)</f>
        <v>0</v>
      </c>
      <c r="I27" s="161">
        <f t="shared" si="0"/>
        <v>0</v>
      </c>
      <c r="J27" s="163" t="str">
        <f t="shared" si="1"/>
        <v>...</v>
      </c>
      <c r="K27" s="160">
        <f>SUM('2023'!G27:P27)</f>
        <v>0</v>
      </c>
      <c r="L27" s="161">
        <f t="shared" si="7"/>
        <v>0</v>
      </c>
      <c r="M27" s="165" t="str">
        <f t="shared" si="2"/>
        <v>...</v>
      </c>
      <c r="N27" s="160">
        <f>'2024'!P27</f>
        <v>0</v>
      </c>
      <c r="O27" s="160">
        <f>'2024'!P103</f>
        <v>0</v>
      </c>
      <c r="P27" s="161">
        <f t="shared" si="6"/>
        <v>0</v>
      </c>
      <c r="Q27" s="163" t="str">
        <f t="shared" si="3"/>
        <v>...</v>
      </c>
      <c r="R27" s="160">
        <f>'2023'!P27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'2024'!S28</f>
        <v>28988077.289999999</v>
      </c>
      <c r="H28" s="160">
        <f>SUM('2024'!G104:P104)</f>
        <v>26466637.007777821</v>
      </c>
      <c r="I28" s="161">
        <f t="shared" si="0"/>
        <v>2521440.2822221778</v>
      </c>
      <c r="J28" s="163">
        <f t="shared" si="1"/>
        <v>9.5268631276470561E-2</v>
      </c>
      <c r="K28" s="160">
        <f>SUM('2023'!G28:P28)</f>
        <v>55754131.400000006</v>
      </c>
      <c r="L28" s="161">
        <f t="shared" si="7"/>
        <v>-26766054.110000007</v>
      </c>
      <c r="M28" s="165">
        <f t="shared" si="2"/>
        <v>-0.48007301769210242</v>
      </c>
      <c r="N28" s="160">
        <f>'2024'!P28</f>
        <v>5570791.1399999997</v>
      </c>
      <c r="O28" s="160">
        <f>'2024'!P104</f>
        <v>4071103.767777822</v>
      </c>
      <c r="P28" s="161">
        <f t="shared" si="6"/>
        <v>1499687.3722221777</v>
      </c>
      <c r="Q28" s="163">
        <f t="shared" si="3"/>
        <v>0.36837365436174307</v>
      </c>
      <c r="R28" s="160">
        <f>'2023'!P28</f>
        <v>2519848.84</v>
      </c>
      <c r="S28" s="161">
        <f t="shared" si="4"/>
        <v>3050942.3</v>
      </c>
      <c r="T28" s="165">
        <f t="shared" si="5"/>
        <v>1.2107640155113431</v>
      </c>
      <c r="W28" s="470"/>
      <c r="Y28" s="470"/>
    </row>
    <row r="29" spans="1:25" ht="15.7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'2024'!S29</f>
        <v>2242570708.5199995</v>
      </c>
      <c r="H29" s="136">
        <f>SUM('2024'!G105:P105)</f>
        <v>2389093173.8399997</v>
      </c>
      <c r="I29" s="137">
        <f t="shared" si="0"/>
        <v>-146522465.32000017</v>
      </c>
      <c r="J29" s="139">
        <f t="shared" si="1"/>
        <v>-6.1329740892647533E-2</v>
      </c>
      <c r="K29" s="136">
        <f>SUM('2023'!G29:P29)</f>
        <v>1940165223</v>
      </c>
      <c r="L29" s="137">
        <f t="shared" si="7"/>
        <v>302405485.5199995</v>
      </c>
      <c r="M29" s="141">
        <f t="shared" si="2"/>
        <v>0.15586584170001871</v>
      </c>
      <c r="N29" s="136">
        <f>'2024'!P29</f>
        <v>253541261.47</v>
      </c>
      <c r="O29" s="136">
        <f>'2024'!P105</f>
        <v>309512241.25</v>
      </c>
      <c r="P29" s="137">
        <f t="shared" si="6"/>
        <v>-55970979.780000001</v>
      </c>
      <c r="Q29" s="139">
        <f t="shared" si="3"/>
        <v>-0.18083607793331502</v>
      </c>
      <c r="R29" s="136">
        <f>'2023'!P29</f>
        <v>213080411.16999999</v>
      </c>
      <c r="S29" s="137">
        <f t="shared" si="4"/>
        <v>40460850.300000012</v>
      </c>
      <c r="T29" s="141">
        <f t="shared" si="5"/>
        <v>0.18988535866734124</v>
      </c>
      <c r="W29" s="470"/>
      <c r="Y29" s="470"/>
    </row>
    <row r="30" spans="1:25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294">
        <f>'2024'!S30</f>
        <v>895607150.5</v>
      </c>
      <c r="H30" s="294">
        <f>SUM('2024'!G106:P106)</f>
        <v>974028567.56999993</v>
      </c>
      <c r="I30" s="173">
        <f t="shared" si="0"/>
        <v>-78421417.069999933</v>
      </c>
      <c r="J30" s="175">
        <f t="shared" si="1"/>
        <v>-8.0512440477639391E-2</v>
      </c>
      <c r="K30" s="294">
        <f>SUM('2023'!G30:P30)</f>
        <v>816114738.86999989</v>
      </c>
      <c r="L30" s="173">
        <f t="shared" si="7"/>
        <v>79492411.630000114</v>
      </c>
      <c r="M30" s="177">
        <f t="shared" si="2"/>
        <v>9.7403475080067858E-2</v>
      </c>
      <c r="N30" s="294">
        <f>'2024'!P30</f>
        <v>104934247.92</v>
      </c>
      <c r="O30" s="294">
        <f>'2024'!P106</f>
        <v>126609704.89000003</v>
      </c>
      <c r="P30" s="173">
        <f t="shared" si="6"/>
        <v>-21675456.970000029</v>
      </c>
      <c r="Q30" s="175">
        <f t="shared" si="3"/>
        <v>-0.17119901660644354</v>
      </c>
      <c r="R30" s="294">
        <f>'2023'!P30</f>
        <v>82133761.140000001</v>
      </c>
      <c r="S30" s="173">
        <f t="shared" si="4"/>
        <v>22800486.780000001</v>
      </c>
      <c r="T30" s="177">
        <f t="shared" si="5"/>
        <v>0.2776018833611642</v>
      </c>
      <c r="W30" s="470"/>
      <c r="Y30" s="470"/>
    </row>
    <row r="31" spans="1:25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'2024'!S31</f>
        <v>561153024.80000007</v>
      </c>
      <c r="H31" s="148">
        <f>SUM('2024'!G107:P107)</f>
        <v>572937891.58999991</v>
      </c>
      <c r="I31" s="149">
        <f t="shared" si="0"/>
        <v>-11784866.789999843</v>
      </c>
      <c r="J31" s="151">
        <f t="shared" si="1"/>
        <v>-2.0569187276643253E-2</v>
      </c>
      <c r="K31" s="148">
        <f>SUM('2023'!G31:P31)</f>
        <v>526104915.06000006</v>
      </c>
      <c r="L31" s="149">
        <f t="shared" si="7"/>
        <v>35048109.74000001</v>
      </c>
      <c r="M31" s="153">
        <f t="shared" si="2"/>
        <v>6.6618099806201148E-2</v>
      </c>
      <c r="N31" s="148">
        <f>'2024'!P31</f>
        <v>57172944.25</v>
      </c>
      <c r="O31" s="148">
        <f>'2024'!P107</f>
        <v>62805999.470000014</v>
      </c>
      <c r="P31" s="149">
        <f>+N31-O31</f>
        <v>-5633055.2200000137</v>
      </c>
      <c r="Q31" s="151">
        <f>IF(+IF(ISERROR(N31/O31),"…",N31/O31-1)&gt;200%,"...",IF(ISERROR(N31/O31),"…",N31/O31-1))</f>
        <v>-8.9689763199942485E-2</v>
      </c>
      <c r="R31" s="148">
        <f>'2023'!P31</f>
        <v>52607962.630000003</v>
      </c>
      <c r="S31" s="149">
        <f t="shared" si="4"/>
        <v>4564981.6199999973</v>
      </c>
      <c r="T31" s="153">
        <f t="shared" si="5"/>
        <v>8.6773586958807547E-2</v>
      </c>
      <c r="W31" s="470"/>
      <c r="Y31" s="470"/>
    </row>
    <row r="32" spans="1:25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'2024'!S32</f>
        <v>15520936.799999999</v>
      </c>
      <c r="H32" s="148">
        <f>SUM('2024'!G108:P108)</f>
        <v>17766138.48</v>
      </c>
      <c r="I32" s="149">
        <f t="shared" si="0"/>
        <v>-2245201.6800000016</v>
      </c>
      <c r="J32" s="151">
        <f t="shared" si="1"/>
        <v>-0.1263753337579524</v>
      </c>
      <c r="K32" s="148">
        <f>SUM('2023'!G32:P32)</f>
        <v>14007201.139999997</v>
      </c>
      <c r="L32" s="149">
        <f t="shared" si="7"/>
        <v>1513735.660000002</v>
      </c>
      <c r="M32" s="153">
        <f t="shared" si="2"/>
        <v>0.10806838888586157</v>
      </c>
      <c r="N32" s="148">
        <f>'2024'!P32</f>
        <v>1989821.8199999996</v>
      </c>
      <c r="O32" s="148">
        <f>'2024'!P108</f>
        <v>2604939.939999999</v>
      </c>
      <c r="P32" s="149">
        <f t="shared" si="6"/>
        <v>-615118.11999999941</v>
      </c>
      <c r="Q32" s="151">
        <f t="shared" si="3"/>
        <v>-0.23613524079944803</v>
      </c>
      <c r="R32" s="148">
        <f>'2023'!P32</f>
        <v>1738182.76</v>
      </c>
      <c r="S32" s="149">
        <f t="shared" si="4"/>
        <v>251639.05999999959</v>
      </c>
      <c r="T32" s="153">
        <f t="shared" si="5"/>
        <v>0.14477134728916519</v>
      </c>
      <c r="W32" s="470"/>
      <c r="Y32" s="470"/>
    </row>
    <row r="33" spans="1:25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'2024'!S33</f>
        <v>27854489.290000003</v>
      </c>
      <c r="H33" s="148">
        <f>SUM('2024'!G109:P109)</f>
        <v>39861202.229999989</v>
      </c>
      <c r="I33" s="149">
        <f t="shared" si="0"/>
        <v>-12006712.939999986</v>
      </c>
      <c r="J33" s="151">
        <f t="shared" si="1"/>
        <v>-0.30121301587245153</v>
      </c>
      <c r="K33" s="148">
        <f>SUM('2023'!G33:P33)</f>
        <v>31112149.720000003</v>
      </c>
      <c r="L33" s="149">
        <f t="shared" si="7"/>
        <v>-3257660.4299999997</v>
      </c>
      <c r="M33" s="153">
        <f t="shared" si="2"/>
        <v>-0.1047070182972879</v>
      </c>
      <c r="N33" s="148">
        <f>'2024'!P33</f>
        <v>3461755.82</v>
      </c>
      <c r="O33" s="148">
        <f>'2024'!P109</f>
        <v>5015153.0199999968</v>
      </c>
      <c r="P33" s="149">
        <f t="shared" si="6"/>
        <v>-1553397.1999999969</v>
      </c>
      <c r="Q33" s="151">
        <f t="shared" si="3"/>
        <v>-0.30974073847900219</v>
      </c>
      <c r="R33" s="148">
        <f>'2023'!P33</f>
        <v>2980903.44</v>
      </c>
      <c r="S33" s="149">
        <f t="shared" si="4"/>
        <v>480852.37999999989</v>
      </c>
      <c r="T33" s="153">
        <f t="shared" si="5"/>
        <v>0.16131095477550916</v>
      </c>
      <c r="W33" s="470"/>
      <c r="Y33" s="470"/>
    </row>
    <row r="34" spans="1:25">
      <c r="A34" s="135">
        <v>414</v>
      </c>
      <c r="B34" s="565" t="str">
        <f>+VLOOKUP($A34,Master!$D$30:$G$226,4,FALSE)</f>
        <v>Rashodi za usluge</v>
      </c>
      <c r="C34" s="566"/>
      <c r="D34" s="566"/>
      <c r="E34" s="566"/>
      <c r="F34" s="566"/>
      <c r="G34" s="148">
        <f>'2024'!S34</f>
        <v>49098523.789999992</v>
      </c>
      <c r="H34" s="148">
        <f>SUM('2024'!G110:P110)</f>
        <v>60105618.190000013</v>
      </c>
      <c r="I34" s="149">
        <f t="shared" si="0"/>
        <v>-11007094.400000021</v>
      </c>
      <c r="J34" s="151">
        <f t="shared" si="1"/>
        <v>-0.18312921040434971</v>
      </c>
      <c r="K34" s="148">
        <f>SUM('2023'!G34:P34)</f>
        <v>51382328.989999995</v>
      </c>
      <c r="L34" s="149">
        <f t="shared" si="7"/>
        <v>-2283805.200000003</v>
      </c>
      <c r="M34" s="153">
        <f t="shared" si="2"/>
        <v>-4.4447288491817449E-2</v>
      </c>
      <c r="N34" s="148">
        <f>'2024'!P34</f>
        <v>7261158.9799999995</v>
      </c>
      <c r="O34" s="148">
        <f>'2024'!P110</f>
        <v>10908881.100000005</v>
      </c>
      <c r="P34" s="149">
        <f t="shared" si="6"/>
        <v>-3647722.1200000057</v>
      </c>
      <c r="Q34" s="151">
        <f t="shared" si="3"/>
        <v>-0.33438095864845419</v>
      </c>
      <c r="R34" s="148">
        <f>'2023'!P34</f>
        <v>7914517.2699999996</v>
      </c>
      <c r="S34" s="149">
        <f t="shared" si="4"/>
        <v>-653358.29</v>
      </c>
      <c r="T34" s="153">
        <f t="shared" si="5"/>
        <v>-8.2551881272223238E-2</v>
      </c>
      <c r="W34" s="470"/>
      <c r="Y34" s="470"/>
    </row>
    <row r="35" spans="1:25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'2024'!S35</f>
        <v>23342710.770000003</v>
      </c>
      <c r="H35" s="148">
        <f>SUM('2024'!G111:P111)</f>
        <v>29751943.819999997</v>
      </c>
      <c r="I35" s="149">
        <f t="shared" si="0"/>
        <v>-6409233.0499999933</v>
      </c>
      <c r="J35" s="151">
        <f t="shared" si="1"/>
        <v>-0.21542232967284469</v>
      </c>
      <c r="K35" s="148">
        <f>SUM('2023'!G35:P35)</f>
        <v>20373841.719999999</v>
      </c>
      <c r="L35" s="149">
        <f t="shared" si="7"/>
        <v>2968869.0500000045</v>
      </c>
      <c r="M35" s="153">
        <f t="shared" si="2"/>
        <v>0.14571964830204864</v>
      </c>
      <c r="N35" s="148">
        <f>'2024'!P35</f>
        <v>2530485.4200000004</v>
      </c>
      <c r="O35" s="148">
        <f>'2024'!P111</f>
        <v>4676428.2699999996</v>
      </c>
      <c r="P35" s="149">
        <f t="shared" si="6"/>
        <v>-2145942.8499999992</v>
      </c>
      <c r="Q35" s="151">
        <f t="shared" si="3"/>
        <v>-0.45888501354047273</v>
      </c>
      <c r="R35" s="148">
        <f>'2023'!P35</f>
        <v>4021885.51</v>
      </c>
      <c r="S35" s="149">
        <f t="shared" si="4"/>
        <v>-1491400.0899999994</v>
      </c>
      <c r="T35" s="153">
        <f t="shared" si="5"/>
        <v>-0.37082112016659552</v>
      </c>
      <c r="W35" s="470"/>
      <c r="Y35" s="470"/>
    </row>
    <row r="36" spans="1:25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'2024'!S36</f>
        <v>108979114.41999999</v>
      </c>
      <c r="H36" s="148">
        <f>SUM('2024'!G112:P112)</f>
        <v>112254042.36000001</v>
      </c>
      <c r="I36" s="149">
        <f t="shared" si="0"/>
        <v>-3274927.9400000274</v>
      </c>
      <c r="J36" s="151">
        <f t="shared" si="1"/>
        <v>-2.9174253961361085E-2</v>
      </c>
      <c r="K36" s="148">
        <f>SUM('2023'!G36:P36)</f>
        <v>81614276.150000006</v>
      </c>
      <c r="L36" s="149">
        <f t="shared" si="7"/>
        <v>27364838.269999981</v>
      </c>
      <c r="M36" s="153">
        <f t="shared" si="2"/>
        <v>0.33529474941008819</v>
      </c>
      <c r="N36" s="148">
        <f>'2024'!P36</f>
        <v>14869850.659999998</v>
      </c>
      <c r="O36" s="148">
        <f>'2024'!P112</f>
        <v>17655486.75</v>
      </c>
      <c r="P36" s="149">
        <f t="shared" si="6"/>
        <v>-2785636.0900000017</v>
      </c>
      <c r="Q36" s="151">
        <f t="shared" si="3"/>
        <v>-0.15777736006060561</v>
      </c>
      <c r="R36" s="148">
        <f>'2023'!P36</f>
        <v>2174027.4</v>
      </c>
      <c r="S36" s="149">
        <f t="shared" si="4"/>
        <v>12695823.259999998</v>
      </c>
      <c r="T36" s="153" t="str">
        <f t="shared" si="5"/>
        <v>...</v>
      </c>
      <c r="W36" s="470"/>
      <c r="Y36" s="470"/>
    </row>
    <row r="37" spans="1:25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'2024'!S37</f>
        <v>8934689.5100000016</v>
      </c>
      <c r="H37" s="148">
        <f>SUM('2024'!G113:P113)</f>
        <v>11554943.68</v>
      </c>
      <c r="I37" s="149">
        <f t="shared" si="0"/>
        <v>-2620254.1699999981</v>
      </c>
      <c r="J37" s="151">
        <f t="shared" si="1"/>
        <v>-0.22676477208065438</v>
      </c>
      <c r="K37" s="148">
        <f>SUM('2023'!G37:P37)</f>
        <v>8707961.5600000005</v>
      </c>
      <c r="L37" s="149">
        <f t="shared" si="7"/>
        <v>226727.95000000112</v>
      </c>
      <c r="M37" s="153">
        <f t="shared" si="2"/>
        <v>2.6036857011573877E-2</v>
      </c>
      <c r="N37" s="148">
        <f>'2024'!P37</f>
        <v>871596.95000000019</v>
      </c>
      <c r="O37" s="148">
        <f>'2024'!P113</f>
        <v>1251288.0399999998</v>
      </c>
      <c r="P37" s="149">
        <f t="shared" si="6"/>
        <v>-379691.08999999962</v>
      </c>
      <c r="Q37" s="151">
        <f t="shared" si="3"/>
        <v>-0.30344019751039875</v>
      </c>
      <c r="R37" s="148">
        <f>'2023'!P37</f>
        <v>1474426.95</v>
      </c>
      <c r="S37" s="149">
        <f t="shared" si="4"/>
        <v>-602829.99999999977</v>
      </c>
      <c r="T37" s="153">
        <f t="shared" si="5"/>
        <v>-0.40885714955223773</v>
      </c>
      <c r="W37" s="470"/>
      <c r="Y37" s="470"/>
    </row>
    <row r="38" spans="1:25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'2024'!S38</f>
        <v>56825785.11999996</v>
      </c>
      <c r="H38" s="148">
        <f>SUM('2024'!G114:P114)</f>
        <v>62350715.920000017</v>
      </c>
      <c r="I38" s="149">
        <f t="shared" si="0"/>
        <v>-5524930.8000000566</v>
      </c>
      <c r="J38" s="151">
        <f t="shared" si="1"/>
        <v>-8.8610543094467364E-2</v>
      </c>
      <c r="K38" s="148">
        <f>SUM('2023'!G38:P38)</f>
        <v>44543899.18</v>
      </c>
      <c r="L38" s="149">
        <f t="shared" si="7"/>
        <v>12281885.93999996</v>
      </c>
      <c r="M38" s="153">
        <f t="shared" si="2"/>
        <v>0.27572543414687112</v>
      </c>
      <c r="N38" s="148">
        <f>'2024'!P38</f>
        <v>11936637.319999991</v>
      </c>
      <c r="O38" s="148">
        <f>'2024'!P114</f>
        <v>9829142.0100000016</v>
      </c>
      <c r="P38" s="149">
        <f t="shared" si="6"/>
        <v>2107495.3099999893</v>
      </c>
      <c r="Q38" s="151">
        <f t="shared" si="3"/>
        <v>0.21441294752439832</v>
      </c>
      <c r="R38" s="148">
        <f>'2023'!P38</f>
        <v>4531530.57</v>
      </c>
      <c r="S38" s="149">
        <f t="shared" si="4"/>
        <v>7405106.7499999907</v>
      </c>
      <c r="T38" s="153">
        <f t="shared" si="5"/>
        <v>1.6341292716910858</v>
      </c>
      <c r="W38" s="470"/>
      <c r="Y38" s="470"/>
    </row>
    <row r="39" spans="1:25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f>'2024'!S39</f>
        <v>43897876</v>
      </c>
      <c r="H39" s="148">
        <f>SUM('2024'!G115:P115)</f>
        <v>67446071.300000012</v>
      </c>
      <c r="I39" s="149">
        <f t="shared" si="0"/>
        <v>-23548195.300000012</v>
      </c>
      <c r="J39" s="151">
        <f t="shared" si="1"/>
        <v>-0.34914109667348414</v>
      </c>
      <c r="K39" s="148">
        <f>SUM('2023'!G39:P39)</f>
        <v>38268165.349999994</v>
      </c>
      <c r="L39" s="149">
        <f t="shared" si="7"/>
        <v>5629710.650000006</v>
      </c>
      <c r="M39" s="153">
        <f t="shared" si="2"/>
        <v>0.14711211260092472</v>
      </c>
      <c r="N39" s="148">
        <f>'2024'!P39</f>
        <v>4839996.7</v>
      </c>
      <c r="O39" s="148">
        <f>'2024'!P115</f>
        <v>11862386.290000007</v>
      </c>
      <c r="P39" s="149">
        <f t="shared" si="6"/>
        <v>-7022389.5900000064</v>
      </c>
      <c r="Q39" s="151">
        <f t="shared" si="3"/>
        <v>-0.5919879371926946</v>
      </c>
      <c r="R39" s="148">
        <f>'2023'!P39</f>
        <v>4690324.6100000003</v>
      </c>
      <c r="S39" s="149">
        <f t="shared" si="4"/>
        <v>149672.08999999985</v>
      </c>
      <c r="T39" s="153">
        <f t="shared" si="5"/>
        <v>3.1910816935973196E-2</v>
      </c>
      <c r="W39" s="470"/>
      <c r="Y39" s="470"/>
    </row>
    <row r="40" spans="1:25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'2024'!S40</f>
        <v>826796521.19999981</v>
      </c>
      <c r="H40" s="178">
        <f>SUM('2024'!G116:P116)</f>
        <v>833727399.74000001</v>
      </c>
      <c r="I40" s="179">
        <f t="shared" si="0"/>
        <v>-6930878.5400002003</v>
      </c>
      <c r="J40" s="181">
        <f t="shared" si="1"/>
        <v>-8.3131231409230288E-3</v>
      </c>
      <c r="K40" s="178">
        <f>SUM('2023'!G40:P40)</f>
        <v>673062036.43999994</v>
      </c>
      <c r="L40" s="179">
        <f t="shared" si="7"/>
        <v>153734484.75999987</v>
      </c>
      <c r="M40" s="183">
        <f t="shared" si="2"/>
        <v>0.22841057203752202</v>
      </c>
      <c r="N40" s="178">
        <f>'2024'!P40</f>
        <v>86741421.589999989</v>
      </c>
      <c r="O40" s="178">
        <f>'2024'!P116</f>
        <v>86802593.00999999</v>
      </c>
      <c r="P40" s="179">
        <f t="shared" si="6"/>
        <v>-61171.420000001788</v>
      </c>
      <c r="Q40" s="181">
        <f t="shared" si="3"/>
        <v>-7.0471880941336273E-4</v>
      </c>
      <c r="R40" s="178">
        <f>'2023'!P40</f>
        <v>74279759.519999996</v>
      </c>
      <c r="S40" s="179">
        <f t="shared" si="4"/>
        <v>12461662.069999993</v>
      </c>
      <c r="T40" s="183">
        <f t="shared" si="5"/>
        <v>0.16776659147159267</v>
      </c>
      <c r="W40" s="470"/>
      <c r="Y40" s="470"/>
    </row>
    <row r="41" spans="1:25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'2024'!S41</f>
        <v>174987378.38</v>
      </c>
      <c r="H41" s="148">
        <f>SUM('2024'!G117:P117)</f>
        <v>175915157.35000002</v>
      </c>
      <c r="I41" s="149">
        <f t="shared" si="0"/>
        <v>-927778.97000002861</v>
      </c>
      <c r="J41" s="151">
        <f t="shared" si="1"/>
        <v>-5.2740138142509663E-3</v>
      </c>
      <c r="K41" s="148">
        <f>SUM('2023'!G41:P41)</f>
        <v>173053565.37</v>
      </c>
      <c r="L41" s="149">
        <f t="shared" si="7"/>
        <v>1933813.0099999905</v>
      </c>
      <c r="M41" s="153">
        <f t="shared" si="2"/>
        <v>1.1174649917586876E-2</v>
      </c>
      <c r="N41" s="148">
        <f>'2024'!P41</f>
        <v>18980290.810000002</v>
      </c>
      <c r="O41" s="148">
        <f>'2024'!P117</f>
        <v>18073921.359999999</v>
      </c>
      <c r="P41" s="149">
        <f t="shared" si="6"/>
        <v>906369.45000000298</v>
      </c>
      <c r="Q41" s="151">
        <f t="shared" si="3"/>
        <v>5.014791377846306E-2</v>
      </c>
      <c r="R41" s="148">
        <f>'2023'!P41</f>
        <v>18298777.300000001</v>
      </c>
      <c r="S41" s="149">
        <f t="shared" si="4"/>
        <v>681513.51000000164</v>
      </c>
      <c r="T41" s="153">
        <f t="shared" si="5"/>
        <v>3.7243663815724082E-2</v>
      </c>
      <c r="W41" s="470"/>
      <c r="Y41" s="470"/>
    </row>
    <row r="42" spans="1:25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'2024'!S42</f>
        <v>17065293.100000001</v>
      </c>
      <c r="H42" s="148">
        <f>SUM('2024'!G118:P118)</f>
        <v>17300630.370000001</v>
      </c>
      <c r="I42" s="149">
        <f t="shared" si="0"/>
        <v>-235337.26999999955</v>
      </c>
      <c r="J42" s="151">
        <f t="shared" si="1"/>
        <v>-1.360281475107894E-2</v>
      </c>
      <c r="K42" s="148">
        <f>SUM('2023'!G42:P42)</f>
        <v>18388552.309999999</v>
      </c>
      <c r="L42" s="149">
        <f t="shared" si="7"/>
        <v>-1323259.2099999972</v>
      </c>
      <c r="M42" s="153">
        <f t="shared" si="2"/>
        <v>-7.1961032477819709E-2</v>
      </c>
      <c r="N42" s="148">
        <f>'2024'!P42</f>
        <v>1817889.25</v>
      </c>
      <c r="O42" s="148">
        <f>'2024'!P118</f>
        <v>1817334.8199999998</v>
      </c>
      <c r="P42" s="149">
        <f t="shared" si="6"/>
        <v>554.43000000016764</v>
      </c>
      <c r="Q42" s="151">
        <f t="shared" si="3"/>
        <v>3.0507862057049806E-4</v>
      </c>
      <c r="R42" s="148">
        <f>'2023'!P42</f>
        <v>1935600.9300000002</v>
      </c>
      <c r="S42" s="149">
        <f t="shared" si="4"/>
        <v>-117711.68000000017</v>
      </c>
      <c r="T42" s="153">
        <f t="shared" si="5"/>
        <v>-6.0814023270798989E-2</v>
      </c>
      <c r="W42" s="470"/>
      <c r="Y42" s="470"/>
    </row>
    <row r="43" spans="1:25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'2024'!S43</f>
        <v>603950177.93999994</v>
      </c>
      <c r="H43" s="148">
        <f>SUM('2024'!G119:P119)</f>
        <v>608523915.87999988</v>
      </c>
      <c r="I43" s="149">
        <f t="shared" si="0"/>
        <v>-4573737.939999938</v>
      </c>
      <c r="J43" s="151">
        <f t="shared" si="1"/>
        <v>-7.5161186284449233E-3</v>
      </c>
      <c r="K43" s="148">
        <f>SUM('2023'!G43:P43)</f>
        <v>454188999.32999992</v>
      </c>
      <c r="L43" s="149">
        <f t="shared" si="7"/>
        <v>149761178.61000001</v>
      </c>
      <c r="M43" s="153">
        <f t="shared" si="2"/>
        <v>0.32973317018008208</v>
      </c>
      <c r="N43" s="148">
        <f>'2024'!P43</f>
        <v>62741828.979999974</v>
      </c>
      <c r="O43" s="148">
        <f>'2024'!P119</f>
        <v>64325640.68999999</v>
      </c>
      <c r="P43" s="149">
        <f t="shared" si="6"/>
        <v>-1583811.7100000158</v>
      </c>
      <c r="Q43" s="151">
        <f t="shared" si="3"/>
        <v>-2.462177901395135E-2</v>
      </c>
      <c r="R43" s="148">
        <f>'2023'!P43</f>
        <v>49444502.93</v>
      </c>
      <c r="S43" s="149">
        <f t="shared" si="4"/>
        <v>13297326.049999975</v>
      </c>
      <c r="T43" s="153">
        <f t="shared" si="5"/>
        <v>0.26893436604723031</v>
      </c>
      <c r="W43" s="470"/>
      <c r="Y43" s="470"/>
    </row>
    <row r="44" spans="1:25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'2024'!S44</f>
        <v>17758879.080000002</v>
      </c>
      <c r="H44" s="148">
        <f>SUM('2024'!G120:P120)</f>
        <v>18548000</v>
      </c>
      <c r="I44" s="149">
        <f t="shared" si="0"/>
        <v>-789120.91999999806</v>
      </c>
      <c r="J44" s="151">
        <f t="shared" si="1"/>
        <v>-4.2544798361009217E-2</v>
      </c>
      <c r="K44" s="148">
        <f>SUM('2023'!G44:P44)</f>
        <v>15899603.109999999</v>
      </c>
      <c r="L44" s="149">
        <f t="shared" si="7"/>
        <v>1859275.9700000025</v>
      </c>
      <c r="M44" s="153">
        <f t="shared" si="2"/>
        <v>0.11693851457402848</v>
      </c>
      <c r="N44" s="148">
        <f>'2024'!P44</f>
        <v>1750407.2900000003</v>
      </c>
      <c r="O44" s="148">
        <f>'2024'!P120</f>
        <v>1506000</v>
      </c>
      <c r="P44" s="149">
        <f t="shared" si="6"/>
        <v>244407.29000000027</v>
      </c>
      <c r="Q44" s="151">
        <f t="shared" si="3"/>
        <v>0.16228903718459509</v>
      </c>
      <c r="R44" s="148">
        <f>'2023'!P44</f>
        <v>2181527.52</v>
      </c>
      <c r="S44" s="149">
        <f t="shared" si="4"/>
        <v>-431120.22999999975</v>
      </c>
      <c r="T44" s="153">
        <f t="shared" si="5"/>
        <v>-0.19762309943263967</v>
      </c>
      <c r="W44" s="470"/>
      <c r="Y44" s="470"/>
    </row>
    <row r="45" spans="1:25">
      <c r="A45" s="135">
        <v>425</v>
      </c>
      <c r="B45" s="565" t="str">
        <f>+VLOOKUP($A45,Master!$D$30:$G$226,4,FALSE)</f>
        <v>Ostala prava iz zdravstvenog osiguranja</v>
      </c>
      <c r="C45" s="566"/>
      <c r="D45" s="566"/>
      <c r="E45" s="566"/>
      <c r="F45" s="566"/>
      <c r="G45" s="148">
        <f>'2024'!S45</f>
        <v>13034792.700000001</v>
      </c>
      <c r="H45" s="148">
        <f>SUM('2024'!G121:P121)</f>
        <v>13439696.140000001</v>
      </c>
      <c r="I45" s="149">
        <f t="shared" si="0"/>
        <v>-404903.43999999948</v>
      </c>
      <c r="J45" s="151">
        <f t="shared" si="1"/>
        <v>-3.0127425187456591E-2</v>
      </c>
      <c r="K45" s="148">
        <f>SUM('2023'!G45:P45)</f>
        <v>11531316.32</v>
      </c>
      <c r="L45" s="149">
        <f t="shared" si="7"/>
        <v>1503476.3800000008</v>
      </c>
      <c r="M45" s="153">
        <f t="shared" si="2"/>
        <v>0.13038202563157175</v>
      </c>
      <c r="N45" s="148">
        <f>'2024'!P45</f>
        <v>1451005.2600000005</v>
      </c>
      <c r="O45" s="148">
        <f>'2024'!P121</f>
        <v>1079696.1400000001</v>
      </c>
      <c r="P45" s="149">
        <f t="shared" si="6"/>
        <v>371309.12000000034</v>
      </c>
      <c r="Q45" s="151">
        <f t="shared" si="3"/>
        <v>0.34390149806407599</v>
      </c>
      <c r="R45" s="148">
        <f>'2023'!P45</f>
        <v>2419350.8400000003</v>
      </c>
      <c r="S45" s="149">
        <f t="shared" si="4"/>
        <v>-968345.57999999984</v>
      </c>
      <c r="T45" s="153">
        <f t="shared" si="5"/>
        <v>-0.40025016793347745</v>
      </c>
      <c r="W45" s="470"/>
      <c r="Y45" s="470"/>
    </row>
    <row r="46" spans="1:25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'2024'!S46</f>
        <v>309258186.06</v>
      </c>
      <c r="H46" s="160">
        <f>SUM('2024'!G122:P122)</f>
        <v>344757725.17000008</v>
      </c>
      <c r="I46" s="161">
        <f t="shared" si="0"/>
        <v>-35499539.110000074</v>
      </c>
      <c r="J46" s="163">
        <f t="shared" si="1"/>
        <v>-0.10296952473652399</v>
      </c>
      <c r="K46" s="160">
        <f>SUM('2023'!G46:P46)</f>
        <v>284952037.25</v>
      </c>
      <c r="L46" s="161">
        <f t="shared" si="7"/>
        <v>24306148.810000002</v>
      </c>
      <c r="M46" s="165">
        <f t="shared" si="2"/>
        <v>8.5299087680061891E-2</v>
      </c>
      <c r="N46" s="160">
        <f>'2024'!P46</f>
        <v>30734173.659999993</v>
      </c>
      <c r="O46" s="160">
        <f>'2024'!P122</f>
        <v>37535806.099999994</v>
      </c>
      <c r="P46" s="161">
        <f t="shared" si="6"/>
        <v>-6801632.4400000013</v>
      </c>
      <c r="Q46" s="163">
        <f t="shared" si="3"/>
        <v>-0.18120384631888864</v>
      </c>
      <c r="R46" s="160">
        <f>'2023'!P46</f>
        <v>29874334.260000002</v>
      </c>
      <c r="S46" s="161">
        <f t="shared" si="4"/>
        <v>859839.39999999106</v>
      </c>
      <c r="T46" s="165">
        <f t="shared" si="5"/>
        <v>2.878187652707842E-2</v>
      </c>
      <c r="W46" s="470"/>
      <c r="Y46" s="470"/>
    </row>
    <row r="47" spans="1:25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'2024'!S47</f>
        <v>165042640.01999998</v>
      </c>
      <c r="H47" s="160">
        <f>SUM('2024'!G123:P123)</f>
        <v>183853684.64999998</v>
      </c>
      <c r="I47" s="161">
        <f t="shared" si="0"/>
        <v>-18811044.629999995</v>
      </c>
      <c r="J47" s="163">
        <f t="shared" si="1"/>
        <v>-0.10231529852562027</v>
      </c>
      <c r="K47" s="160">
        <f>SUM('2023'!G47:P47)</f>
        <v>138840257.65000001</v>
      </c>
      <c r="L47" s="161">
        <f t="shared" si="7"/>
        <v>26202382.369999975</v>
      </c>
      <c r="M47" s="165">
        <f t="shared" si="2"/>
        <v>0.18872323354551179</v>
      </c>
      <c r="N47" s="160">
        <f>'2024'!P47</f>
        <v>27895963.32</v>
      </c>
      <c r="O47" s="160">
        <f>'2024'!P123</f>
        <v>42977746.36999999</v>
      </c>
      <c r="P47" s="161">
        <f t="shared" si="6"/>
        <v>-15081783.04999999</v>
      </c>
      <c r="Q47" s="163">
        <f t="shared" si="3"/>
        <v>-0.35092075140839907</v>
      </c>
      <c r="R47" s="160">
        <f>'2023'!P47</f>
        <v>25086640.27</v>
      </c>
      <c r="S47" s="161">
        <f t="shared" si="4"/>
        <v>2809323.0500000007</v>
      </c>
      <c r="T47" s="165">
        <f t="shared" si="5"/>
        <v>0.11198482617696492</v>
      </c>
      <c r="W47" s="470"/>
      <c r="Y47" s="470"/>
    </row>
    <row r="48" spans="1:25">
      <c r="A48" s="135">
        <v>451</v>
      </c>
      <c r="B48" s="583" t="str">
        <f>+VLOOKUP($A48,Master!$D$30:$G$226,4,FALSE)</f>
        <v>Pozajmice i krediti</v>
      </c>
      <c r="C48" s="584"/>
      <c r="D48" s="584"/>
      <c r="E48" s="584"/>
      <c r="F48" s="584"/>
      <c r="G48" s="148">
        <f>'2024'!S48</f>
        <v>0</v>
      </c>
      <c r="H48" s="148">
        <f>SUM('2024'!G124:P124)</f>
        <v>0</v>
      </c>
      <c r="I48" s="149">
        <f>G48-H48</f>
        <v>0</v>
      </c>
      <c r="J48" s="266" t="str">
        <f t="shared" si="1"/>
        <v>...</v>
      </c>
      <c r="K48" s="148">
        <f>SUM('2023'!G48:P48)</f>
        <v>0</v>
      </c>
      <c r="L48" s="263">
        <f t="shared" si="7"/>
        <v>0</v>
      </c>
      <c r="M48" s="475" t="str">
        <f t="shared" si="2"/>
        <v>...</v>
      </c>
      <c r="N48" s="148">
        <f>'2024'!P48</f>
        <v>0</v>
      </c>
      <c r="O48" s="148">
        <f>'2024'!P124</f>
        <v>0</v>
      </c>
      <c r="P48" s="149">
        <f t="shared" si="6"/>
        <v>0</v>
      </c>
      <c r="Q48" s="266" t="str">
        <f t="shared" si="3"/>
        <v>...</v>
      </c>
      <c r="R48" s="148">
        <f>'2023'!P48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48">
        <f>'2024'!S49</f>
        <v>22817055.93</v>
      </c>
      <c r="H49" s="148">
        <f>SUM('2024'!G125:P125)</f>
        <v>41285213.640000001</v>
      </c>
      <c r="I49" s="149">
        <f t="shared" ref="I49:I50" si="8">G49-H49</f>
        <v>-18468157.710000001</v>
      </c>
      <c r="J49" s="267">
        <f t="shared" si="1"/>
        <v>-0.44733104377366617</v>
      </c>
      <c r="K49" s="148">
        <f>SUM('2023'!G49:P49)</f>
        <v>12791703.059999999</v>
      </c>
      <c r="L49" s="264">
        <f t="shared" si="7"/>
        <v>10025352.870000001</v>
      </c>
      <c r="M49" s="476">
        <f t="shared" si="2"/>
        <v>0.7837387111767431</v>
      </c>
      <c r="N49" s="148">
        <f>'2024'!P49</f>
        <v>2349062.9400000004</v>
      </c>
      <c r="O49" s="148">
        <f>'2024'!P125</f>
        <v>10387962.93</v>
      </c>
      <c r="P49" s="149">
        <f t="shared" si="6"/>
        <v>-8038899.9899999993</v>
      </c>
      <c r="Q49" s="267">
        <f t="shared" si="3"/>
        <v>-0.77386683454404659</v>
      </c>
      <c r="R49" s="148">
        <f>'2023'!P49</f>
        <v>629087.52</v>
      </c>
      <c r="S49" s="264">
        <f t="shared" si="4"/>
        <v>1719975.4200000004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f>'2024'!S50</f>
        <v>5849367.6699999999</v>
      </c>
      <c r="H50" s="148">
        <f>SUM('2024'!G126:P126)</f>
        <v>1</v>
      </c>
      <c r="I50" s="149">
        <f t="shared" si="8"/>
        <v>5849366.6699999999</v>
      </c>
      <c r="J50" s="268" t="str">
        <f t="shared" si="1"/>
        <v>...</v>
      </c>
      <c r="K50" s="148">
        <f>SUM('2023'!G50:P50)</f>
        <v>2813572.16</v>
      </c>
      <c r="L50" s="264">
        <f t="shared" si="7"/>
        <v>3035795.51</v>
      </c>
      <c r="M50" s="477">
        <f t="shared" si="2"/>
        <v>1.0789826375023557</v>
      </c>
      <c r="N50" s="148">
        <f>'2024'!P50</f>
        <v>0</v>
      </c>
      <c r="O50" s="148">
        <f>'2024'!P126</f>
        <v>0.5</v>
      </c>
      <c r="P50" s="149">
        <f t="shared" si="6"/>
        <v>-0.5</v>
      </c>
      <c r="Q50" s="268">
        <f t="shared" si="3"/>
        <v>-1</v>
      </c>
      <c r="R50" s="148">
        <f>'2023'!P50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5" t="str">
        <f>+VLOOKUP($A51,Master!$D$30:$G$226,4,FALSE)</f>
        <v>Otplata obaveza iz prethodnog perioda</v>
      </c>
      <c r="C51" s="586"/>
      <c r="D51" s="586"/>
      <c r="E51" s="586"/>
      <c r="F51" s="586"/>
      <c r="G51" s="295">
        <f>'2024'!S51</f>
        <v>17199787.139999997</v>
      </c>
      <c r="H51" s="295">
        <f>SUM('2024'!G127:P127)</f>
        <v>11440582.07</v>
      </c>
      <c r="I51" s="265">
        <f>G51-H51</f>
        <v>5759205.0699999966</v>
      </c>
      <c r="J51" s="269">
        <f t="shared" si="1"/>
        <v>0.50340140342177508</v>
      </c>
      <c r="K51" s="295">
        <f>SUM('2023'!G51:P51)</f>
        <v>11590877.57</v>
      </c>
      <c r="L51" s="271">
        <f t="shared" si="7"/>
        <v>5608909.5699999966</v>
      </c>
      <c r="M51" s="478">
        <f t="shared" si="2"/>
        <v>0.48390723964829152</v>
      </c>
      <c r="N51" s="295">
        <f>'2024'!P51</f>
        <v>886392.03999999992</v>
      </c>
      <c r="O51" s="295">
        <f>'2024'!P127</f>
        <v>5198427.45</v>
      </c>
      <c r="P51" s="265">
        <f>N51-O51</f>
        <v>-4312035.41</v>
      </c>
      <c r="Q51" s="269">
        <f t="shared" si="3"/>
        <v>-0.82948842731276362</v>
      </c>
      <c r="R51" s="295">
        <f>'2023'!P51</f>
        <v>1076828.46</v>
      </c>
      <c r="S51" s="271">
        <f>+N51-R51</f>
        <v>-190436.42000000004</v>
      </c>
      <c r="T51" s="478">
        <f t="shared" si="5"/>
        <v>-0.17684935630323151</v>
      </c>
      <c r="W51" s="470"/>
      <c r="Y51" s="470"/>
    </row>
    <row r="52" spans="1:25" ht="15.75" thickBot="1">
      <c r="A52" s="129">
        <v>1005</v>
      </c>
      <c r="B52" s="585" t="str">
        <f>+VLOOKUP($A52,Master!$D$30:$G$228,4,FALSE)</f>
        <v>Neto povećanje obaveza</v>
      </c>
      <c r="C52" s="586"/>
      <c r="D52" s="586"/>
      <c r="E52" s="586"/>
      <c r="F52" s="586"/>
      <c r="G52" s="148">
        <f>'2024'!S52</f>
        <v>0</v>
      </c>
      <c r="H52" s="148">
        <f>SUM('2024'!G128:P128)</f>
        <v>0</v>
      </c>
      <c r="I52" s="265">
        <f>G52-H52</f>
        <v>0</v>
      </c>
      <c r="J52" s="269" t="str">
        <f t="shared" si="1"/>
        <v>...</v>
      </c>
      <c r="K52" s="148">
        <f>SUM('2023'!G52:P52)</f>
        <v>0</v>
      </c>
      <c r="L52" s="271">
        <f t="shared" si="7"/>
        <v>0</v>
      </c>
      <c r="M52" s="478" t="str">
        <f t="shared" si="2"/>
        <v>...</v>
      </c>
      <c r="N52" s="148">
        <f>'2024'!P52</f>
        <v>0</v>
      </c>
      <c r="O52" s="148">
        <f>'2024'!P128</f>
        <v>0</v>
      </c>
      <c r="P52" s="265">
        <f>N52-O52</f>
        <v>0</v>
      </c>
      <c r="Q52" s="269" t="str">
        <f t="shared" si="3"/>
        <v>...</v>
      </c>
      <c r="R52" s="148">
        <f>'2023'!P52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>'2024'!S53</f>
        <v>75104874.070000201</v>
      </c>
      <c r="H53" s="136">
        <f>SUM('2024'!G129:P129)</f>
        <v>-105346254.97638077</v>
      </c>
      <c r="I53" s="299">
        <f>+G53-H53</f>
        <v>180451129.04638097</v>
      </c>
      <c r="J53" s="270">
        <f t="shared" si="1"/>
        <v>-1.7129334980805835</v>
      </c>
      <c r="K53" s="136">
        <f>SUM('2023'!G53:P53)</f>
        <v>183597303.50000027</v>
      </c>
      <c r="L53" s="272">
        <f t="shared" si="7"/>
        <v>-108492429.43000007</v>
      </c>
      <c r="M53" s="479">
        <f t="shared" si="2"/>
        <v>-0.59092605044714019</v>
      </c>
      <c r="N53" s="136">
        <f>'2024'!P53</f>
        <v>-13107406.520000011</v>
      </c>
      <c r="O53" s="136">
        <f>'2024'!P129</f>
        <v>-73787687.733982325</v>
      </c>
      <c r="P53" s="299">
        <f>N53-O53</f>
        <v>60680281.213982314</v>
      </c>
      <c r="Q53" s="270">
        <f t="shared" si="3"/>
        <v>-0.8223632299299779</v>
      </c>
      <c r="R53" s="136">
        <f>'2023'!P53</f>
        <v>6932464.1200000048</v>
      </c>
      <c r="S53" s="272">
        <f t="shared" si="4"/>
        <v>-20039870.640000015</v>
      </c>
      <c r="T53" s="479">
        <f t="shared" si="5"/>
        <v>-2.890728360524137</v>
      </c>
      <c r="W53" s="470"/>
      <c r="Y53" s="470"/>
    </row>
    <row r="54" spans="1:25" ht="15.7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36">
        <f>'2024'!S54</f>
        <v>184083988.49000022</v>
      </c>
      <c r="H54" s="136">
        <f>SUM('2024'!G130:P130)</f>
        <v>6907787.3836192489</v>
      </c>
      <c r="I54" s="191">
        <f t="shared" si="0"/>
        <v>177176201.10638097</v>
      </c>
      <c r="J54" s="193" t="str">
        <f t="shared" si="1"/>
        <v>...</v>
      </c>
      <c r="K54" s="136">
        <f>SUM('2023'!G54:P54)</f>
        <v>265211579.65000024</v>
      </c>
      <c r="L54" s="191">
        <f t="shared" si="7"/>
        <v>-81127591.160000026</v>
      </c>
      <c r="M54" s="195">
        <f t="shared" si="2"/>
        <v>-0.30589762056039982</v>
      </c>
      <c r="N54" s="136">
        <f>'2024'!P54</f>
        <v>1762444.1399999876</v>
      </c>
      <c r="O54" s="136">
        <f>'2024'!P130</f>
        <v>-56132200.983982325</v>
      </c>
      <c r="P54" s="191">
        <f t="shared" si="6"/>
        <v>57894645.12398231</v>
      </c>
      <c r="Q54" s="193">
        <f t="shared" si="3"/>
        <v>-1.0313980943042464</v>
      </c>
      <c r="R54" s="136">
        <f>'2023'!P54</f>
        <v>9106491.5200000051</v>
      </c>
      <c r="S54" s="191">
        <f t="shared" si="4"/>
        <v>-7344047.3800000176</v>
      </c>
      <c r="T54" s="195">
        <f t="shared" si="5"/>
        <v>-0.80646288022898349</v>
      </c>
      <c r="W54" s="470"/>
      <c r="Y54" s="470"/>
    </row>
    <row r="55" spans="1:25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460">
        <f>'2024'!S55</f>
        <v>402197156.07000005</v>
      </c>
      <c r="H55" s="460">
        <f>SUM('2024'!G131:P131)</f>
        <v>428762280.32999998</v>
      </c>
      <c r="I55" s="461">
        <f t="shared" si="0"/>
        <v>-26565124.259999931</v>
      </c>
      <c r="J55" s="462">
        <f t="shared" si="1"/>
        <v>-6.1957698889822832E-2</v>
      </c>
      <c r="K55" s="460">
        <f>SUM('2023'!G55:P55)</f>
        <v>222622517.18000001</v>
      </c>
      <c r="L55" s="461">
        <f t="shared" si="7"/>
        <v>179574638.89000005</v>
      </c>
      <c r="M55" s="480">
        <f t="shared" si="2"/>
        <v>0.80663286519577948</v>
      </c>
      <c r="N55" s="460">
        <f>'2024'!P55</f>
        <v>7153919.7600000007</v>
      </c>
      <c r="O55" s="460">
        <f>'2024'!P131</f>
        <v>37862418.009999998</v>
      </c>
      <c r="P55" s="461">
        <f t="shared" si="6"/>
        <v>-30708498.249999996</v>
      </c>
      <c r="Q55" s="462">
        <f t="shared" si="3"/>
        <v>-0.8110548629485167</v>
      </c>
      <c r="R55" s="460">
        <f>'2023'!P55</f>
        <v>8209323.5700000003</v>
      </c>
      <c r="S55" s="461">
        <f t="shared" si="4"/>
        <v>-1055403.8099999996</v>
      </c>
      <c r="T55" s="480">
        <f t="shared" si="5"/>
        <v>-0.1285616044977016</v>
      </c>
      <c r="W55" s="470"/>
      <c r="Y55" s="470"/>
    </row>
    <row r="56" spans="1:25">
      <c r="A56" s="129">
        <v>4611</v>
      </c>
      <c r="B56" s="583" t="str">
        <f>+VLOOKUP($A56,Master!$D$30:$G$226,4,FALSE)</f>
        <v>Otplata hartija od vrijednosti i kredita rezidentima</v>
      </c>
      <c r="C56" s="584"/>
      <c r="D56" s="584"/>
      <c r="E56" s="584"/>
      <c r="F56" s="584"/>
      <c r="G56" s="148">
        <f>'2024'!S56</f>
        <v>183543909.07000002</v>
      </c>
      <c r="H56" s="148">
        <f>SUM('2024'!G132:P132)</f>
        <v>192257331.80999997</v>
      </c>
      <c r="I56" s="197">
        <f t="shared" si="0"/>
        <v>-8713422.7399999499</v>
      </c>
      <c r="J56" s="199">
        <f t="shared" si="1"/>
        <v>-4.5321666840831165E-2</v>
      </c>
      <c r="K56" s="148">
        <f>SUM('2023'!G56:P56)</f>
        <v>65126297.119999997</v>
      </c>
      <c r="L56" s="197">
        <f t="shared" si="7"/>
        <v>118417611.95000002</v>
      </c>
      <c r="M56" s="201">
        <f t="shared" si="2"/>
        <v>1.8182764441805568</v>
      </c>
      <c r="N56" s="148">
        <f>'2024'!P56</f>
        <v>2641469.5200000005</v>
      </c>
      <c r="O56" s="148">
        <f>'2024'!P132</f>
        <v>11354892.26</v>
      </c>
      <c r="P56" s="197">
        <f t="shared" si="6"/>
        <v>-8713422.7399999984</v>
      </c>
      <c r="Q56" s="199">
        <f t="shared" si="3"/>
        <v>-0.76737167913912019</v>
      </c>
      <c r="R56" s="148">
        <f>'2023'!P56</f>
        <v>3094863.43</v>
      </c>
      <c r="S56" s="197">
        <f t="shared" si="4"/>
        <v>-453393.90999999968</v>
      </c>
      <c r="T56" s="201">
        <f t="shared" si="5"/>
        <v>-0.14649884243842048</v>
      </c>
      <c r="W56" s="470"/>
      <c r="Y56" s="470"/>
    </row>
    <row r="57" spans="1:25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48">
        <f>'2024'!S57</f>
        <v>218653247</v>
      </c>
      <c r="H57" s="148">
        <f>SUM('2024'!G133:P133)</f>
        <v>236504948.52000001</v>
      </c>
      <c r="I57" s="197">
        <f t="shared" si="0"/>
        <v>-17851701.520000011</v>
      </c>
      <c r="J57" s="199">
        <f t="shared" si="1"/>
        <v>-7.5481302322477184E-2</v>
      </c>
      <c r="K57" s="148">
        <f>SUM('2023'!G57:P57)</f>
        <v>157496220.05999997</v>
      </c>
      <c r="L57" s="197">
        <f t="shared" si="7"/>
        <v>61157026.940000027</v>
      </c>
      <c r="M57" s="201">
        <f t="shared" si="2"/>
        <v>0.38830790298777695</v>
      </c>
      <c r="N57" s="148">
        <f>'2024'!P57</f>
        <v>4512450.24</v>
      </c>
      <c r="O57" s="148">
        <f>'2024'!P133</f>
        <v>26507525.75</v>
      </c>
      <c r="P57" s="197">
        <f t="shared" si="6"/>
        <v>-21995075.509999998</v>
      </c>
      <c r="Q57" s="199">
        <f t="shared" si="3"/>
        <v>-0.82976720337619592</v>
      </c>
      <c r="R57" s="148">
        <f>'2023'!P57</f>
        <v>5114460.1399999997</v>
      </c>
      <c r="S57" s="197">
        <f t="shared" si="4"/>
        <v>-602009.89999999944</v>
      </c>
      <c r="T57" s="201">
        <f t="shared" si="5"/>
        <v>-0.11770741848034028</v>
      </c>
      <c r="W57" s="470"/>
      <c r="Y57" s="470"/>
    </row>
    <row r="58" spans="1:25" ht="15.75" thickBot="1">
      <c r="A58" s="129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13">
        <f>'2024'!S58</f>
        <v>3266458.45</v>
      </c>
      <c r="H58" s="313">
        <f>SUM('2024'!G134:P134)</f>
        <v>3600196.58</v>
      </c>
      <c r="I58" s="314">
        <f t="shared" ref="I58:I66" si="9">+G58-H58</f>
        <v>-333738.12999999989</v>
      </c>
      <c r="J58" s="315">
        <f t="shared" si="1"/>
        <v>-9.2699974177521183E-2</v>
      </c>
      <c r="K58" s="313">
        <f>SUM('2023'!G58:P58)</f>
        <v>720866.76</v>
      </c>
      <c r="L58" s="314">
        <f t="shared" ref="L58:L66" si="10">+G58-K58</f>
        <v>2545591.6900000004</v>
      </c>
      <c r="M58" s="481" t="str">
        <f t="shared" si="2"/>
        <v>...</v>
      </c>
      <c r="N58" s="313">
        <f>'2024'!P58</f>
        <v>0</v>
      </c>
      <c r="O58" s="313">
        <f>'2024'!P134</f>
        <v>89402.709999999992</v>
      </c>
      <c r="P58" s="314">
        <f t="shared" ref="P58:P66" si="11">+N58-O58</f>
        <v>-89402.709999999992</v>
      </c>
      <c r="Q58" s="315">
        <f t="shared" si="3"/>
        <v>-1</v>
      </c>
      <c r="R58" s="313">
        <f>'2023'!P58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313">
        <f>'2024'!S59</f>
        <v>6481345.46</v>
      </c>
      <c r="H59" s="313">
        <f>SUM('2024'!G135:P135)</f>
        <v>3993481.0599999996</v>
      </c>
      <c r="I59" s="314">
        <f t="shared" si="9"/>
        <v>2487864.4000000004</v>
      </c>
      <c r="J59" s="315">
        <f t="shared" si="1"/>
        <v>0.62298139458310109</v>
      </c>
      <c r="K59" s="313">
        <f>SUM('2023'!G59:P59)</f>
        <v>9289595.209999999</v>
      </c>
      <c r="L59" s="314">
        <f t="shared" si="10"/>
        <v>-2808249.7499999991</v>
      </c>
      <c r="M59" s="481">
        <f t="shared" si="2"/>
        <v>-0.30230055094079811</v>
      </c>
      <c r="N59" s="313">
        <f>'2024'!P59</f>
        <v>716355.96</v>
      </c>
      <c r="O59" s="313">
        <f>'2024'!P135</f>
        <v>476013.97</v>
      </c>
      <c r="P59" s="314">
        <f t="shared" si="11"/>
        <v>240341.99</v>
      </c>
      <c r="Q59" s="315">
        <f t="shared" si="3"/>
        <v>0.50490532872386074</v>
      </c>
      <c r="R59" s="313">
        <f>'2023'!P59</f>
        <v>512417.52</v>
      </c>
      <c r="S59" s="314">
        <f t="shared" si="12"/>
        <v>203938.43999999994</v>
      </c>
      <c r="T59" s="481">
        <f t="shared" si="5"/>
        <v>0.39799271500318723</v>
      </c>
      <c r="W59" s="470"/>
      <c r="Y59" s="470"/>
    </row>
    <row r="60" spans="1:25" ht="15.7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98">
        <f>'2024'!S60</f>
        <v>-336840085.90999985</v>
      </c>
      <c r="H60" s="298">
        <f>SUM('2024'!G136:P136)</f>
        <v>-541702212.94638073</v>
      </c>
      <c r="I60" s="300">
        <f t="shared" si="9"/>
        <v>204862127.03638089</v>
      </c>
      <c r="J60" s="301">
        <f t="shared" si="1"/>
        <v>-0.37818218596913644</v>
      </c>
      <c r="K60" s="298">
        <f>SUM('2023'!G60:P60)</f>
        <v>-49035675.649999738</v>
      </c>
      <c r="L60" s="300">
        <f>+G60-K60</f>
        <v>-287804410.26000011</v>
      </c>
      <c r="M60" s="482" t="str">
        <f t="shared" si="2"/>
        <v>...</v>
      </c>
      <c r="N60" s="298">
        <f>'2024'!P60</f>
        <v>-20977682.240000013</v>
      </c>
      <c r="O60" s="298">
        <f>'2024'!P136</f>
        <v>-112215522.42398231</v>
      </c>
      <c r="P60" s="300">
        <f t="shared" si="11"/>
        <v>91237840.183982298</v>
      </c>
      <c r="Q60" s="301">
        <f t="shared" si="3"/>
        <v>-0.81305899766040979</v>
      </c>
      <c r="R60" s="298">
        <f>'2023'!P60</f>
        <v>-1789276.9699999955</v>
      </c>
      <c r="S60" s="300">
        <f t="shared" si="12"/>
        <v>-19188405.270000018</v>
      </c>
      <c r="T60" s="482" t="str">
        <f t="shared" si="5"/>
        <v>...</v>
      </c>
      <c r="W60" s="470"/>
      <c r="Y60" s="470"/>
    </row>
    <row r="61" spans="1:25" ht="15.7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'2024'!S61</f>
        <v>336840085.90999979</v>
      </c>
      <c r="H61" s="136">
        <f>SUM('2024'!G137:P137)</f>
        <v>541702212.94638073</v>
      </c>
      <c r="I61" s="299">
        <f t="shared" si="9"/>
        <v>-204862127.03638095</v>
      </c>
      <c r="J61" s="302">
        <f t="shared" si="1"/>
        <v>-0.37818218596913655</v>
      </c>
      <c r="K61" s="136">
        <f>SUM('2023'!G61:P61)</f>
        <v>49035675.649999745</v>
      </c>
      <c r="L61" s="299">
        <f t="shared" si="10"/>
        <v>287804410.26000005</v>
      </c>
      <c r="M61" s="483" t="str">
        <f t="shared" si="2"/>
        <v>...</v>
      </c>
      <c r="N61" s="136">
        <f>'2024'!P61</f>
        <v>20977682.240000013</v>
      </c>
      <c r="O61" s="136">
        <f>'2024'!P137</f>
        <v>112215522.42398231</v>
      </c>
      <c r="P61" s="300">
        <f t="shared" si="11"/>
        <v>-91237840.183982298</v>
      </c>
      <c r="Q61" s="302">
        <f t="shared" si="3"/>
        <v>-0.81305899766040979</v>
      </c>
      <c r="R61" s="136">
        <f>'2023'!P61</f>
        <v>1789276.9699999955</v>
      </c>
      <c r="S61" s="299">
        <f t="shared" si="12"/>
        <v>19188405.270000018</v>
      </c>
      <c r="T61" s="483" t="str">
        <f t="shared" si="5"/>
        <v>...</v>
      </c>
      <c r="W61" s="470"/>
      <c r="Y61" s="470"/>
    </row>
    <row r="62" spans="1:25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48">
        <f>'2024'!S62</f>
        <v>0</v>
      </c>
      <c r="H62" s="148">
        <f>SUM('2024'!G138:P138)</f>
        <v>0</v>
      </c>
      <c r="I62" s="197">
        <f t="shared" si="9"/>
        <v>0</v>
      </c>
      <c r="J62" s="199" t="str">
        <f t="shared" si="1"/>
        <v>...</v>
      </c>
      <c r="K62" s="148">
        <f>SUM('2023'!G62:P62)</f>
        <v>0</v>
      </c>
      <c r="L62" s="197">
        <f t="shared" si="10"/>
        <v>0</v>
      </c>
      <c r="M62" s="201" t="str">
        <f t="shared" si="2"/>
        <v>...</v>
      </c>
      <c r="N62" s="148">
        <f>'2024'!P62</f>
        <v>0</v>
      </c>
      <c r="O62" s="148">
        <f>'2024'!P138</f>
        <v>0</v>
      </c>
      <c r="P62" s="197">
        <f t="shared" si="11"/>
        <v>0</v>
      </c>
      <c r="Q62" s="199" t="str">
        <f t="shared" si="3"/>
        <v>...</v>
      </c>
      <c r="R62" s="148">
        <f>'2023'!P62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48">
        <f>'2024'!S63</f>
        <v>718848819.57999992</v>
      </c>
      <c r="H63" s="148">
        <f>SUM('2024'!G139:P139)</f>
        <v>867000000</v>
      </c>
      <c r="I63" s="197">
        <f t="shared" si="9"/>
        <v>-148151180.42000008</v>
      </c>
      <c r="J63" s="199">
        <f t="shared" si="1"/>
        <v>-0.1708779474279124</v>
      </c>
      <c r="K63" s="148">
        <f>SUM('2023'!G63:P63)</f>
        <v>125764189.48999998</v>
      </c>
      <c r="L63" s="197">
        <f t="shared" si="10"/>
        <v>593084630.08999991</v>
      </c>
      <c r="M63" s="201" t="str">
        <f t="shared" si="2"/>
        <v>...</v>
      </c>
      <c r="N63" s="148">
        <f>'2024'!P63</f>
        <v>6239384.3199999994</v>
      </c>
      <c r="O63" s="148">
        <f>'2024'!P139</f>
        <v>0</v>
      </c>
      <c r="P63" s="197">
        <f t="shared" si="11"/>
        <v>6239384.3199999994</v>
      </c>
      <c r="Q63" s="199" t="str">
        <f t="shared" si="3"/>
        <v>...</v>
      </c>
      <c r="R63" s="148">
        <f>'2023'!P63</f>
        <v>4602266.9400000004</v>
      </c>
      <c r="S63" s="197">
        <f t="shared" si="12"/>
        <v>1637117.379999999</v>
      </c>
      <c r="T63" s="201">
        <f t="shared" si="5"/>
        <v>0.35571977926165199</v>
      </c>
      <c r="W63" s="470"/>
      <c r="Y63" s="470"/>
    </row>
    <row r="64" spans="1:25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48">
        <f>'2024'!S64</f>
        <v>1696756.4200000002</v>
      </c>
      <c r="H64" s="148">
        <f>SUM('2024'!G140:P140)</f>
        <v>5000000</v>
      </c>
      <c r="I64" s="197">
        <f t="shared" si="9"/>
        <v>-3303243.58</v>
      </c>
      <c r="J64" s="199">
        <f t="shared" si="1"/>
        <v>-0.66064871599999997</v>
      </c>
      <c r="K64" s="148">
        <f>SUM('2023'!G64:P64)</f>
        <v>2478690.0200000005</v>
      </c>
      <c r="L64" s="197">
        <f t="shared" si="10"/>
        <v>-781933.60000000033</v>
      </c>
      <c r="M64" s="201">
        <f t="shared" si="2"/>
        <v>-0.31546243930897022</v>
      </c>
      <c r="N64" s="148">
        <f>'2024'!P64</f>
        <v>128331.11000000003</v>
      </c>
      <c r="O64" s="148">
        <f>'2024'!P140</f>
        <v>500000</v>
      </c>
      <c r="P64" s="197">
        <f t="shared" si="11"/>
        <v>-371668.88999999996</v>
      </c>
      <c r="Q64" s="199">
        <f t="shared" si="3"/>
        <v>-0.74333777999999995</v>
      </c>
      <c r="R64" s="148">
        <f>'2023'!P64</f>
        <v>61500.47</v>
      </c>
      <c r="S64" s="197">
        <f t="shared" si="12"/>
        <v>66830.640000000029</v>
      </c>
      <c r="T64" s="201">
        <f t="shared" si="5"/>
        <v>1.0866687685476228</v>
      </c>
      <c r="W64" s="470"/>
      <c r="Y64" s="470"/>
    </row>
    <row r="65" spans="1:25">
      <c r="A65" s="129">
        <v>73</v>
      </c>
      <c r="B65" s="583" t="str">
        <f>+VLOOKUP($A65,Master!$D$30:$G$226,4,FALSE)</f>
        <v>Primici od otplate kredita i sredstva prenesena iz prethodne godine</v>
      </c>
      <c r="C65" s="584"/>
      <c r="D65" s="584"/>
      <c r="E65" s="584"/>
      <c r="F65" s="584"/>
      <c r="G65" s="148">
        <f>'2024'!S65</f>
        <v>15026211.810000001</v>
      </c>
      <c r="H65" s="148">
        <f>SUM('2024'!G141:P141)</f>
        <v>5892259.9825796895</v>
      </c>
      <c r="I65" s="197">
        <f t="shared" si="9"/>
        <v>9133951.827420311</v>
      </c>
      <c r="J65" s="199">
        <f t="shared" si="1"/>
        <v>1.5501610340386538</v>
      </c>
      <c r="K65" s="148">
        <f>SUM('2023'!G65:P65)</f>
        <v>10820487.42</v>
      </c>
      <c r="L65" s="197">
        <f t="shared" si="10"/>
        <v>4205724.3900000006</v>
      </c>
      <c r="M65" s="201">
        <f t="shared" si="2"/>
        <v>0.38868160247812567</v>
      </c>
      <c r="N65" s="148">
        <f>'2024'!P65</f>
        <v>672233.76000000013</v>
      </c>
      <c r="O65" s="148">
        <f>'2024'!P141</f>
        <v>263186.6897599264</v>
      </c>
      <c r="P65" s="197">
        <f t="shared" si="11"/>
        <v>409047.07024007372</v>
      </c>
      <c r="Q65" s="199">
        <f t="shared" si="3"/>
        <v>1.5542088036944355</v>
      </c>
      <c r="R65" s="148">
        <f>'2023'!P65</f>
        <v>714145.76</v>
      </c>
      <c r="S65" s="197">
        <f t="shared" si="12"/>
        <v>-41911.999999999884</v>
      </c>
      <c r="T65" s="201">
        <f t="shared" si="5"/>
        <v>-5.8688299150582157E-2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-398731701.89999998</v>
      </c>
      <c r="H66" s="296">
        <f>SUM('2024'!G142:P142)</f>
        <v>-336190047.03619909</v>
      </c>
      <c r="I66" s="211">
        <f t="shared" si="9"/>
        <v>-62541654.863800883</v>
      </c>
      <c r="J66" s="213">
        <f t="shared" si="1"/>
        <v>0.18603065562219556</v>
      </c>
      <c r="K66" s="296">
        <f>SUM('2023'!G66:P66)</f>
        <v>-90027691.280000255</v>
      </c>
      <c r="L66" s="211">
        <f t="shared" si="10"/>
        <v>-308704010.61999971</v>
      </c>
      <c r="M66" s="215" t="str">
        <f t="shared" si="2"/>
        <v>...</v>
      </c>
      <c r="N66" s="296">
        <f>'2024'!P66</f>
        <v>13937733.050000014</v>
      </c>
      <c r="O66" s="296">
        <f>'2024'!P142</f>
        <v>111452335.73422238</v>
      </c>
      <c r="P66" s="211">
        <f t="shared" si="11"/>
        <v>-97514602.68422237</v>
      </c>
      <c r="Q66" s="213">
        <f t="shared" si="3"/>
        <v>-0.87494445084365946</v>
      </c>
      <c r="R66" s="296">
        <f>'2023'!P66</f>
        <v>-3588636.2000000044</v>
      </c>
      <c r="S66" s="211">
        <f t="shared" si="12"/>
        <v>17526369.250000019</v>
      </c>
      <c r="T66" s="215">
        <f t="shared" si="5"/>
        <v>-4.8838523252928221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GhwxhFcF/w94nqf3Fkdiyi5nxRgaFjvMAwU1Yah6Dn/UZdegDNh9eCuwOSLJ30mVWetDmDgzfC9GXloLNIBQLA==" saltValue="qSORs9wLbznljclH42FlFw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Q4" sqref="Q4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2024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7279700000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244547117.82000002</v>
      </c>
      <c r="J10" s="513">
        <f t="shared" si="2"/>
        <v>317572444.20999998</v>
      </c>
      <c r="K10" s="513">
        <f t="shared" si="2"/>
        <v>195199291.53999999</v>
      </c>
      <c r="L10" s="513">
        <f t="shared" si="2"/>
        <v>222632271.86000001</v>
      </c>
      <c r="M10" s="513">
        <f t="shared" ref="M10:R10" si="3">+M11+M19+SUM(M24:M28)</f>
        <v>263243994.48000005</v>
      </c>
      <c r="N10" s="513">
        <f t="shared" si="3"/>
        <v>254940204.98000002</v>
      </c>
      <c r="O10" s="513">
        <f t="shared" si="3"/>
        <v>247926911.75</v>
      </c>
      <c r="P10" s="513">
        <f t="shared" si="3"/>
        <v>240433854.94999999</v>
      </c>
      <c r="Q10" s="513">
        <f t="shared" si="3"/>
        <v>0</v>
      </c>
      <c r="R10" s="513">
        <f t="shared" si="3"/>
        <v>0</v>
      </c>
      <c r="S10" s="514">
        <f>+SUM(G10:R10)</f>
        <v>2317675582.5899997</v>
      </c>
      <c r="T10" s="515">
        <f>+S10/$T$7*100</f>
        <v>31.837515043064958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187772027.16000003</v>
      </c>
      <c r="O11" s="516">
        <f t="shared" si="5"/>
        <v>174666714.86000001</v>
      </c>
      <c r="P11" s="516">
        <f t="shared" si="5"/>
        <v>170940704.73000002</v>
      </c>
      <c r="Q11" s="516">
        <f t="shared" si="5"/>
        <v>0</v>
      </c>
      <c r="R11" s="517">
        <f t="shared" si="5"/>
        <v>0</v>
      </c>
      <c r="S11" s="518">
        <f>+SUM(G11:R11)</f>
        <v>1668980871.1700001</v>
      </c>
      <c r="T11" s="519">
        <f t="shared" ref="T11:T66" si="6">+S11/$T$7*100</f>
        <v>22.926506190777094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>
        <v>7506393.2000000002</v>
      </c>
      <c r="O12" s="148">
        <v>6129815.1900000004</v>
      </c>
      <c r="P12" s="148">
        <v>10490866.800000001</v>
      </c>
      <c r="Q12" s="148"/>
      <c r="R12" s="148"/>
      <c r="S12" s="227">
        <f>+SUM(G12:R12)</f>
        <v>70000406.510000005</v>
      </c>
      <c r="T12" s="436">
        <f t="shared" si="6"/>
        <v>0.96158367116776799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>
        <v>3297843.93</v>
      </c>
      <c r="O13" s="148">
        <v>3451625.75</v>
      </c>
      <c r="P13" s="148">
        <v>1559675.82</v>
      </c>
      <c r="Q13" s="148"/>
      <c r="R13" s="148"/>
      <c r="S13" s="227">
        <f t="shared" ref="S13:S65" si="7">+SUM(G13:R13)</f>
        <v>205898816.11999997</v>
      </c>
      <c r="T13" s="436">
        <f t="shared" si="6"/>
        <v>2.8283969960300559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>
        <v>126480010.05</v>
      </c>
      <c r="O15" s="148">
        <v>119699878.62</v>
      </c>
      <c r="P15" s="148">
        <v>118929652.58</v>
      </c>
      <c r="Q15" s="148"/>
      <c r="R15" s="148"/>
      <c r="S15" s="227">
        <f t="shared" si="7"/>
        <v>1020489514.9000001</v>
      </c>
      <c r="T15" s="436">
        <f t="shared" si="6"/>
        <v>14.018290793576661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>
        <v>43213446.43</v>
      </c>
      <c r="O16" s="148">
        <v>38641287.920000002</v>
      </c>
      <c r="P16" s="148">
        <v>33032024.920000002</v>
      </c>
      <c r="Q16" s="148"/>
      <c r="R16" s="148"/>
      <c r="S16" s="227">
        <f t="shared" si="7"/>
        <v>309947316.21000004</v>
      </c>
      <c r="T16" s="436">
        <f t="shared" si="6"/>
        <v>4.2576935342115751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>
        <v>5829872.2699999996</v>
      </c>
      <c r="O17" s="148">
        <v>5498962.25</v>
      </c>
      <c r="P17" s="148">
        <v>5536331.3300000001</v>
      </c>
      <c r="Q17" s="148"/>
      <c r="R17" s="148"/>
      <c r="S17" s="227">
        <f t="shared" si="7"/>
        <v>50225678.159999996</v>
      </c>
      <c r="T17" s="436">
        <f t="shared" si="6"/>
        <v>0.6899415931975218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>
        <v>1444461.28</v>
      </c>
      <c r="O18" s="148">
        <v>1245145.1299999999</v>
      </c>
      <c r="P18" s="148">
        <v>1392153.28</v>
      </c>
      <c r="Q18" s="148"/>
      <c r="R18" s="148"/>
      <c r="S18" s="227">
        <f t="shared" si="7"/>
        <v>12419139.269999998</v>
      </c>
      <c r="T18" s="436">
        <f t="shared" si="6"/>
        <v>0.17059960259351345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54498567.900000006</v>
      </c>
      <c r="O19" s="520">
        <f t="shared" si="10"/>
        <v>54697462.289999999</v>
      </c>
      <c r="P19" s="520">
        <f t="shared" si="10"/>
        <v>54762650.329999998</v>
      </c>
      <c r="Q19" s="520">
        <f t="shared" si="10"/>
        <v>0</v>
      </c>
      <c r="R19" s="520">
        <f t="shared" si="10"/>
        <v>0</v>
      </c>
      <c r="S19" s="521">
        <f t="shared" si="7"/>
        <v>484931075.12</v>
      </c>
      <c r="T19" s="522">
        <f t="shared" si="6"/>
        <v>6.6614156506449449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>
        <v>49830258.149999999</v>
      </c>
      <c r="O20" s="148">
        <v>50178879.670000002</v>
      </c>
      <c r="P20" s="148">
        <v>50008955.340000004</v>
      </c>
      <c r="Q20" s="148"/>
      <c r="R20" s="148"/>
      <c r="S20" s="227">
        <f>+SUM(G20:R20)</f>
        <v>444502164.57000005</v>
      </c>
      <c r="T20" s="436">
        <f t="shared" si="6"/>
        <v>6.1060505868373705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>
        <v>463962.06</v>
      </c>
      <c r="O21" s="148">
        <v>380875.64</v>
      </c>
      <c r="P21" s="148">
        <v>631287.55000000005</v>
      </c>
      <c r="Q21" s="148"/>
      <c r="R21" s="148"/>
      <c r="S21" s="227">
        <f t="shared" si="7"/>
        <v>4302666.17</v>
      </c>
      <c r="T21" s="436">
        <f t="shared" si="6"/>
        <v>5.9104992925532639E-2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>
        <v>2401758.41</v>
      </c>
      <c r="O22" s="148">
        <v>2372941.4300000002</v>
      </c>
      <c r="P22" s="148">
        <v>2360830.64</v>
      </c>
      <c r="Q22" s="148"/>
      <c r="R22" s="148"/>
      <c r="S22" s="227">
        <f t="shared" si="7"/>
        <v>20898635.580000002</v>
      </c>
      <c r="T22" s="436">
        <f t="shared" si="6"/>
        <v>0.28708100031594713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>
        <v>1802589.28</v>
      </c>
      <c r="O23" s="148">
        <v>1764765.55</v>
      </c>
      <c r="P23" s="148">
        <v>1761576.8</v>
      </c>
      <c r="Q23" s="148"/>
      <c r="R23" s="148"/>
      <c r="S23" s="227">
        <f t="shared" si="7"/>
        <v>15227608.800000001</v>
      </c>
      <c r="T23" s="436">
        <f t="shared" si="6"/>
        <v>0.20917907056609478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1305037.74</v>
      </c>
      <c r="M24" s="523">
        <v>1842088.0599999998</v>
      </c>
      <c r="N24" s="523">
        <v>1839749.14</v>
      </c>
      <c r="O24" s="523">
        <v>1512960.99</v>
      </c>
      <c r="P24" s="523">
        <v>1438790.56</v>
      </c>
      <c r="Q24" s="523"/>
      <c r="R24" s="523"/>
      <c r="S24" s="521">
        <f t="shared" si="7"/>
        <v>13458559.160000002</v>
      </c>
      <c r="T24" s="522">
        <f t="shared" si="6"/>
        <v>0.18487793672816191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>
        <v>3916013.25</v>
      </c>
      <c r="O25" s="523">
        <v>4184422.2199999997</v>
      </c>
      <c r="P25" s="523">
        <v>5561939.7699999996</v>
      </c>
      <c r="Q25" s="523"/>
      <c r="R25" s="523"/>
      <c r="S25" s="521">
        <f t="shared" si="7"/>
        <v>43372442.359999999</v>
      </c>
      <c r="T25" s="522">
        <f t="shared" si="6"/>
        <v>0.59579985933486268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7787071.8500000006</v>
      </c>
      <c r="H26" s="160">
        <v>2506490.67</v>
      </c>
      <c r="I26" s="160">
        <v>2145824.85</v>
      </c>
      <c r="J26" s="160">
        <v>12834932.449999999</v>
      </c>
      <c r="K26" s="160">
        <v>3927502.05</v>
      </c>
      <c r="L26" s="523">
        <v>13138766.17</v>
      </c>
      <c r="M26" s="523">
        <v>20196198.690000001</v>
      </c>
      <c r="N26" s="523">
        <v>3567908.3099999996</v>
      </c>
      <c r="O26" s="523">
        <v>9680884.0299999993</v>
      </c>
      <c r="P26" s="523">
        <v>2158978.42</v>
      </c>
      <c r="Q26" s="523"/>
      <c r="R26" s="523"/>
      <c r="S26" s="521">
        <f t="shared" si="7"/>
        <v>77944557.49000001</v>
      </c>
      <c r="T26" s="522">
        <f t="shared" si="6"/>
        <v>1.0707111212000495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1598183.88</v>
      </c>
      <c r="L28" s="523">
        <v>2513469.9</v>
      </c>
      <c r="M28" s="523">
        <v>3161833.91</v>
      </c>
      <c r="N28" s="523">
        <v>3345939.22</v>
      </c>
      <c r="O28" s="523">
        <v>3184467.36</v>
      </c>
      <c r="P28" s="523">
        <v>5570791.1399999997</v>
      </c>
      <c r="Q28" s="523"/>
      <c r="R28" s="523"/>
      <c r="S28" s="521">
        <f t="shared" si="7"/>
        <v>28988077.289999999</v>
      </c>
      <c r="T28" s="524">
        <f t="shared" si="6"/>
        <v>0.39820428437985084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137917013.63</v>
      </c>
      <c r="H29" s="136">
        <f t="shared" ref="H29:L29" si="11">+H30+H40+H46+SUM(H47:H51)</f>
        <v>214357140.56999999</v>
      </c>
      <c r="I29" s="136">
        <f t="shared" si="11"/>
        <v>231127145.44999996</v>
      </c>
      <c r="J29" s="136">
        <f t="shared" si="11"/>
        <v>258889877.91999999</v>
      </c>
      <c r="K29" s="136">
        <f t="shared" si="11"/>
        <v>214734194.55000004</v>
      </c>
      <c r="L29" s="136">
        <f t="shared" si="11"/>
        <v>224350537.5</v>
      </c>
      <c r="M29" s="136">
        <f t="shared" ref="M29:R29" si="12">+M30+M40+M46+SUM(M47:M51)</f>
        <v>248902090.77999997</v>
      </c>
      <c r="N29" s="136">
        <f t="shared" si="12"/>
        <v>204283294.99999997</v>
      </c>
      <c r="O29" s="136">
        <f t="shared" si="12"/>
        <v>254468151.64999998</v>
      </c>
      <c r="P29" s="136">
        <f t="shared" si="12"/>
        <v>253541261.47</v>
      </c>
      <c r="Q29" s="136">
        <f t="shared" si="12"/>
        <v>0</v>
      </c>
      <c r="R29" s="136">
        <f t="shared" si="12"/>
        <v>0</v>
      </c>
      <c r="S29" s="525">
        <f t="shared" si="7"/>
        <v>2242570708.5199995</v>
      </c>
      <c r="T29" s="526">
        <f t="shared" si="6"/>
        <v>30.80581216973226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89985207.119999975</v>
      </c>
      <c r="J30" s="172">
        <f t="shared" si="14"/>
        <v>107677776.29000001</v>
      </c>
      <c r="K30" s="172">
        <f t="shared" si="14"/>
        <v>86442522.650000036</v>
      </c>
      <c r="L30" s="172">
        <f t="shared" si="14"/>
        <v>85968333.140000015</v>
      </c>
      <c r="M30" s="172">
        <f t="shared" ref="M30:R30" si="15">+SUM(M31:M39)</f>
        <v>88278051.740000039</v>
      </c>
      <c r="N30" s="172">
        <f t="shared" si="15"/>
        <v>78701468.75</v>
      </c>
      <c r="O30" s="172">
        <f t="shared" si="15"/>
        <v>109969748.44000001</v>
      </c>
      <c r="P30" s="172">
        <f t="shared" si="15"/>
        <v>104934247.92</v>
      </c>
      <c r="Q30" s="172">
        <f t="shared" si="15"/>
        <v>0</v>
      </c>
      <c r="R30" s="231">
        <f t="shared" si="15"/>
        <v>0</v>
      </c>
      <c r="S30" s="527">
        <f t="shared" si="7"/>
        <v>895607150.5</v>
      </c>
      <c r="T30" s="519">
        <f t="shared" si="6"/>
        <v>12.302803006992047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558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59775945.540000021</v>
      </c>
      <c r="L31" s="148">
        <v>56818382.910000011</v>
      </c>
      <c r="M31" s="148">
        <v>56266659.160000019</v>
      </c>
      <c r="N31" s="148">
        <v>55238876.089999989</v>
      </c>
      <c r="O31" s="148">
        <v>57435269.210000031</v>
      </c>
      <c r="P31" s="498">
        <v>57172944.25</v>
      </c>
      <c r="Q31" s="148"/>
      <c r="R31" s="148"/>
      <c r="S31" s="227">
        <f t="shared" si="7"/>
        <v>561153024.80000007</v>
      </c>
      <c r="T31" s="436">
        <f t="shared" si="6"/>
        <v>7.708463601522042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558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148">
        <v>1609176.6600000001</v>
      </c>
      <c r="M32" s="148">
        <v>1737204.9199999995</v>
      </c>
      <c r="N32" s="148">
        <v>1253291.9899999995</v>
      </c>
      <c r="O32" s="148">
        <v>1536869.6700000002</v>
      </c>
      <c r="P32" s="148">
        <v>1989821.8199999996</v>
      </c>
      <c r="Q32" s="148"/>
      <c r="R32" s="148"/>
      <c r="S32" s="227">
        <f t="shared" si="7"/>
        <v>15520936.799999999</v>
      </c>
      <c r="T32" s="436">
        <f t="shared" si="6"/>
        <v>0.21320846738189761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558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148">
        <v>2355582.7499999995</v>
      </c>
      <c r="M33" s="148">
        <v>3349316.5599999996</v>
      </c>
      <c r="N33" s="148">
        <v>1740999.7799999998</v>
      </c>
      <c r="O33" s="148">
        <v>4498026.6500000013</v>
      </c>
      <c r="P33" s="148">
        <v>3461755.82</v>
      </c>
      <c r="Q33" s="148"/>
      <c r="R33" s="148"/>
      <c r="S33" s="227">
        <f t="shared" si="7"/>
        <v>27854489.290000003</v>
      </c>
      <c r="T33" s="436">
        <f t="shared" si="6"/>
        <v>0.38263237894418728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558">
        <v>768611.57000000007</v>
      </c>
      <c r="H34" s="499">
        <v>3306116.05</v>
      </c>
      <c r="I34" s="499">
        <v>6882661.3600000003</v>
      </c>
      <c r="J34" s="499">
        <v>6039146.9399999995</v>
      </c>
      <c r="K34" s="499">
        <v>4178033.2299999995</v>
      </c>
      <c r="L34" s="148">
        <v>5584622.5299999984</v>
      </c>
      <c r="M34" s="148">
        <v>6879718.1200000001</v>
      </c>
      <c r="N34" s="148">
        <v>3803417.7099999995</v>
      </c>
      <c r="O34" s="148">
        <v>4395037.3</v>
      </c>
      <c r="P34" s="148">
        <v>7261158.9799999995</v>
      </c>
      <c r="Q34" s="148"/>
      <c r="R34" s="148"/>
      <c r="S34" s="227">
        <f t="shared" si="7"/>
        <v>49098523.789999992</v>
      </c>
      <c r="T34" s="436">
        <f t="shared" si="6"/>
        <v>0.67445806544225706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558">
        <v>4201.5999999999995</v>
      </c>
      <c r="H35" s="499">
        <v>1444596.6199999996</v>
      </c>
      <c r="I35" s="499">
        <v>1881542.3199999998</v>
      </c>
      <c r="J35" s="499">
        <v>3225908.9499999997</v>
      </c>
      <c r="K35" s="499">
        <v>504578.94999999995</v>
      </c>
      <c r="L35" s="148">
        <v>3145877.9800000004</v>
      </c>
      <c r="M35" s="148">
        <v>3731629.6500000004</v>
      </c>
      <c r="N35" s="148">
        <v>2811315.1200000006</v>
      </c>
      <c r="O35" s="148">
        <v>4062574.1599999997</v>
      </c>
      <c r="P35" s="148">
        <v>2530485.4200000004</v>
      </c>
      <c r="Q35" s="148"/>
      <c r="R35" s="148"/>
      <c r="S35" s="227">
        <f t="shared" si="7"/>
        <v>23342710.770000003</v>
      </c>
      <c r="T35" s="436">
        <f t="shared" si="6"/>
        <v>0.32065484525461219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558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148">
        <v>5854363.290000001</v>
      </c>
      <c r="M36" s="148">
        <v>3738849.7</v>
      </c>
      <c r="N36" s="148">
        <v>3977652.6799999997</v>
      </c>
      <c r="O36" s="148">
        <v>25966444.500000004</v>
      </c>
      <c r="P36" s="148">
        <v>14869850.659999998</v>
      </c>
      <c r="Q36" s="148"/>
      <c r="R36" s="148"/>
      <c r="S36" s="227">
        <f>+SUM(G36:R36)</f>
        <v>108979114.41999999</v>
      </c>
      <c r="T36" s="436">
        <f t="shared" si="6"/>
        <v>1.4970275481132462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558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148">
        <v>996164.27000000025</v>
      </c>
      <c r="M37" s="148">
        <v>1022257.5800000003</v>
      </c>
      <c r="N37" s="148">
        <v>1097677.0900000001</v>
      </c>
      <c r="O37" s="148">
        <v>582375.03000000014</v>
      </c>
      <c r="P37" s="148">
        <v>871596.95000000019</v>
      </c>
      <c r="Q37" s="148"/>
      <c r="R37" s="148"/>
      <c r="S37" s="227">
        <f t="shared" si="7"/>
        <v>8934689.5100000016</v>
      </c>
      <c r="T37" s="436">
        <f t="shared" si="6"/>
        <v>0.12273430924351281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558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148">
        <v>5603254.6099999957</v>
      </c>
      <c r="M38" s="148">
        <v>6020163.6199999992</v>
      </c>
      <c r="N38" s="148">
        <v>5377628.4600000018</v>
      </c>
      <c r="O38" s="148">
        <v>8420721.0699999966</v>
      </c>
      <c r="P38" s="148">
        <v>11936637.319999991</v>
      </c>
      <c r="Q38" s="148"/>
      <c r="R38" s="148"/>
      <c r="S38" s="227">
        <f t="shared" si="7"/>
        <v>56825785.11999996</v>
      </c>
      <c r="T38" s="436">
        <f t="shared" si="6"/>
        <v>0.78060613926398015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558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148">
        <v>4000908.1399999997</v>
      </c>
      <c r="M39" s="148">
        <v>5532252.4299999997</v>
      </c>
      <c r="N39" s="148">
        <v>3400609.830000001</v>
      </c>
      <c r="O39" s="148">
        <v>3072430.8499999996</v>
      </c>
      <c r="P39" s="148">
        <v>4839996.7</v>
      </c>
      <c r="Q39" s="148"/>
      <c r="R39" s="148"/>
      <c r="S39" s="227">
        <f t="shared" si="7"/>
        <v>43897876</v>
      </c>
      <c r="T39" s="436">
        <f t="shared" si="6"/>
        <v>0.60301765182631151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83535130.719999999</v>
      </c>
      <c r="J40" s="178">
        <f t="shared" si="16"/>
        <v>83363793.789999992</v>
      </c>
      <c r="K40" s="178">
        <f t="shared" si="16"/>
        <v>82007767.449999988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85114815.50999999</v>
      </c>
      <c r="O40" s="178">
        <f t="shared" si="17"/>
        <v>83189568.569999978</v>
      </c>
      <c r="P40" s="178">
        <f t="shared" si="17"/>
        <v>86741421.589999989</v>
      </c>
      <c r="Q40" s="178">
        <f t="shared" si="17"/>
        <v>0</v>
      </c>
      <c r="R40" s="178">
        <f t="shared" si="17"/>
        <v>0</v>
      </c>
      <c r="S40" s="528">
        <f t="shared" si="7"/>
        <v>826796521.19999981</v>
      </c>
      <c r="T40" s="529">
        <f t="shared" si="6"/>
        <v>11.357563102875117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558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148">
        <v>17979185.619999997</v>
      </c>
      <c r="M41" s="148">
        <v>16917527.130000003</v>
      </c>
      <c r="N41" s="148">
        <v>18622201.02</v>
      </c>
      <c r="O41" s="148">
        <v>16239772.940000001</v>
      </c>
      <c r="P41" s="148">
        <v>18980290.810000002</v>
      </c>
      <c r="Q41" s="148"/>
      <c r="R41" s="148"/>
      <c r="S41" s="227">
        <f t="shared" si="7"/>
        <v>174987378.38</v>
      </c>
      <c r="T41" s="436">
        <f t="shared" si="6"/>
        <v>2.4037718364767779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558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148">
        <v>1850184.16</v>
      </c>
      <c r="M42" s="148">
        <v>1906089.0599999998</v>
      </c>
      <c r="N42" s="148">
        <v>1848788.09</v>
      </c>
      <c r="O42" s="148">
        <v>1914382.2699999998</v>
      </c>
      <c r="P42" s="148">
        <v>1817889.25</v>
      </c>
      <c r="Q42" s="148"/>
      <c r="R42" s="148"/>
      <c r="S42" s="227">
        <f t="shared" si="7"/>
        <v>17065293.100000001</v>
      </c>
      <c r="T42" s="436">
        <f t="shared" si="6"/>
        <v>0.23442302704781795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558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148">
        <v>61972227.06999997</v>
      </c>
      <c r="M43" s="148">
        <v>61550827.919999957</v>
      </c>
      <c r="N43" s="148">
        <v>62111987.969999999</v>
      </c>
      <c r="O43" s="148">
        <v>62041259.769999973</v>
      </c>
      <c r="P43" s="148">
        <v>62741828.979999974</v>
      </c>
      <c r="Q43" s="148"/>
      <c r="R43" s="148"/>
      <c r="S43" s="227">
        <f t="shared" si="7"/>
        <v>603950177.93999994</v>
      </c>
      <c r="T43" s="436">
        <f t="shared" si="6"/>
        <v>8.2963608107476947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558">
        <v>893164.23999999976</v>
      </c>
      <c r="H44" s="499">
        <v>857362.14999999979</v>
      </c>
      <c r="I44" s="499">
        <v>1261874.7299999995</v>
      </c>
      <c r="J44" s="499">
        <v>1234497.5799999998</v>
      </c>
      <c r="K44" s="499">
        <v>1046920.1199999999</v>
      </c>
      <c r="L44" s="148">
        <v>1033640.7399999999</v>
      </c>
      <c r="M44" s="148">
        <v>6613796.0999999996</v>
      </c>
      <c r="N44" s="148">
        <v>1831545.6900000004</v>
      </c>
      <c r="O44" s="148">
        <v>1235670.44</v>
      </c>
      <c r="P44" s="148">
        <v>1750407.2900000003</v>
      </c>
      <c r="Q44" s="148"/>
      <c r="R44" s="148"/>
      <c r="S44" s="227">
        <f t="shared" si="7"/>
        <v>17758879.080000002</v>
      </c>
      <c r="T44" s="436">
        <f t="shared" si="6"/>
        <v>0.24395069961674248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558">
        <v>34748.049999999996</v>
      </c>
      <c r="H45" s="499">
        <v>1222905.48</v>
      </c>
      <c r="I45" s="499">
        <v>2373259.1799999997</v>
      </c>
      <c r="J45" s="499">
        <v>1410333.5000000005</v>
      </c>
      <c r="K45" s="499">
        <v>1169569.2899999991</v>
      </c>
      <c r="L45" s="148">
        <v>1245194.8499999996</v>
      </c>
      <c r="M45" s="148">
        <v>1669001.2000000009</v>
      </c>
      <c r="N45" s="148">
        <v>700292.73999999987</v>
      </c>
      <c r="O45" s="148">
        <v>1758483.15</v>
      </c>
      <c r="P45" s="148">
        <v>1451005.2600000005</v>
      </c>
      <c r="Q45" s="148"/>
      <c r="R45" s="148"/>
      <c r="S45" s="227">
        <f t="shared" si="7"/>
        <v>13034792.700000001</v>
      </c>
      <c r="T45" s="436">
        <f t="shared" si="6"/>
        <v>0.1790567289860846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556">
        <v>3021521.19</v>
      </c>
      <c r="H46" s="160">
        <v>35873257.970000006</v>
      </c>
      <c r="I46" s="160">
        <v>38914285.890000001</v>
      </c>
      <c r="J46" s="160">
        <v>41204027.49000001</v>
      </c>
      <c r="K46" s="160">
        <v>24558346.619999997</v>
      </c>
      <c r="L46" s="160">
        <v>33632618.140000008</v>
      </c>
      <c r="M46" s="160">
        <v>42236253.310000002</v>
      </c>
      <c r="N46" s="160">
        <v>25403126.260000002</v>
      </c>
      <c r="O46" s="160">
        <v>33680575.530000001</v>
      </c>
      <c r="P46" s="160">
        <v>30734173.659999993</v>
      </c>
      <c r="Q46" s="160"/>
      <c r="R46" s="160"/>
      <c r="S46" s="521">
        <f t="shared" si="7"/>
        <v>309258186.06</v>
      </c>
      <c r="T46" s="522">
        <f t="shared" si="6"/>
        <v>4.2482270706210423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556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26563035.799999997</v>
      </c>
      <c r="P47" s="160">
        <v>27895963.32</v>
      </c>
      <c r="Q47" s="160"/>
      <c r="R47" s="160"/>
      <c r="S47" s="521">
        <f t="shared" si="7"/>
        <v>165042640.01999998</v>
      </c>
      <c r="T47" s="522">
        <f t="shared" si="6"/>
        <v>2.2671626580765691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558">
        <v>0</v>
      </c>
      <c r="H48" s="499">
        <v>0</v>
      </c>
      <c r="I48" s="499">
        <v>0</v>
      </c>
      <c r="J48" s="499">
        <v>0</v>
      </c>
      <c r="K48" s="499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558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148">
        <v>3778637.9000000004</v>
      </c>
      <c r="M49" s="148">
        <v>5528221.54</v>
      </c>
      <c r="N49" s="148">
        <v>13662.199999999999</v>
      </c>
      <c r="O49" s="148">
        <v>5725</v>
      </c>
      <c r="P49" s="148">
        <v>2349062.9400000004</v>
      </c>
      <c r="Q49" s="148"/>
      <c r="R49" s="148"/>
      <c r="S49" s="227">
        <f t="shared" si="7"/>
        <v>22817055.93</v>
      </c>
      <c r="T49" s="436">
        <f t="shared" si="6"/>
        <v>0.31343401417640837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558">
        <v>0</v>
      </c>
      <c r="H50" s="499">
        <v>2301161.16</v>
      </c>
      <c r="I50" s="499">
        <v>0</v>
      </c>
      <c r="J50" s="499">
        <v>0</v>
      </c>
      <c r="K50" s="499">
        <v>0</v>
      </c>
      <c r="L50" s="148">
        <v>0</v>
      </c>
      <c r="M50" s="148">
        <v>0</v>
      </c>
      <c r="N50" s="148">
        <v>3548206.51</v>
      </c>
      <c r="O50" s="148">
        <v>0</v>
      </c>
      <c r="P50" s="148">
        <v>0</v>
      </c>
      <c r="Q50" s="148"/>
      <c r="R50" s="148"/>
      <c r="S50" s="227">
        <f t="shared" si="7"/>
        <v>5849367.6699999999</v>
      </c>
      <c r="T50" s="436">
        <f t="shared" si="6"/>
        <v>8.035176820473372E-2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559">
        <v>1654296.2599999998</v>
      </c>
      <c r="H51" s="430">
        <v>2303779.1800000002</v>
      </c>
      <c r="I51" s="430">
        <v>2730473.4299999997</v>
      </c>
      <c r="J51" s="430">
        <v>1793362.9499999997</v>
      </c>
      <c r="K51" s="430">
        <v>1785794.8900000004</v>
      </c>
      <c r="L51" s="430">
        <v>2064913.53</v>
      </c>
      <c r="M51" s="430">
        <v>2277126.5499999989</v>
      </c>
      <c r="N51" s="430">
        <v>644150.00000000012</v>
      </c>
      <c r="O51" s="430">
        <v>1059498.3099999998</v>
      </c>
      <c r="P51" s="430">
        <v>886392.03999999992</v>
      </c>
      <c r="Q51" s="430"/>
      <c r="R51" s="430"/>
      <c r="S51" s="398">
        <f>+SUM(G51:R51)</f>
        <v>17199787.139999997</v>
      </c>
      <c r="T51" s="440">
        <f t="shared" si="6"/>
        <v>0.23627054878635106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560">
        <v>0</v>
      </c>
      <c r="H52" s="84">
        <v>0</v>
      </c>
      <c r="I52" s="84">
        <v>0</v>
      </c>
      <c r="J52" s="84">
        <v>0</v>
      </c>
      <c r="K52" s="84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" si="18">+G10-G29</f>
        <v>13013809.830000013</v>
      </c>
      <c r="H53" s="136">
        <f t="shared" ref="H53:L53" si="19">+H10-H29</f>
        <v>-34108473.029999971</v>
      </c>
      <c r="I53" s="136">
        <f t="shared" si="19"/>
        <v>13419972.370000064</v>
      </c>
      <c r="J53" s="136">
        <f t="shared" si="19"/>
        <v>58682566.289999992</v>
      </c>
      <c r="K53" s="136">
        <f t="shared" si="19"/>
        <v>-19534903.01000005</v>
      </c>
      <c r="L53" s="136">
        <f t="shared" si="19"/>
        <v>-1718265.6399999857</v>
      </c>
      <c r="M53" s="136">
        <f t="shared" ref="M53:R53" si="20">+M10-M29</f>
        <v>14341903.700000077</v>
      </c>
      <c r="N53" s="136">
        <f t="shared" si="20"/>
        <v>50656909.980000049</v>
      </c>
      <c r="O53" s="136">
        <f t="shared" si="20"/>
        <v>-6541239.8999999762</v>
      </c>
      <c r="P53" s="136">
        <f t="shared" si="20"/>
        <v>-13107406.520000011</v>
      </c>
      <c r="Q53" s="136">
        <f t="shared" si="20"/>
        <v>0</v>
      </c>
      <c r="R53" s="136">
        <f t="shared" si="20"/>
        <v>0</v>
      </c>
      <c r="S53" s="530">
        <f>SUM(G53:R53)</f>
        <v>75104874.070000201</v>
      </c>
      <c r="T53" s="531">
        <f t="shared" si="6"/>
        <v>1.0317028733326949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" si="21">+G53+G36</f>
        <v>17043139.300000012</v>
      </c>
      <c r="H54" s="190">
        <f t="shared" ref="H54:L54" si="22">+H53+H36</f>
        <v>-29979281.06999997</v>
      </c>
      <c r="I54" s="190">
        <f t="shared" si="22"/>
        <v>20607821.060000062</v>
      </c>
      <c r="J54" s="190">
        <f t="shared" si="22"/>
        <v>89835423.169999987</v>
      </c>
      <c r="K54" s="190">
        <f t="shared" si="22"/>
        <v>-11462176.42000005</v>
      </c>
      <c r="L54" s="190">
        <f t="shared" si="22"/>
        <v>4136097.6500000153</v>
      </c>
      <c r="M54" s="190">
        <f t="shared" ref="M54:R54" si="23">+M53+M36</f>
        <v>18080753.400000077</v>
      </c>
      <c r="N54" s="190">
        <f t="shared" si="23"/>
        <v>54634562.660000049</v>
      </c>
      <c r="O54" s="190">
        <f t="shared" si="23"/>
        <v>19425204.600000028</v>
      </c>
      <c r="P54" s="190">
        <f t="shared" si="23"/>
        <v>1762444.1399999876</v>
      </c>
      <c r="Q54" s="190">
        <f t="shared" si="23"/>
        <v>0</v>
      </c>
      <c r="R54" s="190">
        <f t="shared" si="23"/>
        <v>0</v>
      </c>
      <c r="S54" s="530">
        <f t="shared" si="7"/>
        <v>184083988.49000022</v>
      </c>
      <c r="T54" s="531">
        <f t="shared" si="6"/>
        <v>2.5287304214459416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7153919.7600000007</v>
      </c>
      <c r="Q55" s="178">
        <f t="shared" si="26"/>
        <v>0</v>
      </c>
      <c r="R55" s="178">
        <f t="shared" si="26"/>
        <v>0</v>
      </c>
      <c r="S55" s="532">
        <f t="shared" si="7"/>
        <v>402197156.07000005</v>
      </c>
      <c r="T55" s="533">
        <f t="shared" si="6"/>
        <v>5.5249138847754722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555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196">
        <v>27246632.220000003</v>
      </c>
      <c r="M56" s="196">
        <v>2591103.59</v>
      </c>
      <c r="N56" s="196">
        <v>3042001.86</v>
      </c>
      <c r="O56" s="196">
        <v>13593166.439999999</v>
      </c>
      <c r="P56" s="196">
        <v>2641469.5200000005</v>
      </c>
      <c r="Q56" s="196"/>
      <c r="R56" s="196"/>
      <c r="S56" s="235">
        <f t="shared" si="7"/>
        <v>183543909.07000002</v>
      </c>
      <c r="T56" s="444">
        <f t="shared" si="6"/>
        <v>2.5213114423671308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555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196">
        <v>22679727.629999999</v>
      </c>
      <c r="M57" s="196">
        <v>32746191.469999999</v>
      </c>
      <c r="N57" s="196">
        <v>4539309.4100000011</v>
      </c>
      <c r="O57" s="196">
        <v>30932476.600000001</v>
      </c>
      <c r="P57" s="196">
        <v>4512450.24</v>
      </c>
      <c r="Q57" s="196"/>
      <c r="R57" s="196"/>
      <c r="S57" s="235">
        <f t="shared" si="7"/>
        <v>218653247</v>
      </c>
      <c r="T57" s="444">
        <f t="shared" si="6"/>
        <v>3.003602442408341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557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0</v>
      </c>
      <c r="Q58" s="432"/>
      <c r="R58" s="432"/>
      <c r="S58" s="532">
        <f>SUM(G58:R58)</f>
        <v>3266458.45</v>
      </c>
      <c r="T58" s="534">
        <f t="shared" si="6"/>
        <v>4.4870783823509217E-2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558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32">
        <v>1012363.69</v>
      </c>
      <c r="M59" s="432">
        <v>136349.23000000001</v>
      </c>
      <c r="N59" s="432">
        <v>0</v>
      </c>
      <c r="O59" s="432">
        <v>841263.3</v>
      </c>
      <c r="P59" s="432">
        <v>716355.96</v>
      </c>
      <c r="Q59" s="432"/>
      <c r="R59" s="432"/>
      <c r="S59" s="532">
        <f>SUM(G59:R59)</f>
        <v>6481345.46</v>
      </c>
      <c r="T59" s="534">
        <f t="shared" si="6"/>
        <v>8.903313955245408E-2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-22508853.969999991</v>
      </c>
      <c r="H60" s="202">
        <f t="shared" ref="H60:L60" si="27">+H53-H55-H58-H59</f>
        <v>-41361812.239999972</v>
      </c>
      <c r="I60" s="202">
        <f t="shared" si="27"/>
        <v>-48661419.959999941</v>
      </c>
      <c r="J60" s="202">
        <f t="shared" si="27"/>
        <v>-59456444.010000013</v>
      </c>
      <c r="K60" s="202">
        <f t="shared" si="27"/>
        <v>-60891900.69000005</v>
      </c>
      <c r="L60" s="202">
        <f t="shared" si="27"/>
        <v>-53017684.679999985</v>
      </c>
      <c r="M60" s="202">
        <f t="shared" ref="M60" si="28">+M53-M55-M58-M59</f>
        <v>-21131740.589999925</v>
      </c>
      <c r="N60" s="202">
        <f t="shared" ref="N60" si="29">+N53-N55-N58-N59</f>
        <v>43075598.710000046</v>
      </c>
      <c r="O60" s="202">
        <f t="shared" ref="O60" si="30">+O53-O55-O58-O59</f>
        <v>-51908146.239999972</v>
      </c>
      <c r="P60" s="202">
        <f t="shared" ref="P60" si="31">+P53-P55-P58-P59</f>
        <v>-20977682.240000013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-336840085.90999985</v>
      </c>
      <c r="T60" s="535">
        <f t="shared" si="6"/>
        <v>-4.6271149348187404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22508853.969999991</v>
      </c>
      <c r="H61" s="136">
        <f t="shared" ref="H61:L61" si="34">+SUM(H62:H66)</f>
        <v>41361812.239999972</v>
      </c>
      <c r="I61" s="136">
        <f t="shared" si="34"/>
        <v>48661419.959999919</v>
      </c>
      <c r="J61" s="136">
        <f t="shared" si="34"/>
        <v>59456444.01000002</v>
      </c>
      <c r="K61" s="136">
        <f t="shared" si="34"/>
        <v>60891900.69000005</v>
      </c>
      <c r="L61" s="136">
        <f t="shared" si="34"/>
        <v>53017684.679999985</v>
      </c>
      <c r="M61" s="136">
        <f t="shared" ref="M61:R61" si="35">+SUM(M62:M66)</f>
        <v>21131740.589999925</v>
      </c>
      <c r="N61" s="136">
        <f t="shared" si="35"/>
        <v>-43075598.710000046</v>
      </c>
      <c r="O61" s="136">
        <f t="shared" si="35"/>
        <v>51908146.239999972</v>
      </c>
      <c r="P61" s="136">
        <f t="shared" si="35"/>
        <v>20977682.240000013</v>
      </c>
      <c r="Q61" s="136">
        <f t="shared" si="35"/>
        <v>0</v>
      </c>
      <c r="R61" s="136">
        <f t="shared" si="35"/>
        <v>0</v>
      </c>
      <c r="S61" s="536">
        <f t="shared" si="7"/>
        <v>336840085.90999979</v>
      </c>
      <c r="T61" s="537">
        <f t="shared" si="6"/>
        <v>4.6271149348187395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555">
        <v>0</v>
      </c>
      <c r="H62" s="554">
        <v>0</v>
      </c>
      <c r="I62" s="554">
        <v>0</v>
      </c>
      <c r="J62" s="554">
        <v>0</v>
      </c>
      <c r="K62" s="554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555">
        <v>1570614.04</v>
      </c>
      <c r="H63" s="554">
        <v>1779527.23</v>
      </c>
      <c r="I63" s="554">
        <v>691084422.79999995</v>
      </c>
      <c r="J63" s="554">
        <v>4579976.1000000006</v>
      </c>
      <c r="K63" s="554">
        <v>275366.86</v>
      </c>
      <c r="L63" s="196">
        <v>3040803.26</v>
      </c>
      <c r="M63" s="196">
        <v>5323879.3100000005</v>
      </c>
      <c r="N63" s="196">
        <v>98091.86</v>
      </c>
      <c r="O63" s="196">
        <v>4856753.8</v>
      </c>
      <c r="P63" s="196">
        <v>6239384.3199999994</v>
      </c>
      <c r="Q63" s="196"/>
      <c r="R63" s="196"/>
      <c r="S63" s="235">
        <f t="shared" si="7"/>
        <v>718848819.57999992</v>
      </c>
      <c r="T63" s="444">
        <f t="shared" si="6"/>
        <v>9.8747038968638812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555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196">
        <v>390561.8</v>
      </c>
      <c r="M64" s="196">
        <v>369935.11</v>
      </c>
      <c r="N64" s="196">
        <v>79361.94</v>
      </c>
      <c r="O64" s="196">
        <v>51811.229999999996</v>
      </c>
      <c r="P64" s="196">
        <v>128331.11000000003</v>
      </c>
      <c r="Q64" s="196"/>
      <c r="R64" s="196"/>
      <c r="S64" s="235">
        <f t="shared" si="7"/>
        <v>1696756.4200000002</v>
      </c>
      <c r="T64" s="444">
        <f t="shared" si="6"/>
        <v>2.330805417805679E-2</v>
      </c>
    </row>
    <row r="65" spans="1:20">
      <c r="A65" s="129">
        <v>73</v>
      </c>
      <c r="B65" s="567" t="s">
        <v>101</v>
      </c>
      <c r="C65" s="568"/>
      <c r="D65" s="568"/>
      <c r="E65" s="568"/>
      <c r="F65" s="568"/>
      <c r="G65" s="556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482610.40999999992</v>
      </c>
      <c r="P65" s="160">
        <v>672233.76000000013</v>
      </c>
      <c r="Q65" s="160"/>
      <c r="R65" s="160"/>
      <c r="S65" s="228">
        <f t="shared" si="7"/>
        <v>15026211.810000001</v>
      </c>
      <c r="T65" s="437">
        <f t="shared" si="6"/>
        <v>0.20641251438932923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17767153.249999993</v>
      </c>
      <c r="H66" s="210">
        <f t="shared" ref="H66:L66" si="36">-H60-SUM(H62:H65)</f>
        <v>38062643.06999997</v>
      </c>
      <c r="I66" s="210">
        <f t="shared" si="36"/>
        <v>-643408598.78000009</v>
      </c>
      <c r="J66" s="210">
        <f t="shared" si="36"/>
        <v>53613661.390000015</v>
      </c>
      <c r="K66" s="210">
        <f t="shared" si="36"/>
        <v>58870954.570000052</v>
      </c>
      <c r="L66" s="210">
        <f t="shared" si="36"/>
        <v>47371703.249999985</v>
      </c>
      <c r="M66" s="210">
        <f t="shared" ref="M66:S66" si="37">-M60-SUM(M62:M65)</f>
        <v>12380602.649999924</v>
      </c>
      <c r="N66" s="210">
        <f t="shared" si="37"/>
        <v>-43844525.150000043</v>
      </c>
      <c r="O66" s="210">
        <f t="shared" si="37"/>
        <v>46516970.799999975</v>
      </c>
      <c r="P66" s="210">
        <f t="shared" si="37"/>
        <v>13937733.050000014</v>
      </c>
      <c r="Q66" s="210">
        <f t="shared" si="37"/>
        <v>0</v>
      </c>
      <c r="R66" s="210">
        <f t="shared" si="37"/>
        <v>0</v>
      </c>
      <c r="S66" s="238">
        <f t="shared" si="37"/>
        <v>-398731701.89999998</v>
      </c>
      <c r="T66" s="448">
        <f t="shared" si="6"/>
        <v>-5.4773095306125255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2024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7279700000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xVoRC4OxrAwwYpmgqr27A8v7hQuYE1A7BV2mCIf3Y3jt2tKaMkeJulrYsYywitGULiVXs4SdoN3nVndY7IbZRA==" saltValue="nl9DfqsRrbXe1MIP/nZAAQ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2023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6963615000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83" t="s">
        <v>101</v>
      </c>
      <c r="C65" s="584"/>
      <c r="D65" s="584"/>
      <c r="E65" s="584"/>
      <c r="F65" s="584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2023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6624340418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2022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5796761000</v>
      </c>
    </row>
    <row r="8" spans="1:23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3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7" t="str">
        <f>+VLOOKUP($A63,Master!$D$30:$G$226,4,FALSE)</f>
        <v>Pozajmice i krediti od inostranih izvora</v>
      </c>
      <c r="C63" s="608"/>
      <c r="D63" s="608"/>
      <c r="E63" s="608"/>
      <c r="F63" s="608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83" t="s">
        <v>101</v>
      </c>
      <c r="C65" s="584"/>
      <c r="D65" s="584"/>
      <c r="E65" s="584"/>
      <c r="F65" s="584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2022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5700400000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15" t="str">
        <f>+VLOOKUP(LEFT($A135,LEN(A135)-1)*1,Master!$D$30:$G$226,4,FALSE)</f>
        <v>Nedostajuća sredstva</v>
      </c>
      <c r="C135" s="616"/>
      <c r="D135" s="616"/>
      <c r="E135" s="616"/>
      <c r="F135" s="616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13" t="str">
        <f>+VLOOKUP(LEFT($A136,LEN(A136)-1)*1,Master!$D$30:$G$226,4,FALSE)</f>
        <v>Finansiranje</v>
      </c>
      <c r="C136" s="614"/>
      <c r="D136" s="614"/>
      <c r="E136" s="614"/>
      <c r="F136" s="61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7" t="str">
        <f>+VLOOKUP(LEFT($A137,LEN(A137)-1)*1,Master!$D$30:$G$226,4,FALSE)</f>
        <v>Pozajmice i krediti od domaćih izvora</v>
      </c>
      <c r="C137" s="618"/>
      <c r="D137" s="618"/>
      <c r="E137" s="618"/>
      <c r="F137" s="618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9" t="str">
        <f>+VLOOKUP(LEFT($A138,LEN(A138)-1)*1,Master!$D$30:$G$226,4,FALSE)</f>
        <v>Pozajmice i krediti od inostranih izvora</v>
      </c>
      <c r="C138" s="620"/>
      <c r="D138" s="620"/>
      <c r="E138" s="620"/>
      <c r="F138" s="62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9" t="str">
        <f>+VLOOKUP(LEFT($A139,LEN(A139)-1)*1,Master!$D$30:$G$226,4,FALSE)</f>
        <v>Primici od prodaje imovine</v>
      </c>
      <c r="C139" s="620"/>
      <c r="D139" s="620"/>
      <c r="E139" s="620"/>
      <c r="F139" s="62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2021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4955116000</v>
      </c>
    </row>
    <row r="8" spans="1:22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2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9" t="str">
        <f>+Master!G253</f>
        <v>Plan ostvarenja budžeta</v>
      </c>
      <c r="C81" s="640"/>
      <c r="D81" s="640"/>
      <c r="E81" s="640"/>
      <c r="F81" s="640"/>
      <c r="G81" s="647">
        <v>2021</v>
      </c>
      <c r="H81" s="648"/>
      <c r="I81" s="648"/>
      <c r="J81" s="648"/>
      <c r="K81" s="648"/>
      <c r="L81" s="648"/>
      <c r="M81" s="648"/>
      <c r="N81" s="648"/>
      <c r="O81" s="648"/>
      <c r="P81" s="648"/>
      <c r="Q81" s="648"/>
      <c r="R81" s="649"/>
      <c r="S81" s="96" t="str">
        <f>+S7</f>
        <v>BDP</v>
      </c>
      <c r="T81" s="97">
        <v>4636600000</v>
      </c>
    </row>
    <row r="82" spans="1:21" ht="15.75" customHeight="1">
      <c r="B82" s="641"/>
      <c r="C82" s="642"/>
      <c r="D82" s="642"/>
      <c r="E82" s="642"/>
      <c r="F82" s="64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7" t="str">
        <f>+Master!G247</f>
        <v>Jan - Dec</v>
      </c>
      <c r="T82" s="649">
        <f>+T8</f>
        <v>0</v>
      </c>
    </row>
    <row r="83" spans="1:21" ht="13.5" thickBot="1">
      <c r="B83" s="644"/>
      <c r="C83" s="645"/>
      <c r="D83" s="645"/>
      <c r="E83" s="645"/>
      <c r="F83" s="64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2" t="str">
        <f>+VLOOKUP(LEFT($A84,LEN(A84)-1)*1,Master!$D$30:$G$226,4,FALSE)</f>
        <v>Prihodi budžeta</v>
      </c>
      <c r="C84" s="663"/>
      <c r="D84" s="663"/>
      <c r="E84" s="663"/>
      <c r="F84" s="663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7" t="str">
        <f>+VLOOKUP(LEFT($A85,LEN(A85)-1)*1,Master!$D$30:$G$226,4,FALSE)</f>
        <v>Porezi</v>
      </c>
      <c r="C85" s="638"/>
      <c r="D85" s="638"/>
      <c r="E85" s="638"/>
      <c r="F85" s="638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9" t="str">
        <f>+VLOOKUP(LEFT($A86,LEN(A86)-1)*1,Master!$D$30:$G$229,4,FALSE)</f>
        <v>Porez na dohodak fizičkih lica</v>
      </c>
      <c r="C86" s="630"/>
      <c r="D86" s="630"/>
      <c r="E86" s="630"/>
      <c r="F86" s="630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9" t="str">
        <f>+VLOOKUP(LEFT($A87,LEN(A87)-1)*1,Master!$D$30:$G$229,4,FALSE)</f>
        <v>Porez na dobit pravnih lica</v>
      </c>
      <c r="C87" s="630"/>
      <c r="D87" s="630"/>
      <c r="E87" s="630"/>
      <c r="F87" s="630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9" t="str">
        <f>+VLOOKUP(LEFT($A88,LEN(A88)-1)*1,Master!$D$30:$G$229,4,FALSE)</f>
        <v>Porez na promet nepokretnosti</v>
      </c>
      <c r="C88" s="630"/>
      <c r="D88" s="630"/>
      <c r="E88" s="630"/>
      <c r="F88" s="630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9" t="str">
        <f>+VLOOKUP(LEFT($A89,LEN(A89)-1)*1,Master!$D$30:$G$229,4,FALSE)</f>
        <v>Porez na dodatu vrijednost</v>
      </c>
      <c r="C89" s="630"/>
      <c r="D89" s="630"/>
      <c r="E89" s="630"/>
      <c r="F89" s="630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9" t="str">
        <f>+VLOOKUP(LEFT($A90,LEN(A90)-1)*1,Master!$D$30:$G$229,4,FALSE)</f>
        <v>Akcize</v>
      </c>
      <c r="C90" s="630"/>
      <c r="D90" s="630"/>
      <c r="E90" s="630"/>
      <c r="F90" s="630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9" t="str">
        <f>+VLOOKUP(LEFT($A91,LEN(A91)-1)*1,Master!$D$30:$G$229,4,FALSE)</f>
        <v>Porez na međunarodnu trgovinu i transakcije</v>
      </c>
      <c r="C91" s="630"/>
      <c r="D91" s="630"/>
      <c r="E91" s="630"/>
      <c r="F91" s="630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9" t="str">
        <f>+VLOOKUP(LEFT($A92,LEN(A92)-1)*1,Master!$D$30:$G$229,4,FALSE)</f>
        <v>Ostali državni porezi</v>
      </c>
      <c r="C92" s="630"/>
      <c r="D92" s="630"/>
      <c r="E92" s="630"/>
      <c r="F92" s="630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4" t="str">
        <f>+VLOOKUP(LEFT($A93,LEN(A93)-1)*1,Master!$D$30:$G$229,4,FALSE)</f>
        <v>Doprinosi</v>
      </c>
      <c r="C93" s="665"/>
      <c r="D93" s="665"/>
      <c r="E93" s="665"/>
      <c r="F93" s="665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9" t="str">
        <f>+VLOOKUP(LEFT($A94,LEN(A94)-1)*1,Master!$D$30:$G$229,4,FALSE)</f>
        <v>Doprinosi za penzijsko i invalidsko osiguranje</v>
      </c>
      <c r="C94" s="630"/>
      <c r="D94" s="630"/>
      <c r="E94" s="630"/>
      <c r="F94" s="630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9" t="str">
        <f>+VLOOKUP(LEFT($A95,LEN(A95)-1)*1,Master!$D$30:$G$229,4,FALSE)</f>
        <v>Doprinosi za zdravstveno osiguranje</v>
      </c>
      <c r="C95" s="630"/>
      <c r="D95" s="630"/>
      <c r="E95" s="630"/>
      <c r="F95" s="630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9" t="str">
        <f>+VLOOKUP(LEFT($A96,LEN(A96)-1)*1,Master!$D$30:$G$229,4,FALSE)</f>
        <v>Doprinosi za osiguranje od nezaposlenosti</v>
      </c>
      <c r="C96" s="630"/>
      <c r="D96" s="630"/>
      <c r="E96" s="630"/>
      <c r="F96" s="630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9" t="str">
        <f>+VLOOKUP(LEFT($A97,LEN(A97)-1)*1,Master!$D$30:$G$229,4,FALSE)</f>
        <v>Ostali doprinosi</v>
      </c>
      <c r="C97" s="630"/>
      <c r="D97" s="630"/>
      <c r="E97" s="630"/>
      <c r="F97" s="630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5" t="str">
        <f>+VLOOKUP(LEFT($A98,LEN(A98)-1)*1,Master!$D$30:$G$229,4,FALSE)</f>
        <v>Takse</v>
      </c>
      <c r="C98" s="636"/>
      <c r="D98" s="636"/>
      <c r="E98" s="636"/>
      <c r="F98" s="636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5" t="str">
        <f>+VLOOKUP(LEFT($A99,LEN(A99)-1)*1,Master!$D$30:$G$229,4,FALSE)</f>
        <v>Naknade</v>
      </c>
      <c r="C99" s="636"/>
      <c r="D99" s="636"/>
      <c r="E99" s="636"/>
      <c r="F99" s="636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5" t="str">
        <f>+VLOOKUP(LEFT($A100,LEN(A100)-1)*1,Master!$D$30:$G$229,4,FALSE)</f>
        <v>Ostali prihodi</v>
      </c>
      <c r="C100" s="636"/>
      <c r="D100" s="636"/>
      <c r="E100" s="636"/>
      <c r="F100" s="636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5" t="str">
        <f>+VLOOKUP(LEFT($A101,LEN(A101)-1)*1,Master!$D$30:$G$229,4,FALSE)</f>
        <v>Primici od otplate kredita i sredstva prenesena iz prethodne godine</v>
      </c>
      <c r="C101" s="636"/>
      <c r="D101" s="636"/>
      <c r="E101" s="636"/>
      <c r="F101" s="636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1" t="str">
        <f>+VLOOKUP(LEFT($A102,LEN(A102)-1)*1,Master!$D$30:$G$229,4,FALSE)</f>
        <v>Donacije i transferi</v>
      </c>
      <c r="C102" s="632"/>
      <c r="D102" s="632"/>
      <c r="E102" s="632"/>
      <c r="F102" s="632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13" t="str">
        <f>+VLOOKUP(LEFT($A103,LEN(A103)-1)*1,Master!$D$30:$G$229,4,FALSE)</f>
        <v>Izdaci budžeta</v>
      </c>
      <c r="C103" s="614"/>
      <c r="D103" s="614"/>
      <c r="E103" s="614"/>
      <c r="F103" s="61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33" t="str">
        <f>+VLOOKUP(LEFT($A104,LEN(A104)-1)*1,Master!$D$30:$G$229,4,FALSE)</f>
        <v>Tekući izdaci</v>
      </c>
      <c r="C104" s="634"/>
      <c r="D104" s="634"/>
      <c r="E104" s="634"/>
      <c r="F104" s="634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9" t="str">
        <f>+VLOOKUP(LEFT($A105,LEN(A105)-1)*1,Master!$D$30:$G$229,4,FALSE)</f>
        <v>Bruto zarade i doprinosi na teret poslodavca</v>
      </c>
      <c r="C105" s="630"/>
      <c r="D105" s="630"/>
      <c r="E105" s="630"/>
      <c r="F105" s="630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9" t="str">
        <f>+VLOOKUP(LEFT($A106,LEN(A106)-1)*1,Master!$D$30:$G$229,4,FALSE)</f>
        <v>Ostala lična primanja</v>
      </c>
      <c r="C106" s="630"/>
      <c r="D106" s="630"/>
      <c r="E106" s="630"/>
      <c r="F106" s="630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9" t="str">
        <f>+VLOOKUP(LEFT($A107,LEN(A107)-1)*1,Master!$D$30:$G$229,4,FALSE)</f>
        <v>Rashodi za materijal</v>
      </c>
      <c r="C107" s="630"/>
      <c r="D107" s="630"/>
      <c r="E107" s="630"/>
      <c r="F107" s="630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9" t="str">
        <f>+VLOOKUP(LEFT($A108,LEN(A108)-1)*1,Master!$D$30:$G$229,4,FALSE)</f>
        <v>Rashodi za usluge</v>
      </c>
      <c r="C108" s="630"/>
      <c r="D108" s="630"/>
      <c r="E108" s="630"/>
      <c r="F108" s="630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9" t="str">
        <f>+VLOOKUP(LEFT($A109,LEN(A109)-1)*1,Master!$D$30:$G$229,4,FALSE)</f>
        <v>Rashodi za tekuće održavanje</v>
      </c>
      <c r="C109" s="630"/>
      <c r="D109" s="630"/>
      <c r="E109" s="630"/>
      <c r="F109" s="630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9" t="str">
        <f>+VLOOKUP(LEFT($A110,LEN(A110)-1)*1,Master!$D$30:$G$229,4,FALSE)</f>
        <v>Kamate</v>
      </c>
      <c r="C110" s="630"/>
      <c r="D110" s="630"/>
      <c r="E110" s="630"/>
      <c r="F110" s="630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9" t="str">
        <f>+VLOOKUP(LEFT($A111,LEN(A111)-1)*1,Master!$D$30:$G$229,4,FALSE)</f>
        <v>Renta</v>
      </c>
      <c r="C111" s="630"/>
      <c r="D111" s="630"/>
      <c r="E111" s="630"/>
      <c r="F111" s="630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9" t="str">
        <f>+VLOOKUP(LEFT($A112,LEN(A112)-1)*1,Master!$D$30:$G$229,4,FALSE)</f>
        <v>Subvencije</v>
      </c>
      <c r="C112" s="630"/>
      <c r="D112" s="630"/>
      <c r="E112" s="630"/>
      <c r="F112" s="630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9" t="str">
        <f>+VLOOKUP(LEFT($A113,LEN(A113)-1)*1,Master!$D$30:$G$229,4,FALSE)</f>
        <v>Ostali izdaci</v>
      </c>
      <c r="C113" s="630"/>
      <c r="D113" s="630"/>
      <c r="E113" s="630"/>
      <c r="F113" s="630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25" t="str">
        <f>+VLOOKUP(LEFT($A114,LEN(A114)-1)*1,Master!$D$30:$G$229,4,FALSE)</f>
        <v>Transferi za socijalnu zaštitu</v>
      </c>
      <c r="C114" s="626"/>
      <c r="D114" s="626"/>
      <c r="E114" s="626"/>
      <c r="F114" s="626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9" t="str">
        <f>+VLOOKUP(LEFT($A115,LEN(A115)-1)*1,Master!$D$30:$G$229,4,FALSE)</f>
        <v>Prava iz oblasti socijalne zaštite</v>
      </c>
      <c r="C115" s="630"/>
      <c r="D115" s="630"/>
      <c r="E115" s="630"/>
      <c r="F115" s="630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9" t="str">
        <f>+VLOOKUP(LEFT($A116,LEN(A116)-1)*1,Master!$D$30:$G$229,4,FALSE)</f>
        <v>Sredstva za tehnološke viškove</v>
      </c>
      <c r="C116" s="630"/>
      <c r="D116" s="630"/>
      <c r="E116" s="630"/>
      <c r="F116" s="630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9" t="str">
        <f>+VLOOKUP(LEFT($A117,LEN(A117)-1)*1,Master!$D$30:$G$229,4,FALSE)</f>
        <v>Prava iz oblasti penzijskog i invalidskog osiguranja</v>
      </c>
      <c r="C117" s="630"/>
      <c r="D117" s="630"/>
      <c r="E117" s="630"/>
      <c r="F117" s="630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9" t="str">
        <f>+VLOOKUP(LEFT($A118,LEN(A118)-1)*1,Master!$D$30:$G$229,4,FALSE)</f>
        <v>Ostala prava iz oblasti zdravstvene zaštite</v>
      </c>
      <c r="C118" s="630"/>
      <c r="D118" s="630"/>
      <c r="E118" s="630"/>
      <c r="F118" s="630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9" t="str">
        <f>+VLOOKUP(LEFT($A119,LEN(A119)-1)*1,Master!$D$30:$G$229,4,FALSE)</f>
        <v>Ostala prava iz zdravstvenog osiguranja</v>
      </c>
      <c r="C119" s="630"/>
      <c r="D119" s="630"/>
      <c r="E119" s="630"/>
      <c r="F119" s="630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7" t="str">
        <f>+VLOOKUP(LEFT($A120,LEN(A120)-1)*1,Master!$D$30:$G$229,4,FALSE)</f>
        <v xml:space="preserve">Transferi institucijama, pojedincima, nevladinom i javnom sektoru </v>
      </c>
      <c r="C120" s="628"/>
      <c r="D120" s="628"/>
      <c r="E120" s="628"/>
      <c r="F120" s="62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7" t="str">
        <f>+VLOOKUP(LEFT($A121,LEN(A121)-1)*1,Master!$D$30:$G$229,4,FALSE)</f>
        <v>Kapitalni izdaci</v>
      </c>
      <c r="C121" s="628"/>
      <c r="D121" s="628"/>
      <c r="E121" s="628"/>
      <c r="F121" s="62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9" t="str">
        <f>+VLOOKUP(LEFT($A122,LEN(A122)-1)*1,Master!$D$30:$G$229,4,FALSE)</f>
        <v>Pozajmice i krediti</v>
      </c>
      <c r="C122" s="620"/>
      <c r="D122" s="620"/>
      <c r="E122" s="620"/>
      <c r="F122" s="62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9" t="str">
        <f>+VLOOKUP(LEFT($A123,LEN(A123)-1)*1,Master!$D$30:$G$229,4,FALSE)</f>
        <v>Rezerve</v>
      </c>
      <c r="C123" s="620"/>
      <c r="D123" s="620"/>
      <c r="E123" s="620"/>
      <c r="F123" s="62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9" t="str">
        <f>+VLOOKUP(LEFT($A124,LEN(A124)-1)*1,Master!$D$30:$G$229,4,FALSE)</f>
        <v>Otplata garancija</v>
      </c>
      <c r="C124" s="620"/>
      <c r="D124" s="620"/>
      <c r="E124" s="620"/>
      <c r="F124" s="62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9" t="str">
        <f>+VLOOKUP(LEFT($A125,LEN(A125)-1)*1,Master!$D$30:$G$229,4,FALSE)</f>
        <v>Otplata obaveza iz prethodnog perioda</v>
      </c>
      <c r="C125" s="620"/>
      <c r="D125" s="620"/>
      <c r="E125" s="620"/>
      <c r="F125" s="62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9" t="str">
        <f>+VLOOKUP(LEFT($A126,LEN(A126)-1)*1,Master!$D$30:$G$229,4,FALSE)</f>
        <v>Neto povećanje obaveza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21" t="str">
        <f>+VLOOKUP(LEFT($A127,LEN(A127)-1)*1,Master!$D$30:$G$226,4,FALSE)</f>
        <v>Suficit / deficit</v>
      </c>
      <c r="C127" s="622"/>
      <c r="D127" s="622"/>
      <c r="E127" s="622"/>
      <c r="F127" s="622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23" t="str">
        <f>+VLOOKUP(LEFT($A128,LEN(A128)-1)*1,Master!$D$30:$G$226,4,FALSE)</f>
        <v>Primarni suficit/deficit</v>
      </c>
      <c r="C128" s="624"/>
      <c r="D128" s="624"/>
      <c r="E128" s="624"/>
      <c r="F128" s="624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25" t="str">
        <f>+VLOOKUP(LEFT($A129,LEN(A129)-1)*1,Master!$D$30:$G$226,4,FALSE)</f>
        <v>Otplata dugova</v>
      </c>
      <c r="C129" s="626"/>
      <c r="D129" s="626"/>
      <c r="E129" s="626"/>
      <c r="F129" s="626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7" t="str">
        <f>+VLOOKUP(LEFT($A130,LEN(A130)-1)*1,Master!$D$30:$G$226,4,FALSE)</f>
        <v>Otplata hartija od vrijednosti i kredita rezidentima</v>
      </c>
      <c r="C130" s="618"/>
      <c r="D130" s="618"/>
      <c r="E130" s="618"/>
      <c r="F130" s="618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9" t="str">
        <f>+VLOOKUP(LEFT($A131,LEN(A131)-1)*1,Master!$D$30:$G$226,4,FALSE)</f>
        <v>Otplata hartija od vrijednosti i kredita nerezidentima</v>
      </c>
      <c r="C131" s="620"/>
      <c r="D131" s="620"/>
      <c r="E131" s="620"/>
      <c r="F131" s="62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13" t="str">
        <f>+VLOOKUP(LEFT($A132,LEN(A132)-1)*1,Master!$D$30:$G$226,4,FALSE)</f>
        <v>Izdaci za kupovinu hartija od vrijednosti</v>
      </c>
      <c r="C132" s="614"/>
      <c r="D132" s="614"/>
      <c r="E132" s="614"/>
      <c r="F132" s="61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15" t="str">
        <f>+VLOOKUP(LEFT($A133,LEN(A133)-1)*1,Master!$D$30:$G$226,4,FALSE)</f>
        <v>Nedostajuća sredstva</v>
      </c>
      <c r="C133" s="616"/>
      <c r="D133" s="616"/>
      <c r="E133" s="616"/>
      <c r="F133" s="616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13" t="str">
        <f>+VLOOKUP(LEFT($A134,LEN(A134)-1)*1,Master!$D$30:$G$226,4,FALSE)</f>
        <v>Finansiranje</v>
      </c>
      <c r="C134" s="614"/>
      <c r="D134" s="614"/>
      <c r="E134" s="614"/>
      <c r="F134" s="61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7" t="str">
        <f>+VLOOKUP(LEFT($A135,LEN(A135)-1)*1,Master!$D$30:$G$226,4,FALSE)</f>
        <v>Pozajmice i krediti od domaćih izvora</v>
      </c>
      <c r="C135" s="618"/>
      <c r="D135" s="618"/>
      <c r="E135" s="618"/>
      <c r="F135" s="618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9" t="str">
        <f>+VLOOKUP(LEFT($A136,LEN(A136)-1)*1,Master!$D$30:$G$226,4,FALSE)</f>
        <v>Pozajmice i krediti od inostranih izvora</v>
      </c>
      <c r="C136" s="620"/>
      <c r="D136" s="620"/>
      <c r="E136" s="620"/>
      <c r="F136" s="62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9" t="str">
        <f>+VLOOKUP(LEFT($A137,LEN(A137)-1)*1,Master!$D$30:$G$226,4,FALSE)</f>
        <v>Primici od prodaje imovine</v>
      </c>
      <c r="C137" s="620"/>
      <c r="D137" s="620"/>
      <c r="E137" s="620"/>
      <c r="F137" s="62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2020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4185600000</v>
      </c>
    </row>
    <row r="8" spans="1:20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9" t="str">
        <f>+Master!G253</f>
        <v>Plan ostvarenja budžeta</v>
      </c>
      <c r="C100" s="640"/>
      <c r="D100" s="640"/>
      <c r="E100" s="640"/>
      <c r="F100" s="640"/>
      <c r="G100" s="647">
        <v>2020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v>4607300000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7" t="str">
        <f>+Master!G247</f>
        <v>Jan - Dec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2" t="str">
        <f>+VLOOKUP(LEFT($A103,LEN(A103)-1)*1,Master!$D$30:$G$226,4,FALSE)</f>
        <v>Prihodi budžeta</v>
      </c>
      <c r="C103" s="663"/>
      <c r="D103" s="663"/>
      <c r="E103" s="663"/>
      <c r="F103" s="663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7" t="str">
        <f>+VLOOKUP(LEFT($A104,LEN(A104)-1)*1,Master!$D$30:$G$226,4,FALSE)</f>
        <v>Porezi</v>
      </c>
      <c r="C104" s="638"/>
      <c r="D104" s="638"/>
      <c r="E104" s="638"/>
      <c r="F104" s="638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9" t="str">
        <f>+VLOOKUP(LEFT($A105,LEN(A105)-1)*1,Master!$D$30:$G$229,4,FALSE)</f>
        <v>Porez na dohodak fizičkih lica</v>
      </c>
      <c r="C105" s="630"/>
      <c r="D105" s="630"/>
      <c r="E105" s="630"/>
      <c r="F105" s="630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9" t="str">
        <f>+VLOOKUP(LEFT($A106,LEN(A106)-1)*1,Master!$D$30:$G$229,4,FALSE)</f>
        <v>Porez na dobit pravnih lica</v>
      </c>
      <c r="C106" s="630"/>
      <c r="D106" s="630"/>
      <c r="E106" s="630"/>
      <c r="F106" s="630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9" t="str">
        <f>+VLOOKUP(LEFT($A107,LEN(A107)-1)*1,Master!$D$30:$G$229,4,FALSE)</f>
        <v>Porez na promet nepokretnosti</v>
      </c>
      <c r="C107" s="630"/>
      <c r="D107" s="630"/>
      <c r="E107" s="630"/>
      <c r="F107" s="630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9" t="str">
        <f>+VLOOKUP(LEFT($A108,LEN(A108)-1)*1,Master!$D$30:$G$229,4,FALSE)</f>
        <v>Porez na dodatu vrijednost</v>
      </c>
      <c r="C108" s="630"/>
      <c r="D108" s="630"/>
      <c r="E108" s="630"/>
      <c r="F108" s="630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9" t="str">
        <f>+VLOOKUP(LEFT($A109,LEN(A109)-1)*1,Master!$D$30:$G$229,4,FALSE)</f>
        <v>Akcize</v>
      </c>
      <c r="C109" s="630"/>
      <c r="D109" s="630"/>
      <c r="E109" s="630"/>
      <c r="F109" s="630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9" t="str">
        <f>+VLOOKUP(LEFT($A110,LEN(A110)-1)*1,Master!$D$30:$G$229,4,FALSE)</f>
        <v>Porez na međunarodnu trgovinu i transakcije</v>
      </c>
      <c r="C110" s="630"/>
      <c r="D110" s="630"/>
      <c r="E110" s="630"/>
      <c r="F110" s="630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9" t="str">
        <f>+VLOOKUP(LEFT($A111,LEN(A111)-1)*1,Master!$D$30:$G$229,4,FALSE)</f>
        <v>Ostali državni porezi</v>
      </c>
      <c r="C111" s="630"/>
      <c r="D111" s="630"/>
      <c r="E111" s="630"/>
      <c r="F111" s="630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4" t="str">
        <f>+VLOOKUP(LEFT($A112,LEN(A112)-1)*1,Master!$D$30:$G$229,4,FALSE)</f>
        <v>Doprinosi</v>
      </c>
      <c r="C112" s="665"/>
      <c r="D112" s="665"/>
      <c r="E112" s="665"/>
      <c r="F112" s="665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9" t="str">
        <f>+VLOOKUP(LEFT($A113,LEN(A113)-1)*1,Master!$D$30:$G$229,4,FALSE)</f>
        <v>Doprinosi za penzijsko i invalidsko osiguranje</v>
      </c>
      <c r="C113" s="630"/>
      <c r="D113" s="630"/>
      <c r="E113" s="630"/>
      <c r="F113" s="630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9" t="str">
        <f>+VLOOKUP(LEFT($A114,LEN(A114)-1)*1,Master!$D$30:$G$229,4,FALSE)</f>
        <v>Doprinosi za zdravstveno osiguranje</v>
      </c>
      <c r="C114" s="630"/>
      <c r="D114" s="630"/>
      <c r="E114" s="630"/>
      <c r="F114" s="630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9" t="str">
        <f>+VLOOKUP(LEFT($A115,LEN(A115)-1)*1,Master!$D$30:$G$229,4,FALSE)</f>
        <v>Doprinosi za osiguranje od nezaposlenosti</v>
      </c>
      <c r="C115" s="630"/>
      <c r="D115" s="630"/>
      <c r="E115" s="630"/>
      <c r="F115" s="630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9" t="str">
        <f>+VLOOKUP(LEFT($A116,LEN(A116)-1)*1,Master!$D$30:$G$229,4,FALSE)</f>
        <v>Ostali doprinosi</v>
      </c>
      <c r="C116" s="630"/>
      <c r="D116" s="630"/>
      <c r="E116" s="630"/>
      <c r="F116" s="630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5" t="str">
        <f>+VLOOKUP(LEFT($A117,LEN(A117)-1)*1,Master!$D$30:$G$229,4,FALSE)</f>
        <v>Takse</v>
      </c>
      <c r="C117" s="636"/>
      <c r="D117" s="636"/>
      <c r="E117" s="636"/>
      <c r="F117" s="636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5" t="str">
        <f>+VLOOKUP(LEFT($A118,LEN(A118)-1)*1,Master!$D$30:$G$229,4,FALSE)</f>
        <v>Naknade</v>
      </c>
      <c r="C118" s="636"/>
      <c r="D118" s="636"/>
      <c r="E118" s="636"/>
      <c r="F118" s="636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5" t="str">
        <f>+VLOOKUP(LEFT($A119,LEN(A119)-1)*1,Master!$D$30:$G$229,4,FALSE)</f>
        <v>Ostali prihodi</v>
      </c>
      <c r="C119" s="636"/>
      <c r="D119" s="636"/>
      <c r="E119" s="636"/>
      <c r="F119" s="636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5" t="str">
        <f>+VLOOKUP(LEFT($A120,LEN(A120)-1)*1,Master!$D$30:$G$229,4,FALSE)</f>
        <v>Primici od otplate kredita i sredstva prenesena iz prethodne godine</v>
      </c>
      <c r="C120" s="636"/>
      <c r="D120" s="636"/>
      <c r="E120" s="636"/>
      <c r="F120" s="636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1" t="str">
        <f>+VLOOKUP(LEFT($A121,LEN(A121)-1)*1,Master!$D$30:$G$229,4,FALSE)</f>
        <v>Donacije i transferi</v>
      </c>
      <c r="C121" s="632"/>
      <c r="D121" s="632"/>
      <c r="E121" s="632"/>
      <c r="F121" s="632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13" t="str">
        <f>+VLOOKUP(LEFT($A122,LEN(A122)-1)*1,Master!$D$30:$G$229,4,FALSE)</f>
        <v>Izdaci budžeta</v>
      </c>
      <c r="C122" s="614"/>
      <c r="D122" s="614"/>
      <c r="E122" s="614"/>
      <c r="F122" s="61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33" t="str">
        <f>+VLOOKUP(LEFT($A123,LEN(A123)-1)*1,Master!$D$30:$G$229,4,FALSE)</f>
        <v>Tekući izdaci</v>
      </c>
      <c r="C123" s="634"/>
      <c r="D123" s="634"/>
      <c r="E123" s="634"/>
      <c r="F123" s="634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9" t="str">
        <f>+VLOOKUP(LEFT($A124,LEN(A124)-1)*1,Master!$D$30:$G$229,4,FALSE)</f>
        <v>Bruto zarade i doprinosi na teret poslodavca</v>
      </c>
      <c r="C124" s="630"/>
      <c r="D124" s="630"/>
      <c r="E124" s="630"/>
      <c r="F124" s="630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9" t="str">
        <f>+VLOOKUP(LEFT($A125,LEN(A125)-1)*1,Master!$D$30:$G$229,4,FALSE)</f>
        <v>Ostala lična primanja</v>
      </c>
      <c r="C125" s="630"/>
      <c r="D125" s="630"/>
      <c r="E125" s="630"/>
      <c r="F125" s="630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9" t="str">
        <f>+VLOOKUP(LEFT($A126,LEN(A126)-1)*1,Master!$D$30:$G$229,4,FALSE)</f>
        <v>Rashodi za materijal</v>
      </c>
      <c r="C126" s="630"/>
      <c r="D126" s="630"/>
      <c r="E126" s="630"/>
      <c r="F126" s="630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9" t="str">
        <f>+VLOOKUP(LEFT($A127,LEN(A127)-1)*1,Master!$D$30:$G$229,4,FALSE)</f>
        <v>Rashodi za usluge</v>
      </c>
      <c r="C127" s="630"/>
      <c r="D127" s="630"/>
      <c r="E127" s="630"/>
      <c r="F127" s="630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9" t="str">
        <f>+VLOOKUP(LEFT($A128,LEN(A128)-1)*1,Master!$D$30:$G$229,4,FALSE)</f>
        <v>Rashodi za tekuće održavanje</v>
      </c>
      <c r="C128" s="630"/>
      <c r="D128" s="630"/>
      <c r="E128" s="630"/>
      <c r="F128" s="630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9" t="str">
        <f>+VLOOKUP(LEFT($A129,LEN(A129)-1)*1,Master!$D$30:$G$229,4,FALSE)</f>
        <v>Kamate</v>
      </c>
      <c r="C129" s="630"/>
      <c r="D129" s="630"/>
      <c r="E129" s="630"/>
      <c r="F129" s="630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9" t="str">
        <f>+VLOOKUP(LEFT($A130,LEN(A130)-1)*1,Master!$D$30:$G$229,4,FALSE)</f>
        <v>Renta</v>
      </c>
      <c r="C130" s="630"/>
      <c r="D130" s="630"/>
      <c r="E130" s="630"/>
      <c r="F130" s="630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9" t="str">
        <f>+VLOOKUP(LEFT($A131,LEN(A131)-1)*1,Master!$D$30:$G$229,4,FALSE)</f>
        <v>Subvencije</v>
      </c>
      <c r="C131" s="630"/>
      <c r="D131" s="630"/>
      <c r="E131" s="630"/>
      <c r="F131" s="630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9" t="str">
        <f>+VLOOKUP(LEFT($A132,LEN(A132)-1)*1,Master!$D$30:$G$229,4,FALSE)</f>
        <v>Ostali izdaci</v>
      </c>
      <c r="C132" s="630"/>
      <c r="D132" s="630"/>
      <c r="E132" s="630"/>
      <c r="F132" s="630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25" t="str">
        <f>+VLOOKUP(LEFT($A133,LEN(A133)-1)*1,Master!$D$30:$G$229,4,FALSE)</f>
        <v>Transferi za socijalnu zaštitu</v>
      </c>
      <c r="C133" s="626"/>
      <c r="D133" s="626"/>
      <c r="E133" s="626"/>
      <c r="F133" s="626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9" t="str">
        <f>+VLOOKUP(LEFT($A134,LEN(A134)-1)*1,Master!$D$30:$G$229,4,FALSE)</f>
        <v>Prava iz oblasti socijalne zaštite</v>
      </c>
      <c r="C134" s="630"/>
      <c r="D134" s="630"/>
      <c r="E134" s="630"/>
      <c r="F134" s="630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9" t="str">
        <f>+VLOOKUP(LEFT($A135,LEN(A135)-1)*1,Master!$D$30:$G$229,4,FALSE)</f>
        <v>Sredstva za tehnološke viškove</v>
      </c>
      <c r="C135" s="630"/>
      <c r="D135" s="630"/>
      <c r="E135" s="630"/>
      <c r="F135" s="630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9" t="str">
        <f>+VLOOKUP(LEFT($A136,LEN(A136)-1)*1,Master!$D$30:$G$229,4,FALSE)</f>
        <v>Prava iz oblasti penzijskog i invalidskog osiguranja</v>
      </c>
      <c r="C136" s="630"/>
      <c r="D136" s="630"/>
      <c r="E136" s="630"/>
      <c r="F136" s="630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9" t="str">
        <f>+VLOOKUP(LEFT($A137,LEN(A137)-1)*1,Master!$D$30:$G$229,4,FALSE)</f>
        <v>Ostala prava iz oblasti zdravstvene zaštite</v>
      </c>
      <c r="C137" s="630"/>
      <c r="D137" s="630"/>
      <c r="E137" s="630"/>
      <c r="F137" s="630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9" t="str">
        <f>+VLOOKUP(LEFT($A138,LEN(A138)-1)*1,Master!$D$30:$G$229,4,FALSE)</f>
        <v>Ostala prava iz zdravstvenog osiguranja</v>
      </c>
      <c r="C138" s="630"/>
      <c r="D138" s="630"/>
      <c r="E138" s="630"/>
      <c r="F138" s="630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7" t="str">
        <f>+VLOOKUP(LEFT($A139,LEN(A139)-1)*1,Master!$D$30:$G$229,4,FALSE)</f>
        <v xml:space="preserve">Transferi institucijama, pojedincima, nevladinom i javnom sektoru </v>
      </c>
      <c r="C139" s="628"/>
      <c r="D139" s="628"/>
      <c r="E139" s="628"/>
      <c r="F139" s="62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7" t="str">
        <f>+VLOOKUP(LEFT($A140,LEN(A140)-1)*1,Master!$D$30:$G$229,4,FALSE)</f>
        <v>Kapitalni izdaci</v>
      </c>
      <c r="C140" s="628"/>
      <c r="D140" s="628"/>
      <c r="E140" s="628"/>
      <c r="F140" s="62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9" t="str">
        <f>+VLOOKUP(LEFT($A141,LEN(A141)-1)*1,Master!$D$30:$G$229,4,FALSE)</f>
        <v>Pozajmice i krediti</v>
      </c>
      <c r="C141" s="620"/>
      <c r="D141" s="620"/>
      <c r="E141" s="620"/>
      <c r="F141" s="62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9" t="str">
        <f>+VLOOKUP(LEFT($A142,LEN(A142)-1)*1,Master!$D$30:$G$229,4,FALSE)</f>
        <v>Rezerve</v>
      </c>
      <c r="C142" s="620"/>
      <c r="D142" s="620"/>
      <c r="E142" s="620"/>
      <c r="F142" s="62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9" t="str">
        <f>+VLOOKUP(LEFT($A143,LEN(A143)-1)*1,Master!$D$30:$G$229,4,FALSE)</f>
        <v>Otplata garancija</v>
      </c>
      <c r="C143" s="620"/>
      <c r="D143" s="620"/>
      <c r="E143" s="620"/>
      <c r="F143" s="62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9" t="str">
        <f>+VLOOKUP(LEFT($A144,LEN(A144)-1)*1,Master!$D$30:$G$229,4,FALSE)</f>
        <v>Otplata obaveza iz prethodnog perioda</v>
      </c>
      <c r="C144" s="620"/>
      <c r="D144" s="620"/>
      <c r="E144" s="620"/>
      <c r="F144" s="62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9" t="str">
        <f>+VLOOKUP(LEFT($A145,LEN(A145)-1)*1,Master!$D$30:$G$229,4,FALSE)</f>
        <v>Neto povećanje obaveza</v>
      </c>
      <c r="C145" s="620"/>
      <c r="D145" s="620"/>
      <c r="E145" s="620"/>
      <c r="F145" s="62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21" t="str">
        <f>+VLOOKUP(LEFT($A146,LEN(A146)-1)*1,Master!$D$30:$G$226,4,FALSE)</f>
        <v>Suficit / deficit</v>
      </c>
      <c r="C146" s="622"/>
      <c r="D146" s="622"/>
      <c r="E146" s="622"/>
      <c r="F146" s="622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23" t="str">
        <f>+VLOOKUP(LEFT($A147,LEN(A147)-1)*1,Master!$D$30:$G$226,4,FALSE)</f>
        <v>Primarni suficit/deficit</v>
      </c>
      <c r="C147" s="624"/>
      <c r="D147" s="624"/>
      <c r="E147" s="624"/>
      <c r="F147" s="624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25" t="str">
        <f>+VLOOKUP(LEFT($A148,LEN(A148)-1)*1,Master!$D$30:$G$226,4,FALSE)</f>
        <v>Otplata dugova</v>
      </c>
      <c r="C148" s="626"/>
      <c r="D148" s="626"/>
      <c r="E148" s="626"/>
      <c r="F148" s="626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7" t="str">
        <f>+VLOOKUP(LEFT($A149,LEN(A149)-1)*1,Master!$D$30:$G$226,4,FALSE)</f>
        <v>Otplata hartija od vrijednosti i kredita rezidentima</v>
      </c>
      <c r="C149" s="618"/>
      <c r="D149" s="618"/>
      <c r="E149" s="618"/>
      <c r="F149" s="618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9" t="str">
        <f>+VLOOKUP(LEFT($A150,LEN(A150)-1)*1,Master!$D$30:$G$226,4,FALSE)</f>
        <v>Otplata hartija od vrijednosti i kredita nerezidentima</v>
      </c>
      <c r="C150" s="620"/>
      <c r="D150" s="620"/>
      <c r="E150" s="620"/>
      <c r="F150" s="62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13" t="str">
        <f>+VLOOKUP(LEFT($A151,LEN(A151)-1)*1,Master!$D$30:$G$226,4,FALSE)</f>
        <v>Izdaci za kupovinu hartija od vrijednosti</v>
      </c>
      <c r="C151" s="614"/>
      <c r="D151" s="614"/>
      <c r="E151" s="614"/>
      <c r="F151" s="61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15" t="str">
        <f>+VLOOKUP(LEFT($A152,LEN(A152)-1)*1,Master!$D$30:$G$226,4,FALSE)</f>
        <v>Nedostajuća sredstva</v>
      </c>
      <c r="C152" s="616"/>
      <c r="D152" s="616"/>
      <c r="E152" s="616"/>
      <c r="F152" s="616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13" t="str">
        <f>+VLOOKUP(LEFT($A153,LEN(A153)-1)*1,Master!$D$30:$G$226,4,FALSE)</f>
        <v>Finansiranje</v>
      </c>
      <c r="C153" s="614"/>
      <c r="D153" s="614"/>
      <c r="E153" s="614"/>
      <c r="F153" s="61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7" t="str">
        <f>+VLOOKUP(LEFT($A154,LEN(A154)-1)*1,Master!$D$30:$G$226,4,FALSE)</f>
        <v>Pozajmice i krediti od domaćih izvora</v>
      </c>
      <c r="C154" s="618"/>
      <c r="D154" s="618"/>
      <c r="E154" s="618"/>
      <c r="F154" s="618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9" t="str">
        <f>+VLOOKUP(LEFT($A155,LEN(A155)-1)*1,Master!$D$30:$G$226,4,FALSE)</f>
        <v>Pozajmice i krediti od inostranih izvora</v>
      </c>
      <c r="C155" s="620"/>
      <c r="D155" s="620"/>
      <c r="E155" s="620"/>
      <c r="F155" s="62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9" t="str">
        <f>+VLOOKUP(LEFT($A156,LEN(A156)-1)*1,Master!$D$30:$G$226,4,FALSE)</f>
        <v>Primici od prodaje imovine</v>
      </c>
      <c r="C156" s="620"/>
      <c r="D156" s="620"/>
      <c r="E156" s="620"/>
      <c r="F156" s="62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2019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4951000000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3" t="s">
        <v>680</v>
      </c>
      <c r="C10" s="574"/>
      <c r="D10" s="574"/>
      <c r="E10" s="574"/>
      <c r="F10" s="574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65" t="s">
        <v>23</v>
      </c>
      <c r="C12" s="566"/>
      <c r="D12" s="566"/>
      <c r="E12" s="566"/>
      <c r="F12" s="566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65" t="s">
        <v>25</v>
      </c>
      <c r="C13" s="566"/>
      <c r="D13" s="566"/>
      <c r="E13" s="566"/>
      <c r="F13" s="566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65" t="s">
        <v>27</v>
      </c>
      <c r="C14" s="566"/>
      <c r="D14" s="566"/>
      <c r="E14" s="566"/>
      <c r="F14" s="566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65" t="s">
        <v>29</v>
      </c>
      <c r="C15" s="566"/>
      <c r="D15" s="566"/>
      <c r="E15" s="566"/>
      <c r="F15" s="566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65" t="s">
        <v>31</v>
      </c>
      <c r="C16" s="566"/>
      <c r="D16" s="566"/>
      <c r="E16" s="566"/>
      <c r="F16" s="566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65" t="s">
        <v>33</v>
      </c>
      <c r="C17" s="566"/>
      <c r="D17" s="566"/>
      <c r="E17" s="566"/>
      <c r="F17" s="566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65" t="s">
        <v>721</v>
      </c>
      <c r="C18" s="566"/>
      <c r="D18" s="566"/>
      <c r="E18" s="566"/>
      <c r="F18" s="566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9" t="s">
        <v>37</v>
      </c>
      <c r="C19" s="570"/>
      <c r="D19" s="570"/>
      <c r="E19" s="570"/>
      <c r="F19" s="570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65" t="s">
        <v>39</v>
      </c>
      <c r="C20" s="566"/>
      <c r="D20" s="566"/>
      <c r="E20" s="566"/>
      <c r="F20" s="566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65" t="s">
        <v>41</v>
      </c>
      <c r="C21" s="566"/>
      <c r="D21" s="566"/>
      <c r="E21" s="566"/>
      <c r="F21" s="566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65" t="s">
        <v>43</v>
      </c>
      <c r="C22" s="566"/>
      <c r="D22" s="566"/>
      <c r="E22" s="566"/>
      <c r="F22" s="566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65" t="s">
        <v>45</v>
      </c>
      <c r="C23" s="566"/>
      <c r="D23" s="566"/>
      <c r="E23" s="566"/>
      <c r="F23" s="566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7" t="s">
        <v>47</v>
      </c>
      <c r="C24" s="568"/>
      <c r="D24" s="568"/>
      <c r="E24" s="568"/>
      <c r="F24" s="568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7" t="s">
        <v>61</v>
      </c>
      <c r="C25" s="568"/>
      <c r="D25" s="568"/>
      <c r="E25" s="568"/>
      <c r="F25" s="568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7" t="s">
        <v>81</v>
      </c>
      <c r="C26" s="568"/>
      <c r="D26" s="568"/>
      <c r="E26" s="568"/>
      <c r="F26" s="568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7" t="s">
        <v>99</v>
      </c>
      <c r="C27" s="568"/>
      <c r="D27" s="568"/>
      <c r="E27" s="568"/>
      <c r="F27" s="568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75" t="s">
        <v>120</v>
      </c>
      <c r="C30" s="576"/>
      <c r="D30" s="576"/>
      <c r="E30" s="576"/>
      <c r="F30" s="576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65" t="s">
        <v>122</v>
      </c>
      <c r="C31" s="566"/>
      <c r="D31" s="566"/>
      <c r="E31" s="566"/>
      <c r="F31" s="566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65" t="s">
        <v>133</v>
      </c>
      <c r="C32" s="566"/>
      <c r="D32" s="566"/>
      <c r="E32" s="566"/>
      <c r="F32" s="566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65" t="s">
        <v>148</v>
      </c>
      <c r="C33" s="566"/>
      <c r="D33" s="566"/>
      <c r="E33" s="566"/>
      <c r="F33" s="566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65" t="s">
        <v>162</v>
      </c>
      <c r="C34" s="566"/>
      <c r="D34" s="566"/>
      <c r="E34" s="566"/>
      <c r="F34" s="566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60" t="s">
        <v>182</v>
      </c>
      <c r="C35" s="661"/>
      <c r="D35" s="661"/>
      <c r="E35" s="661"/>
      <c r="F35" s="661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65" t="s">
        <v>190</v>
      </c>
      <c r="C36" s="566"/>
      <c r="D36" s="566"/>
      <c r="E36" s="566"/>
      <c r="F36" s="566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65" t="s">
        <v>196</v>
      </c>
      <c r="C37" s="566"/>
      <c r="D37" s="566"/>
      <c r="E37" s="566"/>
      <c r="F37" s="566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65" t="s">
        <v>204</v>
      </c>
      <c r="C38" s="566"/>
      <c r="D38" s="566"/>
      <c r="E38" s="566"/>
      <c r="F38" s="566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65" t="s">
        <v>212</v>
      </c>
      <c r="C39" s="566"/>
      <c r="D39" s="566"/>
      <c r="E39" s="566"/>
      <c r="F39" s="566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1" t="s">
        <v>230</v>
      </c>
      <c r="C40" s="582"/>
      <c r="D40" s="582"/>
      <c r="E40" s="582"/>
      <c r="F40" s="582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65" t="s">
        <v>232</v>
      </c>
      <c r="C41" s="566"/>
      <c r="D41" s="566"/>
      <c r="E41" s="566"/>
      <c r="F41" s="566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65" t="s">
        <v>248</v>
      </c>
      <c r="C42" s="566"/>
      <c r="D42" s="566"/>
      <c r="E42" s="566"/>
      <c r="F42" s="566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65" t="s">
        <v>259</v>
      </c>
      <c r="C43" s="566"/>
      <c r="D43" s="566"/>
      <c r="E43" s="566"/>
      <c r="F43" s="566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65" t="s">
        <v>274</v>
      </c>
      <c r="C44" s="566"/>
      <c r="D44" s="566"/>
      <c r="E44" s="566"/>
      <c r="F44" s="566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65" t="s">
        <v>278</v>
      </c>
      <c r="C45" s="566"/>
      <c r="D45" s="566"/>
      <c r="E45" s="566"/>
      <c r="F45" s="566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9" t="s">
        <v>286</v>
      </c>
      <c r="C46" s="580"/>
      <c r="D46" s="580"/>
      <c r="E46" s="580"/>
      <c r="F46" s="580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9" t="s">
        <v>320</v>
      </c>
      <c r="C47" s="580"/>
      <c r="D47" s="580"/>
      <c r="E47" s="580"/>
      <c r="F47" s="580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8" t="s">
        <v>113</v>
      </c>
      <c r="C48" s="659"/>
      <c r="D48" s="659"/>
      <c r="E48" s="659"/>
      <c r="F48" s="659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50" t="s">
        <v>366</v>
      </c>
      <c r="C49" s="651"/>
      <c r="D49" s="651"/>
      <c r="E49" s="651"/>
      <c r="F49" s="651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5" t="s">
        <v>359</v>
      </c>
      <c r="C50" s="586"/>
      <c r="D50" s="586"/>
      <c r="E50" s="586"/>
      <c r="F50" s="586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52" t="s">
        <v>794</v>
      </c>
      <c r="C51" s="653"/>
      <c r="D51" s="653"/>
      <c r="E51" s="653"/>
      <c r="F51" s="653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54" t="s">
        <v>684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7" t="s">
        <v>545</v>
      </c>
      <c r="C53" s="588"/>
      <c r="D53" s="588"/>
      <c r="E53" s="588"/>
      <c r="F53" s="588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9" t="s">
        <v>792</v>
      </c>
      <c r="C54" s="590"/>
      <c r="D54" s="590"/>
      <c r="E54" s="590"/>
      <c r="F54" s="590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1" t="s">
        <v>352</v>
      </c>
      <c r="C55" s="612"/>
      <c r="D55" s="612"/>
      <c r="E55" s="612"/>
      <c r="F55" s="612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7" t="s">
        <v>355</v>
      </c>
      <c r="C56" s="608"/>
      <c r="D56" s="608"/>
      <c r="E56" s="608"/>
      <c r="F56" s="608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83" t="s">
        <v>357</v>
      </c>
      <c r="C57" s="584"/>
      <c r="D57" s="584"/>
      <c r="E57" s="584"/>
      <c r="F57" s="584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6" t="s">
        <v>336</v>
      </c>
      <c r="C58" s="667"/>
      <c r="D58" s="667"/>
      <c r="E58" s="667"/>
      <c r="F58" s="667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9" t="s">
        <v>543</v>
      </c>
      <c r="C59" s="610"/>
      <c r="D59" s="610"/>
      <c r="E59" s="610"/>
      <c r="F59" s="610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3" t="s">
        <v>544</v>
      </c>
      <c r="C60" s="574"/>
      <c r="D60" s="574"/>
      <c r="E60" s="574"/>
      <c r="F60" s="574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7" t="s">
        <v>114</v>
      </c>
      <c r="C61" s="608"/>
      <c r="D61" s="608"/>
      <c r="E61" s="608"/>
      <c r="F61" s="608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83" t="s">
        <v>116</v>
      </c>
      <c r="C62" s="584"/>
      <c r="D62" s="584"/>
      <c r="E62" s="584"/>
      <c r="F62" s="584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83" t="s">
        <v>93</v>
      </c>
      <c r="C63" s="584"/>
      <c r="D63" s="584"/>
      <c r="E63" s="584"/>
      <c r="F63" s="584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9" t="s">
        <v>551</v>
      </c>
      <c r="C100" s="640"/>
      <c r="D100" s="640"/>
      <c r="E100" s="640"/>
      <c r="F100" s="640"/>
      <c r="G100" s="647">
        <v>2019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f>+T7</f>
        <v>4951000000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7" t="s">
        <v>806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2" t="s">
        <v>680</v>
      </c>
      <c r="C103" s="663"/>
      <c r="D103" s="663"/>
      <c r="E103" s="663"/>
      <c r="F103" s="663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7" t="s">
        <v>21</v>
      </c>
      <c r="C104" s="638"/>
      <c r="D104" s="638"/>
      <c r="E104" s="638"/>
      <c r="F104" s="638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9" t="s">
        <v>23</v>
      </c>
      <c r="C105" s="630"/>
      <c r="D105" s="630"/>
      <c r="E105" s="630"/>
      <c r="F105" s="630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9" t="s">
        <v>25</v>
      </c>
      <c r="C106" s="630"/>
      <c r="D106" s="630"/>
      <c r="E106" s="630"/>
      <c r="F106" s="630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9" t="s">
        <v>27</v>
      </c>
      <c r="C107" s="630"/>
      <c r="D107" s="630"/>
      <c r="E107" s="630"/>
      <c r="F107" s="630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9" t="s">
        <v>29</v>
      </c>
      <c r="C108" s="630"/>
      <c r="D108" s="630"/>
      <c r="E108" s="630"/>
      <c r="F108" s="630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9" t="s">
        <v>31</v>
      </c>
      <c r="C109" s="630"/>
      <c r="D109" s="630"/>
      <c r="E109" s="630"/>
      <c r="F109" s="630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9" t="s">
        <v>33</v>
      </c>
      <c r="C110" s="630"/>
      <c r="D110" s="630"/>
      <c r="E110" s="630"/>
      <c r="F110" s="630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9" t="s">
        <v>721</v>
      </c>
      <c r="C111" s="630"/>
      <c r="D111" s="630"/>
      <c r="E111" s="630"/>
      <c r="F111" s="630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4" t="s">
        <v>37</v>
      </c>
      <c r="C112" s="665"/>
      <c r="D112" s="665"/>
      <c r="E112" s="665"/>
      <c r="F112" s="665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9" t="s">
        <v>39</v>
      </c>
      <c r="C113" s="630"/>
      <c r="D113" s="630"/>
      <c r="E113" s="630"/>
      <c r="F113" s="630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9" t="s">
        <v>41</v>
      </c>
      <c r="C114" s="630"/>
      <c r="D114" s="630"/>
      <c r="E114" s="630"/>
      <c r="F114" s="630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9" t="s">
        <v>43</v>
      </c>
      <c r="C115" s="630"/>
      <c r="D115" s="630"/>
      <c r="E115" s="630"/>
      <c r="F115" s="630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9" t="s">
        <v>45</v>
      </c>
      <c r="C116" s="630"/>
      <c r="D116" s="630"/>
      <c r="E116" s="630"/>
      <c r="F116" s="630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5" t="s">
        <v>47</v>
      </c>
      <c r="C117" s="636"/>
      <c r="D117" s="636"/>
      <c r="E117" s="636"/>
      <c r="F117" s="636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5" t="s">
        <v>61</v>
      </c>
      <c r="C118" s="636"/>
      <c r="D118" s="636"/>
      <c r="E118" s="636"/>
      <c r="F118" s="636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5" t="s">
        <v>81</v>
      </c>
      <c r="C119" s="636"/>
      <c r="D119" s="636"/>
      <c r="E119" s="636"/>
      <c r="F119" s="636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5" t="s">
        <v>99</v>
      </c>
      <c r="C120" s="636"/>
      <c r="D120" s="636"/>
      <c r="E120" s="636"/>
      <c r="F120" s="636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1" t="s">
        <v>105</v>
      </c>
      <c r="C121" s="632"/>
      <c r="D121" s="632"/>
      <c r="E121" s="632"/>
      <c r="F121" s="632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13" t="s">
        <v>808</v>
      </c>
      <c r="C122" s="614"/>
      <c r="D122" s="614"/>
      <c r="E122" s="614"/>
      <c r="F122" s="61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8" t="s">
        <v>773</v>
      </c>
      <c r="C123" s="669"/>
      <c r="D123" s="669"/>
      <c r="E123" s="669"/>
      <c r="F123" s="669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33" t="e">
        <v>#REF!</v>
      </c>
      <c r="C124" s="634"/>
      <c r="D124" s="634"/>
      <c r="E124" s="634"/>
      <c r="F124" s="634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9" t="s">
        <v>122</v>
      </c>
      <c r="C125" s="630"/>
      <c r="D125" s="630"/>
      <c r="E125" s="630"/>
      <c r="F125" s="630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9" t="s">
        <v>133</v>
      </c>
      <c r="C126" s="630"/>
      <c r="D126" s="630"/>
      <c r="E126" s="630"/>
      <c r="F126" s="630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9" t="s">
        <v>148</v>
      </c>
      <c r="C127" s="630"/>
      <c r="D127" s="630"/>
      <c r="E127" s="630"/>
      <c r="F127" s="630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9" t="s">
        <v>162</v>
      </c>
      <c r="C128" s="630"/>
      <c r="D128" s="630"/>
      <c r="E128" s="630"/>
      <c r="F128" s="630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9" t="s">
        <v>182</v>
      </c>
      <c r="C129" s="630"/>
      <c r="D129" s="630"/>
      <c r="E129" s="630"/>
      <c r="F129" s="630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9" t="s">
        <v>190</v>
      </c>
      <c r="C130" s="630"/>
      <c r="D130" s="630"/>
      <c r="E130" s="630"/>
      <c r="F130" s="630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9" t="s">
        <v>196</v>
      </c>
      <c r="C131" s="630"/>
      <c r="D131" s="630"/>
      <c r="E131" s="630"/>
      <c r="F131" s="630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9" t="s">
        <v>204</v>
      </c>
      <c r="C132" s="630"/>
      <c r="D132" s="630"/>
      <c r="E132" s="630"/>
      <c r="F132" s="630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9" t="s">
        <v>212</v>
      </c>
      <c r="C133" s="630"/>
      <c r="D133" s="630"/>
      <c r="E133" s="630"/>
      <c r="F133" s="630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9" t="e">
        <v>#REF!</v>
      </c>
      <c r="C134" s="630"/>
      <c r="D134" s="630"/>
      <c r="E134" s="630"/>
      <c r="F134" s="630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25" t="s">
        <v>230</v>
      </c>
      <c r="C135" s="626"/>
      <c r="D135" s="626"/>
      <c r="E135" s="626"/>
      <c r="F135" s="626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9" t="s">
        <v>232</v>
      </c>
      <c r="C136" s="630"/>
      <c r="D136" s="630"/>
      <c r="E136" s="630"/>
      <c r="F136" s="630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9" t="s">
        <v>248</v>
      </c>
      <c r="C137" s="630"/>
      <c r="D137" s="630"/>
      <c r="E137" s="630"/>
      <c r="F137" s="630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9" t="s">
        <v>259</v>
      </c>
      <c r="C138" s="630"/>
      <c r="D138" s="630"/>
      <c r="E138" s="630"/>
      <c r="F138" s="630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9" t="s">
        <v>274</v>
      </c>
      <c r="C139" s="630"/>
      <c r="D139" s="630"/>
      <c r="E139" s="630"/>
      <c r="F139" s="630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9" t="s">
        <v>278</v>
      </c>
      <c r="C140" s="630"/>
      <c r="D140" s="630"/>
      <c r="E140" s="630"/>
      <c r="F140" s="630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7" t="s">
        <v>286</v>
      </c>
      <c r="C141" s="628"/>
      <c r="D141" s="628"/>
      <c r="E141" s="628"/>
      <c r="F141" s="62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7" t="s">
        <v>809</v>
      </c>
      <c r="C142" s="628"/>
      <c r="D142" s="628"/>
      <c r="E142" s="628"/>
      <c r="F142" s="62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9" t="s">
        <v>113</v>
      </c>
      <c r="C143" s="620"/>
      <c r="D143" s="620"/>
      <c r="E143" s="620"/>
      <c r="F143" s="62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9" t="s">
        <v>366</v>
      </c>
      <c r="C144" s="620"/>
      <c r="D144" s="620"/>
      <c r="E144" s="620"/>
      <c r="F144" s="62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9" t="s">
        <v>359</v>
      </c>
      <c r="C145" s="620"/>
      <c r="D145" s="620"/>
      <c r="E145" s="620"/>
      <c r="F145" s="62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9" t="s">
        <v>365</v>
      </c>
      <c r="C146" s="620"/>
      <c r="D146" s="620"/>
      <c r="E146" s="620"/>
      <c r="F146" s="62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0" t="s">
        <v>685</v>
      </c>
      <c r="C147" s="671"/>
      <c r="D147" s="671"/>
      <c r="E147" s="671"/>
      <c r="F147" s="671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21" t="s">
        <v>545</v>
      </c>
      <c r="C148" s="622"/>
      <c r="D148" s="622"/>
      <c r="E148" s="622"/>
      <c r="F148" s="622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23" t="s">
        <v>810</v>
      </c>
      <c r="C149" s="624"/>
      <c r="D149" s="624"/>
      <c r="E149" s="624"/>
      <c r="F149" s="624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25" t="s">
        <v>352</v>
      </c>
      <c r="C150" s="626"/>
      <c r="D150" s="626"/>
      <c r="E150" s="626"/>
      <c r="F150" s="626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7" t="s">
        <v>355</v>
      </c>
      <c r="C151" s="618"/>
      <c r="D151" s="618"/>
      <c r="E151" s="618"/>
      <c r="F151" s="618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9" t="s">
        <v>357</v>
      </c>
      <c r="C152" s="620"/>
      <c r="D152" s="620"/>
      <c r="E152" s="620"/>
      <c r="F152" s="62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6" t="s">
        <v>336</v>
      </c>
      <c r="C153" s="667"/>
      <c r="D153" s="667"/>
      <c r="E153" s="667"/>
      <c r="F153" s="667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15" t="s">
        <v>543</v>
      </c>
      <c r="C154" s="616"/>
      <c r="D154" s="616"/>
      <c r="E154" s="616"/>
      <c r="F154" s="616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13" t="s">
        <v>544</v>
      </c>
      <c r="C155" s="614"/>
      <c r="D155" s="614"/>
      <c r="E155" s="614"/>
      <c r="F155" s="61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7" t="s">
        <v>114</v>
      </c>
      <c r="C156" s="618"/>
      <c r="D156" s="618"/>
      <c r="E156" s="618"/>
      <c r="F156" s="618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9" t="s">
        <v>116</v>
      </c>
      <c r="C157" s="620"/>
      <c r="D157" s="620"/>
      <c r="E157" s="620"/>
      <c r="F157" s="62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9" t="s">
        <v>93</v>
      </c>
      <c r="C158" s="620"/>
      <c r="D158" s="620"/>
      <c r="E158" s="620"/>
      <c r="F158" s="62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owner</cp:lastModifiedBy>
  <cp:lastPrinted>2024-06-26T14:13:15Z</cp:lastPrinted>
  <dcterms:created xsi:type="dcterms:W3CDTF">2014-09-15T13:41:17Z</dcterms:created>
  <dcterms:modified xsi:type="dcterms:W3CDTF">2024-11-29T15:16:35Z</dcterms:modified>
</cp:coreProperties>
</file>