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"/>
    </mc:Choice>
  </mc:AlternateContent>
  <bookViews>
    <workbookView xWindow="0" yWindow="0" windowWidth="24240" windowHeight="10635" tabRatio="587" firstSheet="1" activeTab="1"/>
  </bookViews>
  <sheets>
    <sheet name="Analitika - 2014" sheetId="3" state="hidden" r:id="rId1"/>
    <sheet name="Breakdown" sheetId="1" r:id="rId2"/>
    <sheet name="Analytics - 2018" sheetId="11" r:id="rId3"/>
    <sheet name="2018" sheetId="13" r:id="rId4"/>
    <sheet name="2017" sheetId="16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  <sheet name="Sheet1" sheetId="14" state="hidden" r:id="rId13"/>
  </sheets>
  <externalReferences>
    <externalReference r:id="rId14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'2018'!$A$101:$A$159</definedName>
  </definedNames>
  <calcPr calcId="162913"/>
</workbook>
</file>

<file path=xl/calcChain.xml><?xml version="1.0" encoding="utf-8"?>
<calcChain xmlns="http://schemas.openxmlformats.org/spreadsheetml/2006/main">
  <c r="P55" i="11" l="1"/>
  <c r="G63" i="13" l="1"/>
  <c r="N64" i="11" s="1"/>
  <c r="R66" i="11" l="1"/>
  <c r="A159" i="16" l="1"/>
  <c r="B159" i="16" s="1"/>
  <c r="A158" i="16"/>
  <c r="A157" i="16"/>
  <c r="A156" i="16"/>
  <c r="A155" i="16"/>
  <c r="B155" i="16" s="1"/>
  <c r="A154" i="16"/>
  <c r="B154" i="16" s="1"/>
  <c r="G153" i="16"/>
  <c r="A153" i="16"/>
  <c r="M153" i="16" s="1"/>
  <c r="I152" i="16"/>
  <c r="G152" i="16"/>
  <c r="A152" i="16"/>
  <c r="M152" i="16" s="1"/>
  <c r="M151" i="16"/>
  <c r="I151" i="16"/>
  <c r="G151" i="16"/>
  <c r="G150" i="16" s="1"/>
  <c r="A151" i="16"/>
  <c r="A150" i="16"/>
  <c r="B150" i="16" s="1"/>
  <c r="A149" i="16"/>
  <c r="B149" i="16" s="1"/>
  <c r="A148" i="16"/>
  <c r="B148" i="16" s="1"/>
  <c r="S147" i="16"/>
  <c r="T147" i="16" s="1"/>
  <c r="G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B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B145" i="16"/>
  <c r="A145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B144" i="16"/>
  <c r="A144" i="16"/>
  <c r="R143" i="16"/>
  <c r="P143" i="16"/>
  <c r="O143" i="16"/>
  <c r="N143" i="16"/>
  <c r="L143" i="16"/>
  <c r="K143" i="16"/>
  <c r="J143" i="16"/>
  <c r="H143" i="16"/>
  <c r="G143" i="16"/>
  <c r="B143" i="16"/>
  <c r="A143" i="16"/>
  <c r="Q143" i="16" s="1"/>
  <c r="R142" i="16"/>
  <c r="P142" i="16"/>
  <c r="O142" i="16"/>
  <c r="N142" i="16"/>
  <c r="L142" i="16"/>
  <c r="K142" i="16"/>
  <c r="J142" i="16"/>
  <c r="H142" i="16"/>
  <c r="G142" i="16"/>
  <c r="B142" i="16"/>
  <c r="A142" i="16"/>
  <c r="Q142" i="16" s="1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B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B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B139" i="16"/>
  <c r="A139" i="16"/>
  <c r="R138" i="16"/>
  <c r="Q138" i="16"/>
  <c r="Q136" i="16" s="1"/>
  <c r="P138" i="16"/>
  <c r="O138" i="16"/>
  <c r="N138" i="16"/>
  <c r="M138" i="16"/>
  <c r="M136" i="16" s="1"/>
  <c r="L138" i="16"/>
  <c r="K138" i="16"/>
  <c r="J138" i="16"/>
  <c r="I138" i="16"/>
  <c r="I136" i="16" s="1"/>
  <c r="H138" i="16"/>
  <c r="G138" i="16"/>
  <c r="B138" i="16"/>
  <c r="A138" i="16"/>
  <c r="R137" i="16"/>
  <c r="Q137" i="16"/>
  <c r="P137" i="16"/>
  <c r="O137" i="16"/>
  <c r="O136" i="16" s="1"/>
  <c r="N137" i="16"/>
  <c r="N136" i="16" s="1"/>
  <c r="M137" i="16"/>
  <c r="L137" i="16"/>
  <c r="K137" i="16"/>
  <c r="K136" i="16" s="1"/>
  <c r="J137" i="16"/>
  <c r="I137" i="16"/>
  <c r="H137" i="16"/>
  <c r="G137" i="16"/>
  <c r="G136" i="16" s="1"/>
  <c r="B137" i="16"/>
  <c r="A137" i="16"/>
  <c r="B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B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B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B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B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B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B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B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B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B127" i="16"/>
  <c r="A127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B126" i="16"/>
  <c r="A126" i="16"/>
  <c r="B125" i="16"/>
  <c r="A125" i="16"/>
  <c r="B124" i="16"/>
  <c r="A124" i="16"/>
  <c r="B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B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B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B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B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B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B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B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B115" i="16"/>
  <c r="A115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B114" i="16"/>
  <c r="A114" i="16"/>
  <c r="B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B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B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B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B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B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B107" i="16"/>
  <c r="A107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B106" i="16"/>
  <c r="A106" i="16"/>
  <c r="B105" i="16"/>
  <c r="A105" i="16"/>
  <c r="B104" i="16"/>
  <c r="A104" i="16"/>
  <c r="T102" i="16"/>
  <c r="S102" i="16"/>
  <c r="T101" i="16"/>
  <c r="B101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B65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B64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B63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B62" i="16"/>
  <c r="B61" i="16"/>
  <c r="B60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B59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B58" i="16"/>
  <c r="B57" i="16"/>
  <c r="B56" i="16"/>
  <c r="B55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B54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B53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B52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B51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B50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B49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B48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B47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B46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B45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B44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B43" i="16"/>
  <c r="B42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B41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B40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B39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B38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B37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B36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B35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B34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B33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B32" i="16"/>
  <c r="B31" i="16"/>
  <c r="B30" i="16"/>
  <c r="B29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B28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B27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B26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B25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B24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B23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B22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B21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B20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B19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B18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B17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B16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B15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B14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B13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B12" i="16"/>
  <c r="B11" i="16"/>
  <c r="B10" i="16"/>
  <c r="T9" i="16"/>
  <c r="T103" i="16" s="1"/>
  <c r="S8" i="16"/>
  <c r="R8" i="16"/>
  <c r="R102" i="16" s="1"/>
  <c r="Q8" i="16"/>
  <c r="Q102" i="16" s="1"/>
  <c r="P8" i="16"/>
  <c r="P102" i="16" s="1"/>
  <c r="O8" i="16"/>
  <c r="O102" i="16" s="1"/>
  <c r="N8" i="16"/>
  <c r="N102" i="16" s="1"/>
  <c r="M8" i="16"/>
  <c r="M102" i="16" s="1"/>
  <c r="L8" i="16"/>
  <c r="L102" i="16" s="1"/>
  <c r="K8" i="16"/>
  <c r="K102" i="16" s="1"/>
  <c r="J8" i="16"/>
  <c r="J102" i="16" s="1"/>
  <c r="I8" i="16"/>
  <c r="I102" i="16" s="1"/>
  <c r="H8" i="16"/>
  <c r="H102" i="16" s="1"/>
  <c r="G8" i="16"/>
  <c r="G102" i="16" s="1"/>
  <c r="S7" i="16"/>
  <c r="S101" i="16" s="1"/>
  <c r="B7" i="16"/>
  <c r="R5" i="16"/>
  <c r="Q5" i="16"/>
  <c r="P5" i="16"/>
  <c r="O5" i="16"/>
  <c r="N5" i="16"/>
  <c r="M5" i="16"/>
  <c r="L5" i="16"/>
  <c r="K5" i="16"/>
  <c r="J5" i="16"/>
  <c r="I5" i="16"/>
  <c r="H5" i="16"/>
  <c r="G5" i="16"/>
  <c r="E4" i="16"/>
  <c r="E3" i="16"/>
  <c r="E2" i="16"/>
  <c r="Q57" i="16" l="1"/>
  <c r="R105" i="16"/>
  <c r="M31" i="16"/>
  <c r="I57" i="16"/>
  <c r="M57" i="16"/>
  <c r="H57" i="16"/>
  <c r="L57" i="16"/>
  <c r="P57" i="16"/>
  <c r="R64" i="11"/>
  <c r="N42" i="16"/>
  <c r="J57" i="16"/>
  <c r="N57" i="16"/>
  <c r="R57" i="16"/>
  <c r="I105" i="16"/>
  <c r="M105" i="16"/>
  <c r="I113" i="16"/>
  <c r="M113" i="16"/>
  <c r="Q113" i="16"/>
  <c r="K113" i="16"/>
  <c r="G125" i="16"/>
  <c r="G123" i="16" s="1"/>
  <c r="G124" i="16" s="1"/>
  <c r="M150" i="16"/>
  <c r="H11" i="16"/>
  <c r="H10" i="16" s="1"/>
  <c r="R15" i="11"/>
  <c r="R19" i="11"/>
  <c r="R23" i="11"/>
  <c r="R27" i="11"/>
  <c r="R34" i="11"/>
  <c r="R38" i="11"/>
  <c r="I42" i="16"/>
  <c r="Q42" i="16"/>
  <c r="R50" i="11"/>
  <c r="H105" i="16"/>
  <c r="L105" i="16"/>
  <c r="P105" i="16"/>
  <c r="J105" i="16"/>
  <c r="K125" i="16"/>
  <c r="K123" i="16" s="1"/>
  <c r="K124" i="16" s="1"/>
  <c r="O125" i="16"/>
  <c r="O123" i="16" s="1"/>
  <c r="O124" i="16" s="1"/>
  <c r="I125" i="16"/>
  <c r="Q125" i="16"/>
  <c r="H136" i="16"/>
  <c r="L136" i="16"/>
  <c r="P136" i="16"/>
  <c r="S46" i="16"/>
  <c r="T46" i="16" s="1"/>
  <c r="R46" i="11"/>
  <c r="S54" i="16"/>
  <c r="T54" i="16" s="1"/>
  <c r="R54" i="11"/>
  <c r="K11" i="16"/>
  <c r="K10" i="16" s="1"/>
  <c r="P11" i="16"/>
  <c r="P10" i="16" s="1"/>
  <c r="R16" i="11"/>
  <c r="S20" i="16"/>
  <c r="T20" i="16" s="1"/>
  <c r="R20" i="11"/>
  <c r="S24" i="16"/>
  <c r="T24" i="16" s="1"/>
  <c r="R24" i="11"/>
  <c r="S28" i="16"/>
  <c r="T28" i="16" s="1"/>
  <c r="R28" i="11"/>
  <c r="R35" i="11"/>
  <c r="R39" i="11"/>
  <c r="R43" i="11"/>
  <c r="R47" i="11"/>
  <c r="R51" i="11"/>
  <c r="Q105" i="16"/>
  <c r="G11" i="16"/>
  <c r="R12" i="11"/>
  <c r="O11" i="16"/>
  <c r="O10" i="16" s="1"/>
  <c r="R13" i="11"/>
  <c r="R17" i="11"/>
  <c r="R21" i="11"/>
  <c r="R25" i="11"/>
  <c r="R32" i="11"/>
  <c r="R36" i="11"/>
  <c r="R40" i="11"/>
  <c r="R44" i="11"/>
  <c r="R48" i="11"/>
  <c r="R52" i="11"/>
  <c r="R58" i="11"/>
  <c r="R62" i="11"/>
  <c r="N105" i="16"/>
  <c r="M125" i="16"/>
  <c r="L11" i="16"/>
  <c r="L10" i="16" s="1"/>
  <c r="R14" i="11"/>
  <c r="R18" i="11"/>
  <c r="R22" i="11"/>
  <c r="R26" i="11"/>
  <c r="S33" i="16"/>
  <c r="T33" i="16" s="1"/>
  <c r="R33" i="11"/>
  <c r="I31" i="16"/>
  <c r="Q31" i="16"/>
  <c r="Q29" i="16" s="1"/>
  <c r="Q30" i="16" s="1"/>
  <c r="S37" i="16"/>
  <c r="T37" i="16" s="1"/>
  <c r="R37" i="11"/>
  <c r="R41" i="11"/>
  <c r="R45" i="11"/>
  <c r="R49" i="11"/>
  <c r="R53" i="11"/>
  <c r="R59" i="11"/>
  <c r="R63" i="11"/>
  <c r="J113" i="16"/>
  <c r="N113" i="16"/>
  <c r="N104" i="16" s="1"/>
  <c r="R113" i="16"/>
  <c r="R104" i="16" s="1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M29" i="16" s="1"/>
  <c r="S47" i="16"/>
  <c r="T47" i="16" s="1"/>
  <c r="S51" i="16"/>
  <c r="T51" i="16" s="1"/>
  <c r="S107" i="16"/>
  <c r="T107" i="16" s="1"/>
  <c r="S109" i="16"/>
  <c r="T109" i="16" s="1"/>
  <c r="S111" i="16"/>
  <c r="T111" i="16" s="1"/>
  <c r="S137" i="16"/>
  <c r="T137" i="16" s="1"/>
  <c r="S141" i="16"/>
  <c r="T141" i="16" s="1"/>
  <c r="Q123" i="16"/>
  <c r="Q124" i="16" s="1"/>
  <c r="I11" i="16"/>
  <c r="I10" i="16" s="1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N29" i="16" s="1"/>
  <c r="N30" i="16" s="1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3" i="16"/>
  <c r="L113" i="16"/>
  <c r="P113" i="16"/>
  <c r="S129" i="16"/>
  <c r="T129" i="16" s="1"/>
  <c r="S133" i="16"/>
  <c r="T133" i="16" s="1"/>
  <c r="J136" i="16"/>
  <c r="R136" i="16"/>
  <c r="S16" i="16"/>
  <c r="T16" i="16" s="1"/>
  <c r="M11" i="16"/>
  <c r="M10" i="16" s="1"/>
  <c r="J11" i="16"/>
  <c r="J10" i="16" s="1"/>
  <c r="N11" i="16"/>
  <c r="N10" i="16" s="1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G29" i="16" s="1"/>
  <c r="K31" i="16"/>
  <c r="K29" i="16" s="1"/>
  <c r="K30" i="16" s="1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7" i="16"/>
  <c r="K57" i="16"/>
  <c r="O57" i="16"/>
  <c r="G105" i="16"/>
  <c r="K105" i="16"/>
  <c r="K104" i="16" s="1"/>
  <c r="O105" i="16"/>
  <c r="S108" i="16"/>
  <c r="T108" i="16" s="1"/>
  <c r="S110" i="16"/>
  <c r="T110" i="16" s="1"/>
  <c r="S112" i="16"/>
  <c r="T112" i="16" s="1"/>
  <c r="S114" i="16"/>
  <c r="T114" i="16" s="1"/>
  <c r="O113" i="16"/>
  <c r="S118" i="16"/>
  <c r="T118" i="16" s="1"/>
  <c r="S122" i="16"/>
  <c r="T122" i="16" s="1"/>
  <c r="J125" i="16"/>
  <c r="J123" i="16" s="1"/>
  <c r="N125" i="16"/>
  <c r="N123" i="16" s="1"/>
  <c r="N124" i="16" s="1"/>
  <c r="R125" i="16"/>
  <c r="G10" i="16"/>
  <c r="P156" i="16"/>
  <c r="L156" i="16"/>
  <c r="H156" i="16"/>
  <c r="O156" i="16"/>
  <c r="K156" i="16"/>
  <c r="G156" i="16"/>
  <c r="R156" i="16"/>
  <c r="N156" i="16"/>
  <c r="J156" i="16"/>
  <c r="B156" i="16"/>
  <c r="Q156" i="16"/>
  <c r="M156" i="16"/>
  <c r="I156" i="16"/>
  <c r="S32" i="16"/>
  <c r="T32" i="16" s="1"/>
  <c r="S49" i="16"/>
  <c r="T49" i="16" s="1"/>
  <c r="S64" i="16"/>
  <c r="T64" i="16" s="1"/>
  <c r="S106" i="16"/>
  <c r="T106" i="16" s="1"/>
  <c r="N148" i="16"/>
  <c r="P157" i="16"/>
  <c r="L157" i="16"/>
  <c r="H157" i="16"/>
  <c r="O157" i="16"/>
  <c r="K157" i="16"/>
  <c r="G157" i="16"/>
  <c r="R157" i="16"/>
  <c r="N157" i="16"/>
  <c r="J157" i="16"/>
  <c r="B157" i="16"/>
  <c r="Q157" i="16"/>
  <c r="M157" i="16"/>
  <c r="I157" i="16"/>
  <c r="S12" i="16"/>
  <c r="T12" i="16" s="1"/>
  <c r="S41" i="16"/>
  <c r="T41" i="16" s="1"/>
  <c r="S50" i="16"/>
  <c r="T50" i="16" s="1"/>
  <c r="S58" i="16"/>
  <c r="T58" i="16" s="1"/>
  <c r="S62" i="16"/>
  <c r="T62" i="16" s="1"/>
  <c r="G113" i="16"/>
  <c r="S113" i="16" s="1"/>
  <c r="T113" i="16" s="1"/>
  <c r="H125" i="16"/>
  <c r="H123" i="16" s="1"/>
  <c r="H124" i="16" s="1"/>
  <c r="L125" i="16"/>
  <c r="L123" i="16" s="1"/>
  <c r="L124" i="16" s="1"/>
  <c r="P125" i="16"/>
  <c r="P123" i="16" s="1"/>
  <c r="P124" i="16" s="1"/>
  <c r="P158" i="16"/>
  <c r="L158" i="16"/>
  <c r="H158" i="16"/>
  <c r="O158" i="16"/>
  <c r="K158" i="16"/>
  <c r="G158" i="16"/>
  <c r="R158" i="16"/>
  <c r="N158" i="16"/>
  <c r="J158" i="16"/>
  <c r="B158" i="16"/>
  <c r="Q158" i="16"/>
  <c r="M158" i="16"/>
  <c r="I158" i="16"/>
  <c r="S38" i="16"/>
  <c r="T38" i="16" s="1"/>
  <c r="S42" i="16"/>
  <c r="T42" i="16" s="1"/>
  <c r="S43" i="16"/>
  <c r="T43" i="16" s="1"/>
  <c r="S48" i="16"/>
  <c r="T48" i="16" s="1"/>
  <c r="S57" i="16"/>
  <c r="T57" i="16" s="1"/>
  <c r="S59" i="16"/>
  <c r="T59" i="16" s="1"/>
  <c r="S63" i="16"/>
  <c r="T63" i="16" s="1"/>
  <c r="H104" i="16"/>
  <c r="H148" i="16" s="1"/>
  <c r="L104" i="16"/>
  <c r="P104" i="16"/>
  <c r="P148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1" i="16"/>
  <c r="L151" i="16"/>
  <c r="H151" i="16"/>
  <c r="O151" i="16"/>
  <c r="K151" i="16"/>
  <c r="R151" i="16"/>
  <c r="N151" i="16"/>
  <c r="J151" i="16"/>
  <c r="B151" i="16"/>
  <c r="Q151" i="16"/>
  <c r="I153" i="16"/>
  <c r="I150" i="16" s="1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2" i="16"/>
  <c r="L152" i="16"/>
  <c r="H152" i="16"/>
  <c r="O152" i="16"/>
  <c r="K152" i="16"/>
  <c r="R152" i="16"/>
  <c r="N152" i="16"/>
  <c r="J152" i="16"/>
  <c r="B152" i="16"/>
  <c r="Q152" i="16"/>
  <c r="S115" i="16"/>
  <c r="T115" i="16" s="1"/>
  <c r="S119" i="16"/>
  <c r="T119" i="16" s="1"/>
  <c r="S126" i="16"/>
  <c r="T126" i="16" s="1"/>
  <c r="S130" i="16"/>
  <c r="T130" i="16" s="1"/>
  <c r="S134" i="16"/>
  <c r="T134" i="16" s="1"/>
  <c r="S138" i="16"/>
  <c r="T138" i="16" s="1"/>
  <c r="S144" i="16"/>
  <c r="T144" i="16" s="1"/>
  <c r="P153" i="16"/>
  <c r="L153" i="16"/>
  <c r="H153" i="16"/>
  <c r="O153" i="16"/>
  <c r="K153" i="16"/>
  <c r="R153" i="16"/>
  <c r="N153" i="16"/>
  <c r="J153" i="16"/>
  <c r="B153" i="16"/>
  <c r="Q153" i="16"/>
  <c r="I142" i="16"/>
  <c r="M142" i="16"/>
  <c r="I143" i="16"/>
  <c r="M143" i="16"/>
  <c r="J104" i="16" l="1"/>
  <c r="J148" i="16" s="1"/>
  <c r="J149" i="16" s="1"/>
  <c r="I29" i="16"/>
  <c r="I30" i="16" s="1"/>
  <c r="Q104" i="16"/>
  <c r="Q148" i="16" s="1"/>
  <c r="Q149" i="16" s="1"/>
  <c r="R123" i="16"/>
  <c r="R124" i="16" s="1"/>
  <c r="S105" i="16"/>
  <c r="T105" i="16" s="1"/>
  <c r="M104" i="16"/>
  <c r="I123" i="16"/>
  <c r="I148" i="16" s="1"/>
  <c r="R10" i="11"/>
  <c r="S31" i="16"/>
  <c r="T31" i="16" s="1"/>
  <c r="I104" i="16"/>
  <c r="J124" i="16"/>
  <c r="S11" i="16"/>
  <c r="T11" i="16" s="1"/>
  <c r="K148" i="16"/>
  <c r="K149" i="16" s="1"/>
  <c r="R57" i="11"/>
  <c r="Q55" i="16"/>
  <c r="S152" i="16"/>
  <c r="T152" i="16" s="1"/>
  <c r="N55" i="16"/>
  <c r="R31" i="11"/>
  <c r="I55" i="16"/>
  <c r="R42" i="11"/>
  <c r="R11" i="11"/>
  <c r="M30" i="16"/>
  <c r="M55" i="16"/>
  <c r="S143" i="16"/>
  <c r="T143" i="16" s="1"/>
  <c r="P29" i="16"/>
  <c r="L29" i="16"/>
  <c r="J29" i="16"/>
  <c r="J30" i="16" s="1"/>
  <c r="S153" i="16"/>
  <c r="T153" i="16" s="1"/>
  <c r="O104" i="16"/>
  <c r="O148" i="16" s="1"/>
  <c r="O149" i="16" s="1"/>
  <c r="H29" i="16"/>
  <c r="R29" i="11" s="1"/>
  <c r="R29" i="16"/>
  <c r="R30" i="16" s="1"/>
  <c r="K55" i="16"/>
  <c r="O55" i="16"/>
  <c r="N150" i="16"/>
  <c r="N154" i="16" s="1"/>
  <c r="N159" i="16" s="1"/>
  <c r="N155" i="16" s="1"/>
  <c r="H150" i="16"/>
  <c r="H154" i="16" s="1"/>
  <c r="H159" i="16" s="1"/>
  <c r="H155" i="16" s="1"/>
  <c r="P149" i="16"/>
  <c r="R148" i="16"/>
  <c r="I124" i="16"/>
  <c r="M123" i="16"/>
  <c r="S142" i="16"/>
  <c r="T142" i="16" s="1"/>
  <c r="Q150" i="16"/>
  <c r="R150" i="16"/>
  <c r="L150" i="16"/>
  <c r="L148" i="16"/>
  <c r="S157" i="16"/>
  <c r="T157" i="16" s="1"/>
  <c r="N149" i="16"/>
  <c r="S156" i="16"/>
  <c r="T156" i="16" s="1"/>
  <c r="S125" i="16"/>
  <c r="T125" i="16" s="1"/>
  <c r="G104" i="16"/>
  <c r="G55" i="16"/>
  <c r="S10" i="16"/>
  <c r="T10" i="16" s="1"/>
  <c r="K150" i="16"/>
  <c r="K154" i="16" s="1"/>
  <c r="K159" i="16" s="1"/>
  <c r="K155" i="16" s="1"/>
  <c r="P150" i="16"/>
  <c r="P154" i="16" s="1"/>
  <c r="P159" i="16" s="1"/>
  <c r="P155" i="16" s="1"/>
  <c r="H149" i="16"/>
  <c r="Q60" i="16"/>
  <c r="Q65" i="16" s="1"/>
  <c r="Q61" i="16" s="1"/>
  <c r="Q56" i="16"/>
  <c r="S151" i="16"/>
  <c r="T151" i="16" s="1"/>
  <c r="J150" i="16"/>
  <c r="O150" i="16"/>
  <c r="O154" i="16" s="1"/>
  <c r="O159" i="16" s="1"/>
  <c r="O155" i="16" s="1"/>
  <c r="S158" i="16"/>
  <c r="T158" i="16" s="1"/>
  <c r="G30" i="16"/>
  <c r="M60" i="16"/>
  <c r="M65" i="16" s="1"/>
  <c r="M61" i="16" s="1"/>
  <c r="M56" i="16"/>
  <c r="J154" i="16" l="1"/>
  <c r="J159" i="16" s="1"/>
  <c r="J155" i="16" s="1"/>
  <c r="S123" i="16"/>
  <c r="T123" i="16" s="1"/>
  <c r="Q154" i="16"/>
  <c r="Q159" i="16" s="1"/>
  <c r="Q155" i="16" s="1"/>
  <c r="S29" i="16"/>
  <c r="T29" i="16" s="1"/>
  <c r="N60" i="16"/>
  <c r="N65" i="16" s="1"/>
  <c r="N61" i="16" s="1"/>
  <c r="N56" i="16"/>
  <c r="I60" i="16"/>
  <c r="I65" i="16" s="1"/>
  <c r="I61" i="16" s="1"/>
  <c r="I56" i="16"/>
  <c r="R55" i="16"/>
  <c r="H30" i="16"/>
  <c r="H55" i="16"/>
  <c r="O56" i="16"/>
  <c r="O60" i="16"/>
  <c r="O65" i="16" s="1"/>
  <c r="O61" i="16" s="1"/>
  <c r="J55" i="16"/>
  <c r="L30" i="16"/>
  <c r="L55" i="16"/>
  <c r="K60" i="16"/>
  <c r="K65" i="16" s="1"/>
  <c r="K61" i="16" s="1"/>
  <c r="K56" i="16"/>
  <c r="P30" i="16"/>
  <c r="P55" i="16"/>
  <c r="G148" i="16"/>
  <c r="S104" i="16"/>
  <c r="T104" i="16" s="1"/>
  <c r="L154" i="16"/>
  <c r="L159" i="16" s="1"/>
  <c r="L155" i="16" s="1"/>
  <c r="L149" i="16"/>
  <c r="M124" i="16"/>
  <c r="S124" i="16" s="1"/>
  <c r="T124" i="16" s="1"/>
  <c r="M148" i="16"/>
  <c r="I154" i="16"/>
  <c r="I159" i="16" s="1"/>
  <c r="I155" i="16" s="1"/>
  <c r="I149" i="16"/>
  <c r="S150" i="16"/>
  <c r="T150" i="16" s="1"/>
  <c r="G60" i="16"/>
  <c r="G56" i="16"/>
  <c r="R154" i="16"/>
  <c r="R159" i="16" s="1"/>
  <c r="R155" i="16" s="1"/>
  <c r="R149" i="16"/>
  <c r="R55" i="11" l="1"/>
  <c r="S30" i="16"/>
  <c r="T30" i="16" s="1"/>
  <c r="R30" i="11"/>
  <c r="S55" i="16"/>
  <c r="T55" i="16" s="1"/>
  <c r="H60" i="16"/>
  <c r="H65" i="16" s="1"/>
  <c r="H61" i="16" s="1"/>
  <c r="H56" i="16"/>
  <c r="J60" i="16"/>
  <c r="J65" i="16" s="1"/>
  <c r="J61" i="16" s="1"/>
  <c r="J56" i="16"/>
  <c r="R60" i="16"/>
  <c r="R65" i="16" s="1"/>
  <c r="R61" i="16" s="1"/>
  <c r="R56" i="16"/>
  <c r="P60" i="16"/>
  <c r="P65" i="16" s="1"/>
  <c r="P61" i="16" s="1"/>
  <c r="P56" i="16"/>
  <c r="L56" i="16"/>
  <c r="L60" i="16"/>
  <c r="L65" i="16" s="1"/>
  <c r="L61" i="16" s="1"/>
  <c r="G154" i="16"/>
  <c r="G149" i="16"/>
  <c r="S148" i="16"/>
  <c r="T148" i="16" s="1"/>
  <c r="G65" i="16"/>
  <c r="M154" i="16"/>
  <c r="M159" i="16" s="1"/>
  <c r="M155" i="16" s="1"/>
  <c r="M149" i="16"/>
  <c r="R65" i="11" l="1"/>
  <c r="R56" i="11"/>
  <c r="S56" i="16"/>
  <c r="T56" i="16" s="1"/>
  <c r="R60" i="11"/>
  <c r="S60" i="16"/>
  <c r="T60" i="16" s="1"/>
  <c r="G159" i="16"/>
  <c r="S154" i="16"/>
  <c r="T154" i="16" s="1"/>
  <c r="S65" i="16"/>
  <c r="T65" i="16" s="1"/>
  <c r="G61" i="16"/>
  <c r="S149" i="16"/>
  <c r="T149" i="16" s="1"/>
  <c r="S61" i="16" l="1"/>
  <c r="T61" i="16" s="1"/>
  <c r="R61" i="11"/>
  <c r="S159" i="16"/>
  <c r="T159" i="16" s="1"/>
  <c r="G155" i="16"/>
  <c r="S155" i="16" s="1"/>
  <c r="T155" i="16" s="1"/>
  <c r="H152" i="13" l="1"/>
  <c r="I152" i="13"/>
  <c r="J152" i="13"/>
  <c r="K152" i="13"/>
  <c r="L152" i="13"/>
  <c r="M152" i="13"/>
  <c r="N152" i="13"/>
  <c r="O152" i="13"/>
  <c r="P152" i="13"/>
  <c r="Q152" i="13"/>
  <c r="R152" i="13"/>
  <c r="H153" i="13" l="1"/>
  <c r="I153" i="13"/>
  <c r="J153" i="13"/>
  <c r="K153" i="13"/>
  <c r="L153" i="13"/>
  <c r="M153" i="13"/>
  <c r="N153" i="13"/>
  <c r="O153" i="13"/>
  <c r="P153" i="13"/>
  <c r="Q153" i="13"/>
  <c r="R153" i="13"/>
  <c r="G153" i="13"/>
  <c r="FF400" i="6"/>
  <c r="H132" i="13" l="1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G134" i="13"/>
  <c r="G133" i="13"/>
  <c r="G132" i="13"/>
  <c r="H136" i="13" l="1"/>
  <c r="I136" i="13"/>
  <c r="J136" i="13"/>
  <c r="K136" i="13"/>
  <c r="L136" i="13"/>
  <c r="M136" i="13"/>
  <c r="N136" i="13"/>
  <c r="O136" i="13"/>
  <c r="P136" i="13"/>
  <c r="Q136" i="13"/>
  <c r="R136" i="13"/>
  <c r="H144" i="13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H147" i="13"/>
  <c r="I147" i="13"/>
  <c r="J147" i="13"/>
  <c r="K147" i="13"/>
  <c r="L147" i="13"/>
  <c r="M147" i="13"/>
  <c r="N147" i="13"/>
  <c r="O147" i="13"/>
  <c r="P147" i="13"/>
  <c r="Q147" i="13"/>
  <c r="R147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38" i="13"/>
  <c r="G139" i="13"/>
  <c r="G140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5" i="13"/>
  <c r="I135" i="13"/>
  <c r="J135" i="13"/>
  <c r="K135" i="13"/>
  <c r="L135" i="13"/>
  <c r="M135" i="13"/>
  <c r="N135" i="13"/>
  <c r="O135" i="13"/>
  <c r="P135" i="13"/>
  <c r="Q135" i="13"/>
  <c r="R135" i="13"/>
  <c r="G145" i="13"/>
  <c r="G135" i="13"/>
  <c r="G141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G112" i="13"/>
  <c r="EU328" i="6" l="1"/>
  <c r="EV328" i="6"/>
  <c r="EW328" i="6"/>
  <c r="EX328" i="6"/>
  <c r="EY328" i="6"/>
  <c r="EZ328" i="6"/>
  <c r="FA328" i="6"/>
  <c r="FB328" i="6"/>
  <c r="FC328" i="6"/>
  <c r="FD328" i="6"/>
  <c r="FE328" i="6"/>
  <c r="ET328" i="6"/>
  <c r="FF328" i="6" s="1"/>
  <c r="EU401" i="6" l="1"/>
  <c r="EV401" i="6"/>
  <c r="EW401" i="6"/>
  <c r="EX401" i="6"/>
  <c r="EY401" i="6"/>
  <c r="EZ401" i="6"/>
  <c r="FA401" i="6"/>
  <c r="FB401" i="6"/>
  <c r="FC401" i="6"/>
  <c r="FD401" i="6"/>
  <c r="FE401" i="6"/>
  <c r="ET401" i="6"/>
  <c r="FF401" i="6" s="1"/>
  <c r="FF403" i="6"/>
  <c r="FF402" i="6"/>
  <c r="FF375" i="6"/>
  <c r="FF386" i="6"/>
  <c r="EU357" i="6"/>
  <c r="EV357" i="6"/>
  <c r="EW357" i="6"/>
  <c r="EX357" i="6"/>
  <c r="EY357" i="6"/>
  <c r="EZ357" i="6"/>
  <c r="FA357" i="6"/>
  <c r="FB357" i="6"/>
  <c r="FC357" i="6"/>
  <c r="FD357" i="6"/>
  <c r="FE357" i="6"/>
  <c r="ET357" i="6"/>
  <c r="FF357" i="6" s="1"/>
  <c r="FF368" i="6"/>
  <c r="FF358" i="6"/>
  <c r="FF353" i="6" l="1"/>
  <c r="FF351" i="6"/>
  <c r="FF343" i="6"/>
  <c r="FF337" i="6"/>
  <c r="FF329" i="6"/>
  <c r="FF376" i="6"/>
  <c r="FF318" i="6"/>
  <c r="FF314" i="6"/>
  <c r="FF310" i="6"/>
  <c r="FF307" i="6"/>
  <c r="FF303" i="6"/>
  <c r="FF293" i="6"/>
  <c r="FF286" i="6"/>
  <c r="FF278" i="6"/>
  <c r="FF272" i="6"/>
  <c r="H151" i="13" l="1"/>
  <c r="I151" i="13"/>
  <c r="J151" i="13"/>
  <c r="K151" i="13"/>
  <c r="L151" i="13"/>
  <c r="M151" i="13"/>
  <c r="N151" i="13"/>
  <c r="O151" i="13"/>
  <c r="P151" i="13"/>
  <c r="Q151" i="13"/>
  <c r="R151" i="13"/>
  <c r="G152" i="13"/>
  <c r="G151" i="13"/>
  <c r="G146" i="13"/>
  <c r="G147" i="13"/>
  <c r="G144" i="13"/>
  <c r="H142" i="13"/>
  <c r="I142" i="13"/>
  <c r="J142" i="13"/>
  <c r="K142" i="13"/>
  <c r="L142" i="13"/>
  <c r="M142" i="13"/>
  <c r="N142" i="13"/>
  <c r="O142" i="13"/>
  <c r="P142" i="13"/>
  <c r="Q142" i="13"/>
  <c r="R142" i="13"/>
  <c r="H143" i="13"/>
  <c r="I143" i="13"/>
  <c r="J143" i="13"/>
  <c r="K143" i="13"/>
  <c r="L143" i="13"/>
  <c r="M143" i="13"/>
  <c r="N143" i="13"/>
  <c r="O143" i="13"/>
  <c r="P143" i="13"/>
  <c r="Q143" i="13"/>
  <c r="R143" i="13"/>
  <c r="G143" i="13"/>
  <c r="G142" i="13"/>
  <c r="G137" i="13"/>
  <c r="G126" i="13"/>
  <c r="H118" i="13"/>
  <c r="I118" i="13"/>
  <c r="J118" i="13"/>
  <c r="K118" i="13"/>
  <c r="L118" i="13"/>
  <c r="M118" i="13"/>
  <c r="N118" i="13"/>
  <c r="O118" i="13"/>
  <c r="P118" i="13"/>
  <c r="Q118" i="13"/>
  <c r="R118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G120" i="13"/>
  <c r="G119" i="13"/>
  <c r="G118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L25" i="13"/>
  <c r="M60" i="11" l="1"/>
  <c r="L60" i="11"/>
  <c r="T60" i="11" l="1"/>
  <c r="S60" i="11"/>
  <c r="O60" i="11" l="1"/>
  <c r="Q60" i="11" l="1"/>
  <c r="P60" i="11"/>
  <c r="EE394" i="6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EI251" i="6"/>
  <c r="EJ251" i="6"/>
  <c r="EK251" i="6"/>
  <c r="EL251" i="6"/>
  <c r="EM251" i="6"/>
  <c r="EN251" i="6"/>
  <c r="EO251" i="6"/>
  <c r="EP251" i="6"/>
  <c r="EQ251" i="6"/>
  <c r="ER251" i="6"/>
  <c r="ES251" i="6"/>
  <c r="EH241" i="6"/>
  <c r="EI241" i="6"/>
  <c r="EJ241" i="6"/>
  <c r="EK241" i="6"/>
  <c r="EL241" i="6"/>
  <c r="EM241" i="6"/>
  <c r="EN241" i="6"/>
  <c r="EO241" i="6"/>
  <c r="EP241" i="6"/>
  <c r="EQ241" i="6"/>
  <c r="ER241" i="6"/>
  <c r="ES241" i="6"/>
  <c r="EH234" i="6"/>
  <c r="EI234" i="6"/>
  <c r="EJ234" i="6"/>
  <c r="EK234" i="6"/>
  <c r="EL234" i="6"/>
  <c r="EM234" i="6"/>
  <c r="EN234" i="6"/>
  <c r="EO234" i="6"/>
  <c r="EP234" i="6"/>
  <c r="EQ234" i="6"/>
  <c r="ER234" i="6"/>
  <c r="ES234" i="6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S147" i="13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12" i="11" l="1"/>
  <c r="H53" i="11"/>
  <c r="G15" i="11"/>
  <c r="G16" i="11"/>
  <c r="G19" i="11"/>
  <c r="G20" i="11"/>
  <c r="G21" i="11"/>
  <c r="G22" i="11"/>
  <c r="G23" i="11"/>
  <c r="G24" i="11"/>
  <c r="H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G65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H44" i="11"/>
  <c r="H45" i="11"/>
  <c r="H47" i="11"/>
  <c r="H51" i="11"/>
  <c r="R35" i="12"/>
  <c r="R19" i="12"/>
  <c r="L29" i="13" l="1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G31" i="11"/>
  <c r="G57" i="11"/>
  <c r="I29" i="13"/>
  <c r="I30" i="13" s="1"/>
  <c r="S144" i="13"/>
  <c r="T144" i="13" s="1"/>
  <c r="H50" i="11"/>
  <c r="G42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M125" i="13"/>
  <c r="G150" i="13"/>
  <c r="M105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0" i="11" l="1"/>
  <c r="N10" i="11"/>
  <c r="G123" i="13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G29" i="1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H10" i="11"/>
  <c r="O60" i="13"/>
  <c r="O65" i="13" s="1"/>
  <c r="O61" i="13" s="1"/>
  <c r="O56" i="13"/>
  <c r="J56" i="13"/>
  <c r="I60" i="13"/>
  <c r="I65" i="13" s="1"/>
  <c r="I61" i="13" s="1"/>
  <c r="G30" i="11"/>
  <c r="G55" i="1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S56" i="13"/>
  <c r="T56" i="13" s="1"/>
  <c r="G56" i="1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2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2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O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3" s="1"/>
  <c r="O8" i="3" s="1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M393" i="6" s="1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S357" i="6" s="1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 s="1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 s="1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 s="1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I8" i="9"/>
  <c r="I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0" i="9"/>
  <c r="B18" i="9"/>
  <c r="B17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 s="1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 s="1"/>
  <c r="A138" i="8"/>
  <c r="A127" i="8"/>
  <c r="B127" i="8" s="1"/>
  <c r="A126" i="8"/>
  <c r="A125" i="8"/>
  <c r="B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B120" i="4" s="1"/>
  <c r="A121" i="4"/>
  <c r="A122" i="4"/>
  <c r="B122" i="4" s="1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A146" i="4"/>
  <c r="A147" i="4"/>
  <c r="A151" i="4"/>
  <c r="A152" i="4"/>
  <c r="A153" i="4"/>
  <c r="A156" i="4"/>
  <c r="A157" i="4"/>
  <c r="A158" i="4"/>
  <c r="I100" i="4"/>
  <c r="I110" i="4" s="1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/>
  <c r="A137" i="4"/>
  <c r="A126" i="4"/>
  <c r="B126" i="4"/>
  <c r="A125" i="4"/>
  <c r="B125" i="4" s="1"/>
  <c r="A124" i="4"/>
  <c r="B124" i="4"/>
  <c r="A114" i="4"/>
  <c r="B114" i="4" s="1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B101" i="4"/>
  <c r="B64" i="4"/>
  <c r="B61" i="4"/>
  <c r="B60" i="4"/>
  <c r="B59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4" i="4"/>
  <c r="B23" i="4"/>
  <c r="B21" i="4"/>
  <c r="B19" i="4"/>
  <c r="B17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G100" i="10"/>
  <c r="A107" i="10"/>
  <c r="B107" i="10" s="1"/>
  <c r="A108" i="10"/>
  <c r="B108" i="10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 s="1"/>
  <c r="A143" i="10"/>
  <c r="A144" i="10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A154" i="10"/>
  <c r="B154" i="10" s="1"/>
  <c r="A153" i="10"/>
  <c r="B153" i="10"/>
  <c r="A149" i="10"/>
  <c r="B149" i="10" s="1"/>
  <c r="A148" i="10"/>
  <c r="B148" i="10"/>
  <c r="A147" i="10"/>
  <c r="B147" i="10" s="1"/>
  <c r="A136" i="10"/>
  <c r="A125" i="10"/>
  <c r="B125" i="10" s="1"/>
  <c r="A124" i="10"/>
  <c r="B124" i="10" s="1"/>
  <c r="A123" i="10"/>
  <c r="B123" i="10" s="1"/>
  <c r="A113" i="10"/>
  <c r="B113" i="10" s="1"/>
  <c r="B109" i="10"/>
  <c r="A105" i="10"/>
  <c r="B105" i="10" s="1"/>
  <c r="A104" i="10"/>
  <c r="B104" i="10"/>
  <c r="T102" i="10"/>
  <c r="Q8" i="10"/>
  <c r="Q102" i="10" s="1"/>
  <c r="P8" i="10"/>
  <c r="P102" i="10" s="1"/>
  <c r="N8" i="10"/>
  <c r="N102" i="10" s="1"/>
  <c r="M8" i="10"/>
  <c r="M102" i="10" s="1"/>
  <c r="L8" i="10"/>
  <c r="L102" i="10" s="1"/>
  <c r="J8" i="10"/>
  <c r="J102" i="10" s="1"/>
  <c r="I8" i="10"/>
  <c r="I102" i="10" s="1"/>
  <c r="H8" i="10"/>
  <c r="H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0" i="10"/>
  <c r="B39" i="10"/>
  <c r="B38" i="10"/>
  <c r="B37" i="10"/>
  <c r="B36" i="10"/>
  <c r="B35" i="10"/>
  <c r="B34" i="10"/>
  <c r="B33" i="10"/>
  <c r="B31" i="10"/>
  <c r="B30" i="10"/>
  <c r="B29" i="10"/>
  <c r="B28" i="10"/>
  <c r="B27" i="10"/>
  <c r="B26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19" i="10"/>
  <c r="B18" i="10"/>
  <c r="B17" i="10"/>
  <c r="B15" i="10"/>
  <c r="B14" i="10"/>
  <c r="B13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G8" i="3"/>
  <c r="N8" i="3" s="1"/>
  <c r="N7" i="3"/>
  <c r="R6" i="3"/>
  <c r="N6" i="3"/>
  <c r="O6" i="3" s="1"/>
  <c r="E4" i="3"/>
  <c r="E3" i="3"/>
  <c r="E2" i="3"/>
  <c r="B65" i="11"/>
  <c r="B63" i="11"/>
  <c r="B62" i="11"/>
  <c r="B61" i="11"/>
  <c r="B53" i="11"/>
  <c r="B59" i="11"/>
  <c r="B57" i="11"/>
  <c r="B56" i="11"/>
  <c r="B55" i="11"/>
  <c r="B54" i="11"/>
  <c r="B52" i="11"/>
  <c r="B51" i="11"/>
  <c r="B49" i="11"/>
  <c r="B48" i="11"/>
  <c r="B47" i="11"/>
  <c r="B46" i="11"/>
  <c r="B45" i="11"/>
  <c r="B44" i="11"/>
  <c r="B43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4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D22" i="1"/>
  <c r="H21" i="1"/>
  <c r="D17" i="1"/>
  <c r="D21" i="1" s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T18" i="4" s="1"/>
  <c r="S17" i="4"/>
  <c r="S15" i="4"/>
  <c r="S32" i="4"/>
  <c r="T32" i="4" s="1"/>
  <c r="S35" i="4"/>
  <c r="T35" i="4" s="1"/>
  <c r="S13" i="4"/>
  <c r="S39" i="4"/>
  <c r="B136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 s="1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T24" i="4" s="1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T144" i="8" s="1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 s="1"/>
  <c r="G143" i="9"/>
  <c r="K143" i="9"/>
  <c r="S31" i="4"/>
  <c r="T31" i="4" s="1"/>
  <c r="S57" i="4"/>
  <c r="T57" i="4" s="1"/>
  <c r="S65" i="4"/>
  <c r="T65" i="4" s="1"/>
  <c r="S64" i="4"/>
  <c r="T64" i="4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B157" i="4" l="1"/>
  <c r="B25" i="11"/>
  <c r="B41" i="11"/>
  <c r="B58" i="11"/>
  <c r="B66" i="11"/>
  <c r="B12" i="3"/>
  <c r="B16" i="3"/>
  <c r="B24" i="3"/>
  <c r="B65" i="3"/>
  <c r="B23" i="10"/>
  <c r="B63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4" i="10"/>
  <c r="G8" i="10"/>
  <c r="G102" i="10" s="1"/>
  <c r="K8" i="10"/>
  <c r="K102" i="10" s="1"/>
  <c r="O8" i="10"/>
  <c r="O102" i="10" s="1"/>
  <c r="B136" i="10"/>
  <c r="B157" i="10"/>
  <c r="B144" i="10"/>
  <c r="B106" i="10"/>
  <c r="B20" i="4"/>
  <c r="B25" i="4"/>
  <c r="B23" i="11"/>
  <c r="B64" i="11"/>
  <c r="B26" i="3"/>
  <c r="B42" i="3"/>
  <c r="B59" i="3"/>
  <c r="B67" i="3"/>
  <c r="B25" i="10"/>
  <c r="B41" i="10"/>
  <c r="B65" i="10"/>
  <c r="B158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N150" i="4"/>
  <c r="L143" i="9"/>
  <c r="Q143" i="9"/>
  <c r="M10" i="4"/>
  <c r="DD192" i="6" s="1"/>
  <c r="K10" i="4"/>
  <c r="DB192" i="6" s="1"/>
  <c r="I10" i="4"/>
  <c r="CZ192" i="6" s="1"/>
  <c r="G10" i="4"/>
  <c r="CX192" i="6" s="1"/>
  <c r="EE218" i="6"/>
  <c r="EA218" i="6"/>
  <c r="DW218" i="6"/>
  <c r="P8" i="3"/>
  <c r="S8" i="3" s="1"/>
  <c r="Q144" i="8"/>
  <c r="W144" i="8" s="1"/>
  <c r="X144" i="8" s="1"/>
  <c r="H107" i="8"/>
  <c r="H106" i="8" s="1"/>
  <c r="E251" i="2"/>
  <c r="N7" i="11"/>
  <c r="E2" i="13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H156" i="13"/>
  <c r="R156" i="13"/>
  <c r="M156" i="13"/>
  <c r="H157" i="13"/>
  <c r="R157" i="13"/>
  <c r="M157" i="13"/>
  <c r="H158" i="13"/>
  <c r="R158" i="13"/>
  <c r="M158" i="13"/>
  <c r="O156" i="13"/>
  <c r="I156" i="13"/>
  <c r="O157" i="13"/>
  <c r="I157" i="13"/>
  <c r="N158" i="13"/>
  <c r="P156" i="13"/>
  <c r="J156" i="13"/>
  <c r="P157" i="13"/>
  <c r="P158" i="13"/>
  <c r="N156" i="13"/>
  <c r="N157" i="13"/>
  <c r="O158" i="13"/>
  <c r="I158" i="13"/>
  <c r="J157" i="13"/>
  <c r="J158" i="13"/>
  <c r="I123" i="13"/>
  <c r="K156" i="13"/>
  <c r="K157" i="13"/>
  <c r="K158" i="13"/>
  <c r="Q123" i="13"/>
  <c r="L156" i="13"/>
  <c r="G156" i="13"/>
  <c r="O63" i="11" s="1"/>
  <c r="Q156" i="13"/>
  <c r="L157" i="13"/>
  <c r="G157" i="13"/>
  <c r="O64" i="11" s="1"/>
  <c r="Q157" i="13"/>
  <c r="L158" i="13"/>
  <c r="G158" i="13"/>
  <c r="O65" i="11" s="1"/>
  <c r="Q158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L42" i="4"/>
  <c r="L29" i="4" s="1"/>
  <c r="DC193" i="6" s="1"/>
  <c r="J42" i="4"/>
  <c r="J29" i="4" s="1"/>
  <c r="J30" i="4" s="1"/>
  <c r="I42" i="4"/>
  <c r="I29" i="4" s="1"/>
  <c r="CZ193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48" i="11"/>
  <c r="O52" i="11"/>
  <c r="O13" i="11"/>
  <c r="O17" i="11"/>
  <c r="O21" i="11"/>
  <c r="O25" i="11"/>
  <c r="O33" i="11"/>
  <c r="O37" i="11"/>
  <c r="O41" i="11"/>
  <c r="O45" i="11"/>
  <c r="O49" i="11"/>
  <c r="O11" i="11"/>
  <c r="O19" i="11"/>
  <c r="O23" i="11"/>
  <c r="O31" i="11"/>
  <c r="O39" i="11"/>
  <c r="O47" i="11"/>
  <c r="O59" i="11"/>
  <c r="O14" i="11"/>
  <c r="O18" i="11"/>
  <c r="O22" i="11"/>
  <c r="O26" i="11"/>
  <c r="O34" i="11"/>
  <c r="O38" i="11"/>
  <c r="O42" i="11"/>
  <c r="O46" i="11"/>
  <c r="O50" i="11"/>
  <c r="O58" i="11"/>
  <c r="O10" i="11"/>
  <c r="O15" i="11"/>
  <c r="O27" i="11"/>
  <c r="O35" i="11"/>
  <c r="O43" i="11"/>
  <c r="O51" i="11"/>
  <c r="O42" i="12"/>
  <c r="H149" i="10"/>
  <c r="M105" i="10"/>
  <c r="S142" i="12"/>
  <c r="T142" i="12" s="1"/>
  <c r="N13" i="11"/>
  <c r="N17" i="11"/>
  <c r="N21" i="11"/>
  <c r="N25" i="11"/>
  <c r="N29" i="11"/>
  <c r="N33" i="11"/>
  <c r="N37" i="11"/>
  <c r="N41" i="11"/>
  <c r="N45" i="11"/>
  <c r="N49" i="11"/>
  <c r="N53" i="11"/>
  <c r="N57" i="11"/>
  <c r="N66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3" i="11"/>
  <c r="N12" i="11"/>
  <c r="N16" i="11"/>
  <c r="N20" i="11"/>
  <c r="N24" i="11"/>
  <c r="N28" i="11"/>
  <c r="N32" i="11"/>
  <c r="N36" i="11"/>
  <c r="N44" i="11"/>
  <c r="N48" i="11"/>
  <c r="N56" i="11"/>
  <c r="N65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40" i="11"/>
  <c r="N52" i="11"/>
  <c r="N61" i="11"/>
  <c r="S144" i="12"/>
  <c r="T144" i="12" s="1"/>
  <c r="K34" i="11"/>
  <c r="K22" i="11"/>
  <c r="L22" i="11" s="1"/>
  <c r="K16" i="11"/>
  <c r="M16" i="11" s="1"/>
  <c r="K39" i="11"/>
  <c r="L39" i="11" s="1"/>
  <c r="K65" i="11"/>
  <c r="K44" i="11"/>
  <c r="L44" i="11" s="1"/>
  <c r="K48" i="11"/>
  <c r="M48" i="11" s="1"/>
  <c r="K43" i="11"/>
  <c r="L43" i="11" s="1"/>
  <c r="K37" i="11"/>
  <c r="M37" i="11" s="1"/>
  <c r="K54" i="11"/>
  <c r="L54" i="11" s="1"/>
  <c r="K24" i="11"/>
  <c r="L24" i="11" s="1"/>
  <c r="K26" i="11"/>
  <c r="M26" i="11" s="1"/>
  <c r="K41" i="11"/>
  <c r="L41" i="11" s="1"/>
  <c r="K27" i="11"/>
  <c r="M27" i="11" s="1"/>
  <c r="K14" i="11"/>
  <c r="M14" i="11" s="1"/>
  <c r="K33" i="11"/>
  <c r="M33" i="11" s="1"/>
  <c r="K20" i="11"/>
  <c r="L20" i="11" s="1"/>
  <c r="K38" i="11"/>
  <c r="M38" i="11" s="1"/>
  <c r="K52" i="11"/>
  <c r="K51" i="11"/>
  <c r="K35" i="11"/>
  <c r="M35" i="11" s="1"/>
  <c r="K64" i="11"/>
  <c r="M64" i="11" s="1"/>
  <c r="K25" i="11"/>
  <c r="L25" i="11" s="1"/>
  <c r="K49" i="11"/>
  <c r="L49" i="11" s="1"/>
  <c r="K21" i="11"/>
  <c r="M21" i="11" s="1"/>
  <c r="K18" i="11"/>
  <c r="M18" i="11" s="1"/>
  <c r="K13" i="11"/>
  <c r="L13" i="11" s="1"/>
  <c r="K28" i="11"/>
  <c r="L28" i="11" s="1"/>
  <c r="K23" i="11"/>
  <c r="M23" i="11" s="1"/>
  <c r="K50" i="11"/>
  <c r="M50" i="11" s="1"/>
  <c r="K46" i="11"/>
  <c r="L46" i="11" s="1"/>
  <c r="K19" i="11"/>
  <c r="M19" i="11" s="1"/>
  <c r="K32" i="11"/>
  <c r="L32" i="11" s="1"/>
  <c r="K45" i="11"/>
  <c r="M45" i="11" s="1"/>
  <c r="K40" i="11"/>
  <c r="M40" i="11" s="1"/>
  <c r="K36" i="11"/>
  <c r="K59" i="11"/>
  <c r="M59" i="11" s="1"/>
  <c r="K17" i="11"/>
  <c r="M17" i="11" s="1"/>
  <c r="K12" i="11"/>
  <c r="L12" i="11" s="1"/>
  <c r="K53" i="11"/>
  <c r="L53" i="11" s="1"/>
  <c r="K58" i="11"/>
  <c r="L58" i="11" s="1"/>
  <c r="K47" i="11"/>
  <c r="K15" i="11"/>
  <c r="L15" i="11" s="1"/>
  <c r="K63" i="11"/>
  <c r="L63" i="11" s="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B7" i="11" s="1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W107" i="8" l="1"/>
  <c r="X107" i="8" s="1"/>
  <c r="L30" i="9"/>
  <c r="L54" i="9" s="1"/>
  <c r="L60" i="9" s="1"/>
  <c r="L65" i="9" s="1"/>
  <c r="L61" i="9" s="1"/>
  <c r="T30" i="8"/>
  <c r="T56" i="8" s="1"/>
  <c r="T57" i="8" s="1"/>
  <c r="S30" i="8"/>
  <c r="CU193" i="6" s="1"/>
  <c r="DD194" i="6"/>
  <c r="CZ194" i="6"/>
  <c r="S143" i="9"/>
  <c r="T143" i="9" s="1"/>
  <c r="CX194" i="6"/>
  <c r="DC194" i="6"/>
  <c r="H58" i="11"/>
  <c r="H59" i="11"/>
  <c r="I59" i="11" s="1"/>
  <c r="H60" i="11"/>
  <c r="H123" i="13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O29" i="1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K11" i="11"/>
  <c r="L11" i="11" s="1"/>
  <c r="M30" i="4"/>
  <c r="S29" i="4"/>
  <c r="T29" i="4" s="1"/>
  <c r="L124" i="9"/>
  <c r="L125" i="9" s="1"/>
  <c r="K105" i="8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Q63" i="11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65" i="11"/>
  <c r="Q16" i="11"/>
  <c r="S19" i="11"/>
  <c r="T16" i="11"/>
  <c r="S41" i="11"/>
  <c r="Q41" i="11"/>
  <c r="S61" i="13"/>
  <c r="T61" i="13" s="1"/>
  <c r="G62" i="11"/>
  <c r="N62" i="11"/>
  <c r="K42" i="11"/>
  <c r="M42" i="11" s="1"/>
  <c r="T57" i="11"/>
  <c r="K57" i="11"/>
  <c r="M57" i="11" s="1"/>
  <c r="S31" i="11"/>
  <c r="K31" i="11"/>
  <c r="M31" i="11" s="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Q58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S11" i="1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P49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P58" i="11"/>
  <c r="S17" i="11"/>
  <c r="T17" i="11"/>
  <c r="Q47" i="11"/>
  <c r="S24" i="11"/>
  <c r="P65" i="11"/>
  <c r="S48" i="11"/>
  <c r="P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Q64" i="11"/>
  <c r="W127" i="8"/>
  <c r="X127" i="8" s="1"/>
  <c r="Q35" i="11"/>
  <c r="P59" i="11"/>
  <c r="K124" i="4"/>
  <c r="K125" i="4" s="1"/>
  <c r="P53" i="11"/>
  <c r="S53" i="11"/>
  <c r="J18" i="11"/>
  <c r="T37" i="11"/>
  <c r="G124" i="4"/>
  <c r="G125" i="4" s="1"/>
  <c r="P64" i="1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G104" i="10"/>
  <c r="I53" i="11"/>
  <c r="M41" i="11"/>
  <c r="S150" i="4"/>
  <c r="T150" i="4" s="1"/>
  <c r="P40" i="11"/>
  <c r="P43" i="11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T11" i="11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S56" i="8" l="1"/>
  <c r="S61" i="8" s="1"/>
  <c r="S66" i="8" s="1"/>
  <c r="S62" i="8" s="1"/>
  <c r="S31" i="8"/>
  <c r="CV193" i="6"/>
  <c r="T31" i="8"/>
  <c r="K149" i="8"/>
  <c r="K155" i="8" s="1"/>
  <c r="K160" i="8" s="1"/>
  <c r="K156" i="8" s="1"/>
  <c r="H29" i="11"/>
  <c r="I60" i="11"/>
  <c r="J60" i="11"/>
  <c r="O57" i="11"/>
  <c r="P57" i="11" s="1"/>
  <c r="H57" i="11"/>
  <c r="J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H56" i="11"/>
  <c r="S150" i="13"/>
  <c r="T150" i="13" s="1"/>
  <c r="L124" i="13"/>
  <c r="L148" i="13"/>
  <c r="P124" i="13"/>
  <c r="P148" i="13"/>
  <c r="H124" i="13"/>
  <c r="O30" i="11" s="1"/>
  <c r="P30" i="11" s="1"/>
  <c r="H148" i="13"/>
  <c r="O55" i="11" s="1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K10" i="11"/>
  <c r="M10" i="11" s="1"/>
  <c r="S10" i="11"/>
  <c r="G30" i="12"/>
  <c r="K29" i="11"/>
  <c r="S29" i="11"/>
  <c r="G252" i="2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CU194" i="6"/>
  <c r="S123" i="10"/>
  <c r="T123" i="10" s="1"/>
  <c r="I147" i="10"/>
  <c r="I153" i="10" s="1"/>
  <c r="I158" i="10" s="1"/>
  <c r="I154" i="10" s="1"/>
  <c r="P29" i="1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I57" i="11" l="1"/>
  <c r="K150" i="8"/>
  <c r="G155" i="8"/>
  <c r="W155" i="8" s="1"/>
  <c r="X155" i="8" s="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O56" i="11" s="1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S55" i="11"/>
  <c r="K55" i="11"/>
  <c r="M55" i="11" s="1"/>
  <c r="K30" i="11"/>
  <c r="L30" i="11" s="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S124" i="10"/>
  <c r="T124" i="10" s="1"/>
  <c r="Q30" i="1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Q55" i="1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G160" i="8" l="1"/>
  <c r="W160" i="8" s="1"/>
  <c r="X160" i="8" s="1"/>
  <c r="O61" i="11"/>
  <c r="Q61" i="11" s="1"/>
  <c r="H61" i="11"/>
  <c r="H55" i="11"/>
  <c r="I55" i="11" s="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K56" i="11"/>
  <c r="L56" i="11" s="1"/>
  <c r="G65" i="12"/>
  <c r="S61" i="11"/>
  <c r="K61" i="11"/>
  <c r="L61" i="11" s="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P56" i="11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K66" i="11"/>
  <c r="L66" i="11" s="1"/>
  <c r="S66" i="1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K62" i="11"/>
  <c r="M62" i="11" s="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comments1.xml><?xml version="1.0" encoding="utf-8"?>
<comments xmlns="http://schemas.openxmlformats.org/spreadsheetml/2006/main">
  <authors>
    <author>Tatjana Minic</author>
  </authors>
  <commentList>
    <comment ref="S152" authorId="0" shapeId="0">
      <text>
        <r>
          <rPr>
            <b/>
            <sz val="9"/>
            <color indexed="81"/>
            <rFont val="Tahoma"/>
            <family val="2"/>
            <charset val="238"/>
          </rPr>
          <t>Tatjana Minic:</t>
        </r>
        <r>
          <rPr>
            <sz val="9"/>
            <color indexed="81"/>
            <rFont val="Tahoma"/>
            <family val="2"/>
            <charset val="238"/>
          </rPr>
          <t xml:space="preserve">
kursna razlika</t>
        </r>
      </text>
    </comment>
  </commentList>
</comments>
</file>

<file path=xl/sharedStrings.xml><?xml version="1.0" encoding="utf-8"?>
<sst xmlns="http://schemas.openxmlformats.org/spreadsheetml/2006/main" count="1535" uniqueCount="778">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</sst>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color rgb="FF000000"/>
      <name val="Tahoma"/>
      <family val="2"/>
    </font>
    <font>
      <sz val="9"/>
      <color theme="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72" fillId="4" borderId="0" xfId="0" applyFont="1" applyFill="1"/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3" fillId="2" borderId="19" xfId="0" applyNumberFormat="1" applyFont="1" applyFill="1" applyBorder="1" applyAlignment="1">
      <alignment vertical="center"/>
    </xf>
    <xf numFmtId="4" fontId="73" fillId="2" borderId="0" xfId="0" applyNumberFormat="1" applyFont="1" applyFill="1" applyBorder="1" applyAlignment="1">
      <alignment vertical="center"/>
    </xf>
    <xf numFmtId="4" fontId="73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7" fillId="2" borderId="0" xfId="0" applyNumberFormat="1" applyFont="1" applyFill="1" applyAlignment="1">
      <alignment horizontal="right" vertical="center" wrapText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Budget realization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Total Revenues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69856"/>
        <c:axId val="84171392"/>
      </c:lineChart>
      <c:catAx>
        <c:axId val="84169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84171392"/>
        <c:crosses val="autoZero"/>
        <c:auto val="1"/>
        <c:lblAlgn val="ctr"/>
        <c:lblOffset val="100"/>
        <c:tickLblSkip val="3"/>
        <c:noMultiLvlLbl val="0"/>
      </c:catAx>
      <c:valAx>
        <c:axId val="84171392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416985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Surplus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59008"/>
        <c:axId val="85660800"/>
      </c:lineChart>
      <c:catAx>
        <c:axId val="8565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85660800"/>
        <c:crosses val="autoZero"/>
        <c:auto val="1"/>
        <c:lblAlgn val="ctr"/>
        <c:lblOffset val="100"/>
        <c:tickLblSkip val="3"/>
        <c:noMultiLvlLbl val="0"/>
      </c:catAx>
      <c:valAx>
        <c:axId val="85660800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565900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733425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</a:t>
          </a:r>
          <a:r>
            <a:rPr lang="sr-Latn-ME" sz="1100"/>
            <a:t>etodological</a:t>
          </a:r>
          <a:r>
            <a:rPr lang="sr-Latn-ME" sz="1100" baseline="0"/>
            <a:t> remarks</a:t>
          </a:r>
          <a:r>
            <a:rPr lang="x-none" sz="1100"/>
            <a:t>:</a:t>
          </a:r>
          <a:r>
            <a:rPr lang="sr-Latn-RS" sz="1100"/>
            <a:t>  Data on categories "Gross salaries and contributions</a:t>
          </a:r>
          <a:r>
            <a:rPr lang="sr-Latn-RS" sz="1100" baseline="0"/>
            <a:t>" i "Pension and disability insurance" have been got on the basis of accrual adjustment, while other categories are in cash.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/>
            <a:t>Contact</a:t>
          </a:r>
          <a:r>
            <a:rPr lang="en-US"/>
            <a:t>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19</xdr:col>
      <xdr:colOff>203860</xdr:colOff>
      <xdr:row>2</xdr:row>
      <xdr:rowOff>0</xdr:rowOff>
    </xdr:from>
    <xdr:to>
      <xdr:col>22</xdr:col>
      <xdr:colOff>279163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22</xdr:col>
      <xdr:colOff>450613</xdr:colOff>
      <xdr:row>0</xdr:row>
      <xdr:rowOff>95249</xdr:rowOff>
    </xdr:from>
    <xdr:to>
      <xdr:col>25</xdr:col>
      <xdr:colOff>392930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/>
        </a:p>
      </xdr:txBody>
    </xdr:sp>
    <xdr:clientData/>
  </xdr:twoCellAnchor>
  <xdr:twoCellAnchor editAs="absolute">
    <xdr:from>
      <xdr:col>22</xdr:col>
      <xdr:colOff>450613</xdr:colOff>
      <xdr:row>2</xdr:row>
      <xdr:rowOff>9525</xdr:rowOff>
    </xdr:from>
    <xdr:to>
      <xdr:col>25</xdr:col>
      <xdr:colOff>392930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22</xdr:col>
      <xdr:colOff>445600</xdr:colOff>
      <xdr:row>3</xdr:row>
      <xdr:rowOff>131618</xdr:rowOff>
    </xdr:from>
    <xdr:to>
      <xdr:col>25</xdr:col>
      <xdr:colOff>387917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25</xdr:col>
      <xdr:colOff>574130</xdr:colOff>
      <xdr:row>0</xdr:row>
      <xdr:rowOff>95250</xdr:rowOff>
    </xdr:from>
    <xdr:to>
      <xdr:col>28</xdr:col>
      <xdr:colOff>555720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25</xdr:col>
      <xdr:colOff>574130</xdr:colOff>
      <xdr:row>2</xdr:row>
      <xdr:rowOff>0</xdr:rowOff>
    </xdr:from>
    <xdr:to>
      <xdr:col>28</xdr:col>
      <xdr:colOff>555720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25</xdr:col>
      <xdr:colOff>575861</xdr:colOff>
      <xdr:row>3</xdr:row>
      <xdr:rowOff>104775</xdr:rowOff>
    </xdr:from>
    <xdr:to>
      <xdr:col>28</xdr:col>
      <xdr:colOff>557451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280445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289970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282350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70895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80420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72800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 t="str">
            <v/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 t="str">
            <v/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1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2018-01</v>
      </c>
      <c r="O6" s="169" t="str">
        <f>+CONCATENATE(N6,"p")</f>
        <v>2018-01p</v>
      </c>
      <c r="P6" s="153"/>
      <c r="Q6" s="153"/>
      <c r="R6" s="169" t="str">
        <f>+IF(Master!B3-10&gt;=0,CONCATENATE(Master!B4-1,"-",Master!B3),CONCATENATE(Master!B4-1,"-0",Master!B3))</f>
        <v>2017-01</v>
      </c>
      <c r="S6" s="153"/>
      <c r="T6" s="153"/>
    </row>
    <row r="7" spans="1:20">
      <c r="A7" s="170"/>
      <c r="B7" s="432" t="s">
        <v>709</v>
      </c>
      <c r="C7" s="433"/>
      <c r="D7" s="433"/>
      <c r="E7" s="433"/>
      <c r="F7" s="433"/>
      <c r="G7" s="441" t="s">
        <v>707</v>
      </c>
      <c r="H7" s="442"/>
      <c r="I7" s="442"/>
      <c r="J7" s="442"/>
      <c r="K7" s="442"/>
      <c r="L7" s="442"/>
      <c r="M7" s="443"/>
      <c r="N7" s="444" t="str">
        <f>+Master!G240</f>
        <v>December</v>
      </c>
      <c r="O7" s="442"/>
      <c r="P7" s="442"/>
      <c r="Q7" s="442"/>
      <c r="R7" s="442"/>
      <c r="S7" s="442"/>
      <c r="T7" s="445"/>
    </row>
    <row r="8" spans="1:20">
      <c r="A8" s="170"/>
      <c r="B8" s="434"/>
      <c r="C8" s="435"/>
      <c r="D8" s="435"/>
      <c r="E8" s="435"/>
      <c r="F8" s="436"/>
      <c r="G8" s="171" t="str">
        <f>+Master!G21</f>
        <v>Execution</v>
      </c>
      <c r="H8" s="171" t="str">
        <f>+Master!G20</f>
        <v>Plan</v>
      </c>
      <c r="I8" s="428" t="str">
        <f>+Master!G258</f>
        <v>Deviation</v>
      </c>
      <c r="J8" s="428"/>
      <c r="K8" s="171" t="str">
        <f>+CONCATENATE(Master!G243," ",Master!B4-1)</f>
        <v>Jan - Jan 2017</v>
      </c>
      <c r="L8" s="428" t="str">
        <f>+I8</f>
        <v>Deviation</v>
      </c>
      <c r="M8" s="440"/>
      <c r="N8" s="172" t="str">
        <f>+G8</f>
        <v>Execution</v>
      </c>
      <c r="O8" s="171" t="str">
        <f>+H8</f>
        <v>Plan</v>
      </c>
      <c r="P8" s="428" t="str">
        <f>+I8</f>
        <v>Deviation</v>
      </c>
      <c r="Q8" s="428"/>
      <c r="R8" s="171" t="str">
        <f>+CONCATENATE(Master!G242," ",Master!B4-1)</f>
        <v>January 2017</v>
      </c>
      <c r="S8" s="428" t="str">
        <f>+P8</f>
        <v>Deviation</v>
      </c>
      <c r="T8" s="429"/>
    </row>
    <row r="9" spans="1:20" ht="15.7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62" t="e">
        <f>+VLOOKUP($A18,Master!$D$25:$G$223,4,FALSE)</f>
        <v>#N/A</v>
      </c>
      <c r="C18" s="463"/>
      <c r="D18" s="463"/>
      <c r="E18" s="463"/>
      <c r="F18" s="463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62" t="str">
        <f>+VLOOKUP($A19,Master!$D$25:$G$223,4,FALSE)</f>
        <v>Other Republic Taxes</v>
      </c>
      <c r="C19" s="463"/>
      <c r="D19" s="463"/>
      <c r="E19" s="463"/>
      <c r="F19" s="463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72" t="str">
        <f>+VLOOKUP($A20,Master!$D$25:$G$223,4,FALSE)</f>
        <v>Contributions</v>
      </c>
      <c r="C20" s="473"/>
      <c r="D20" s="473"/>
      <c r="E20" s="473"/>
      <c r="F20" s="473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62" t="str">
        <f>+VLOOKUP($A21,Master!$D$25:$G$223,4,FALSE)</f>
        <v>Contributions for Pension and Disability Insurance</v>
      </c>
      <c r="C21" s="463"/>
      <c r="D21" s="463"/>
      <c r="E21" s="463"/>
      <c r="F21" s="463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62" t="str">
        <f>+VLOOKUP($A22,Master!$D$25:$G$223,4,FALSE)</f>
        <v>Contributions for Health Insurance</v>
      </c>
      <c r="C22" s="463"/>
      <c r="D22" s="463"/>
      <c r="E22" s="463"/>
      <c r="F22" s="463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62" t="str">
        <f>+VLOOKUP($A23,Master!$D$25:$G$223,4,FALSE)</f>
        <v>Contributions for  Unemployment Insurance</v>
      </c>
      <c r="C23" s="463"/>
      <c r="D23" s="463"/>
      <c r="E23" s="463"/>
      <c r="F23" s="463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62" t="str">
        <f>+VLOOKUP($A24,Master!$D$25:$G$223,4,FALSE)</f>
        <v>Other contributions</v>
      </c>
      <c r="C24" s="463"/>
      <c r="D24" s="463"/>
      <c r="E24" s="463"/>
      <c r="F24" s="463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64" t="str">
        <f>+VLOOKUP($A25,Master!$D$25:$G$223,4,FALSE)</f>
        <v>Duties</v>
      </c>
      <c r="C25" s="465"/>
      <c r="D25" s="465"/>
      <c r="E25" s="465"/>
      <c r="F25" s="465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64" t="str">
        <f>+VLOOKUP($A26,Master!$D$25:$G$223,4,FALSE)</f>
        <v>Fees</v>
      </c>
      <c r="C26" s="465"/>
      <c r="D26" s="465"/>
      <c r="E26" s="465"/>
      <c r="F26" s="465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64" t="str">
        <f>+VLOOKUP($A27,Master!$D$25:$G$223,4,FALSE)</f>
        <v>Other revenues</v>
      </c>
      <c r="C27" s="465"/>
      <c r="D27" s="465"/>
      <c r="E27" s="465"/>
      <c r="F27" s="465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64" t="str">
        <f>+VLOOKUP($A28,Master!$D$25:$G$223,4,FALSE)</f>
        <v>Receipts from Repayment of Loans and Funds Carried over from Previous Year</v>
      </c>
      <c r="C28" s="465"/>
      <c r="D28" s="465"/>
      <c r="E28" s="465"/>
      <c r="F28" s="465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66" t="str">
        <f>+VLOOKUP($A29,Master!$D$25:$G$223,4,FALSE)</f>
        <v>Grants and Transfers</v>
      </c>
      <c r="C29" s="467"/>
      <c r="D29" s="467"/>
      <c r="E29" s="467"/>
      <c r="F29" s="467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52" t="str">
        <f>+VLOOKUP($A30,Master!$D$25:$G$223,4,FALSE)</f>
        <v>Total Expenditures</v>
      </c>
      <c r="C30" s="453"/>
      <c r="D30" s="453"/>
      <c r="E30" s="453"/>
      <c r="F30" s="453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68" t="str">
        <f>+VLOOKUP($A31,Master!$D$25:$G$223,4,FALSE)</f>
        <v>Current Expenditures</v>
      </c>
      <c r="C31" s="469"/>
      <c r="D31" s="469"/>
      <c r="E31" s="469"/>
      <c r="F31" s="469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70" t="str">
        <f>+VLOOKUP($A32,Master!$D$25:$G$223,4,FALSE)</f>
        <v>Current Budgetary Expenditures</v>
      </c>
      <c r="C32" s="471"/>
      <c r="D32" s="471"/>
      <c r="E32" s="471"/>
      <c r="F32" s="471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62" t="str">
        <f>+VLOOKUP($A33,Master!$D$25:$G$223,4,FALSE)</f>
        <v>Gross Salaries and Contributions</v>
      </c>
      <c r="C33" s="463"/>
      <c r="D33" s="463"/>
      <c r="E33" s="463"/>
      <c r="F33" s="463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62" t="str">
        <f>+VLOOKUP($A34,Master!$D$25:$G$223,4,FALSE)</f>
        <v>Other Personal Income</v>
      </c>
      <c r="C34" s="463"/>
      <c r="D34" s="463"/>
      <c r="E34" s="463"/>
      <c r="F34" s="463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62" t="str">
        <f>+VLOOKUP($A35,Master!$D$25:$G$223,4,FALSE)</f>
        <v>Expenditures for Supplies</v>
      </c>
      <c r="C35" s="463"/>
      <c r="D35" s="463"/>
      <c r="E35" s="463"/>
      <c r="F35" s="463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62" t="str">
        <f>+VLOOKUP($A36,Master!$D$25:$G$223,4,FALSE)</f>
        <v>Expenditures for Services</v>
      </c>
      <c r="C36" s="463"/>
      <c r="D36" s="463"/>
      <c r="E36" s="463"/>
      <c r="F36" s="463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62" t="str">
        <f>+VLOOKUP($A37,Master!$D$25:$G$223,4,FALSE)</f>
        <v>Current Maintenance</v>
      </c>
      <c r="C37" s="463"/>
      <c r="D37" s="463"/>
      <c r="E37" s="463"/>
      <c r="F37" s="463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62" t="str">
        <f>+VLOOKUP($A38,Master!$D$25:$G$223,4,FALSE)</f>
        <v>Interests</v>
      </c>
      <c r="C38" s="463"/>
      <c r="D38" s="463"/>
      <c r="E38" s="463"/>
      <c r="F38" s="463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62" t="str">
        <f>+VLOOKUP($A39,Master!$D$25:$G$223,4,FALSE)</f>
        <v>Rent</v>
      </c>
      <c r="C39" s="463"/>
      <c r="D39" s="463"/>
      <c r="E39" s="463"/>
      <c r="F39" s="463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62" t="str">
        <f>+VLOOKUP($A40,Master!$D$25:$G$223,4,FALSE)</f>
        <v>Subsidies</v>
      </c>
      <c r="C40" s="463"/>
      <c r="D40" s="463"/>
      <c r="E40" s="463"/>
      <c r="F40" s="463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62" t="str">
        <f>+VLOOKUP($A41,Master!$D$25:$G$223,4,FALSE)</f>
        <v>Other expenditures</v>
      </c>
      <c r="C41" s="463"/>
      <c r="D41" s="463"/>
      <c r="E41" s="463"/>
      <c r="F41" s="463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62" t="str">
        <f>+VLOOKUP($A42,Master!$D$25:$G$223,4,FALSE)</f>
        <v>Current Capital Expenditure</v>
      </c>
      <c r="C42" s="463"/>
      <c r="D42" s="463"/>
      <c r="E42" s="463"/>
      <c r="F42" s="463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58" t="str">
        <f>+VLOOKUP($A43,Master!$D$25:$G$223,4,FALSE)</f>
        <v>Social Security Transfers</v>
      </c>
      <c r="C43" s="459"/>
      <c r="D43" s="459"/>
      <c r="E43" s="459"/>
      <c r="F43" s="459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62" t="str">
        <f>+VLOOKUP($A44,Master!$D$25:$G$223,4,FALSE)</f>
        <v>Social Security</v>
      </c>
      <c r="C44" s="463"/>
      <c r="D44" s="463"/>
      <c r="E44" s="463"/>
      <c r="F44" s="463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62" t="str">
        <f>+VLOOKUP($A45,Master!$D$25:$G$223,4,FALSE)</f>
        <v>Funds for redundant labor</v>
      </c>
      <c r="C45" s="463"/>
      <c r="D45" s="463"/>
      <c r="E45" s="463"/>
      <c r="F45" s="463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62" t="str">
        <f>+VLOOKUP($A46,Master!$D$25:$G$223,4,FALSE)</f>
        <v>Pension and Disability Insurance</v>
      </c>
      <c r="C46" s="463"/>
      <c r="D46" s="463"/>
      <c r="E46" s="463"/>
      <c r="F46" s="463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62" t="str">
        <f>+VLOOKUP($A47,Master!$D$25:$G$223,4,FALSE)</f>
        <v>Other Health Care Transfers</v>
      </c>
      <c r="C47" s="463"/>
      <c r="D47" s="463"/>
      <c r="E47" s="463"/>
      <c r="F47" s="463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62" t="str">
        <f>+VLOOKUP($A48,Master!$D$25:$G$223,4,FALSE)</f>
        <v>Other Health Care Insurance</v>
      </c>
      <c r="C48" s="463"/>
      <c r="D48" s="463"/>
      <c r="E48" s="463"/>
      <c r="F48" s="463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60" t="str">
        <f>+VLOOKUP($A49,Master!$D$25:$G$223,4,FALSE)</f>
        <v xml:space="preserve">Transfers to Institutions, Individuals, NGO and Public Sector </v>
      </c>
      <c r="C49" s="461"/>
      <c r="D49" s="461"/>
      <c r="E49" s="461"/>
      <c r="F49" s="461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60" t="str">
        <f>+VLOOKUP($A50,Master!$D$25:$G$223,4,FALSE)</f>
        <v>Capital Expenditure</v>
      </c>
      <c r="C50" s="461"/>
      <c r="D50" s="461"/>
      <c r="E50" s="461"/>
      <c r="F50" s="461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30" t="str">
        <f>+VLOOKUP($A51,Master!$D$25:$G$223,4,FALSE)</f>
        <v>Credits and Borrowings</v>
      </c>
      <c r="C51" s="431"/>
      <c r="D51" s="431"/>
      <c r="E51" s="431"/>
      <c r="F51" s="431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30" t="str">
        <f>+VLOOKUP($A52,Master!$D$25:$G$223,4,FALSE)</f>
        <v>Reserves</v>
      </c>
      <c r="C52" s="431"/>
      <c r="D52" s="431"/>
      <c r="E52" s="431"/>
      <c r="F52" s="431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48" t="str">
        <f>+VLOOKUP($A53,Master!$D$25:$G$223,4,FALSE)</f>
        <v>Repayment of Guarantees</v>
      </c>
      <c r="C53" s="449"/>
      <c r="D53" s="449"/>
      <c r="E53" s="449"/>
      <c r="F53" s="449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48" t="str">
        <f>+VLOOKUP($A54,Master!$D$25:$G$223,4,FALSE)</f>
        <v>Repayments of Arrears</v>
      </c>
      <c r="C54" s="449"/>
      <c r="D54" s="449"/>
      <c r="E54" s="449"/>
      <c r="F54" s="449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48" t="str">
        <f>+VLOOKUP($A55,Master!$D$25:$G$225,4,FALSE)</f>
        <v>Net increase of liabilities</v>
      </c>
      <c r="C55" s="449"/>
      <c r="D55" s="449"/>
      <c r="E55" s="449"/>
      <c r="F55" s="449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54" t="str">
        <f>+VLOOKUP($A56,Master!$D$25:$G$223,4,FALSE)</f>
        <v>Surplus / deficit</v>
      </c>
      <c r="C56" s="455"/>
      <c r="D56" s="455"/>
      <c r="E56" s="455"/>
      <c r="F56" s="455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56" t="str">
        <f>+VLOOKUP($A57,Master!$D$25:$G$223,4,FALSE)</f>
        <v>Primary balance</v>
      </c>
      <c r="C57" s="457"/>
      <c r="D57" s="457"/>
      <c r="E57" s="457"/>
      <c r="F57" s="457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58" t="str">
        <f>+VLOOKUP($A58,Master!$D$25:$G$223,4,FALSE)</f>
        <v>Repayment of Debt</v>
      </c>
      <c r="C58" s="459"/>
      <c r="D58" s="459"/>
      <c r="E58" s="459"/>
      <c r="F58" s="459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46" t="str">
        <f>+VLOOKUP($A59,Master!$D$25:$G$223,4,FALSE)</f>
        <v>Repayment of Domestic Debt</v>
      </c>
      <c r="C59" s="447"/>
      <c r="D59" s="447"/>
      <c r="E59" s="447"/>
      <c r="F59" s="447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30" t="str">
        <f>+VLOOKUP($A60,Master!$D$25:$G$223,4,FALSE)</f>
        <v>Repayment of Foreign Debt</v>
      </c>
      <c r="C60" s="431"/>
      <c r="D60" s="431"/>
      <c r="E60" s="431"/>
      <c r="F60" s="431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Repayments of Arrears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50" t="str">
        <f>+VLOOKUP($A62,Master!$D$25:$G$223,4,FALSE)</f>
        <v>Financing needs</v>
      </c>
      <c r="C62" s="451"/>
      <c r="D62" s="451"/>
      <c r="E62" s="451"/>
      <c r="F62" s="451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52" t="str">
        <f>+VLOOKUP($A63,Master!$D$25:$G$223,4,FALSE)</f>
        <v>Financing</v>
      </c>
      <c r="C63" s="453"/>
      <c r="D63" s="453"/>
      <c r="E63" s="453"/>
      <c r="F63" s="453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46" t="str">
        <f>+VLOOKUP($A64,Master!$D$25:$G$223,4,FALSE)</f>
        <v>Domestic Loans and Borrowings</v>
      </c>
      <c r="C64" s="447"/>
      <c r="D64" s="447"/>
      <c r="E64" s="447"/>
      <c r="F64" s="447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30" t="str">
        <f>+VLOOKUP($A65,Master!$D$25:$G$223,4,FALSE)</f>
        <v>Foreign Loans and Borrowings</v>
      </c>
      <c r="C65" s="431"/>
      <c r="D65" s="431"/>
      <c r="E65" s="431"/>
      <c r="F65" s="431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30" t="str">
        <f>+VLOOKUP($A66,Master!$D$25:$G$223,4,FALSE)</f>
        <v>Revenues from Selling Assets</v>
      </c>
      <c r="C66" s="431"/>
      <c r="D66" s="431"/>
      <c r="E66" s="431"/>
      <c r="F66" s="431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Increase / decrease of deposits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16" t="str">
        <f>+Master!G249</f>
        <v>Budget Execution</v>
      </c>
      <c r="C7" s="517"/>
      <c r="D7" s="517"/>
      <c r="E7" s="517"/>
      <c r="F7" s="517"/>
      <c r="G7" s="510">
        <v>2013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11"/>
      <c r="S7" s="116" t="str">
        <f>+Master!G246</f>
        <v>GDP</v>
      </c>
      <c r="T7" s="117">
        <v>3393200615</v>
      </c>
    </row>
    <row r="8" spans="1:20" ht="16.5" customHeight="1">
      <c r="B8" s="518"/>
      <c r="C8" s="519"/>
      <c r="D8" s="519"/>
      <c r="E8" s="519"/>
      <c r="F8" s="520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510" t="str">
        <f>+Master!G243</f>
        <v>Jan - Jan</v>
      </c>
      <c r="T8" s="511"/>
    </row>
    <row r="9" spans="1:20" ht="13.5" thickBot="1">
      <c r="B9" s="521"/>
      <c r="C9" s="522"/>
      <c r="D9" s="522"/>
      <c r="E9" s="522"/>
      <c r="F9" s="523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GDP</v>
      </c>
    </row>
    <row r="10" spans="1:20" ht="13.5" thickBot="1">
      <c r="A10" s="72">
        <v>7</v>
      </c>
      <c r="B10" s="512" t="str">
        <f>+VLOOKUP($A10,Master!$D$25:$G$223,4,FALSE)</f>
        <v>Total Revenues</v>
      </c>
      <c r="C10" s="513"/>
      <c r="D10" s="513"/>
      <c r="E10" s="513"/>
      <c r="F10" s="513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514" t="str">
        <f>+VLOOKUP($A11,Master!$D$25:$G$223,4,FALSE)</f>
        <v>Taxes</v>
      </c>
      <c r="C11" s="515"/>
      <c r="D11" s="515"/>
      <c r="E11" s="515"/>
      <c r="F11" s="515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96" t="str">
        <f>+VLOOKUP($A12,Master!$D$25:$G$223,4,FALSE)</f>
        <v>Personal Income Tax</v>
      </c>
      <c r="C12" s="497"/>
      <c r="D12" s="497"/>
      <c r="E12" s="497"/>
      <c r="F12" s="497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96" t="str">
        <f>+VLOOKUP($A13,Master!$D$25:$G$223,4,FALSE)</f>
        <v>Corporate Income Tax</v>
      </c>
      <c r="C13" s="497"/>
      <c r="D13" s="497"/>
      <c r="E13" s="497"/>
      <c r="F13" s="497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96" t="str">
        <f>+VLOOKUP($A14,Master!$D$25:$G$223,4,FALSE)</f>
        <v xml:space="preserve">Taxes on Sales of Property </v>
      </c>
      <c r="C14" s="497"/>
      <c r="D14" s="497"/>
      <c r="E14" s="497"/>
      <c r="F14" s="497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96" t="str">
        <f>+VLOOKUP($A15,Master!$D$25:$G$223,4,FALSE)</f>
        <v>Value Added Tax</v>
      </c>
      <c r="C15" s="497"/>
      <c r="D15" s="497"/>
      <c r="E15" s="497"/>
      <c r="F15" s="497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96" t="str">
        <f>+VLOOKUP($A16,Master!$D$25:$G$223,4,FALSE)</f>
        <v>Excises</v>
      </c>
      <c r="C16" s="497"/>
      <c r="D16" s="497"/>
      <c r="E16" s="497"/>
      <c r="F16" s="497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96" t="str">
        <f>+VLOOKUP($A17,Master!$D$25:$G$223,4,FALSE)</f>
        <v>Tax on International Trade and Transactions</v>
      </c>
      <c r="C17" s="497"/>
      <c r="D17" s="497"/>
      <c r="E17" s="497"/>
      <c r="F17" s="497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96" t="e">
        <f>+VLOOKUP($A18,Master!$D$25:$G$223,4,FALSE)</f>
        <v>#N/A</v>
      </c>
      <c r="C18" s="497"/>
      <c r="D18" s="497"/>
      <c r="E18" s="497"/>
      <c r="F18" s="497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96" t="str">
        <f>+VLOOKUP($A19,Master!$D$25:$G$223,4,FALSE)</f>
        <v>Other Republic Taxes</v>
      </c>
      <c r="C19" s="497"/>
      <c r="D19" s="497"/>
      <c r="E19" s="497"/>
      <c r="F19" s="497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08" t="str">
        <f>+VLOOKUP($A20,Master!$D$25:$G$223,4,FALSE)</f>
        <v>Contributions</v>
      </c>
      <c r="C20" s="509"/>
      <c r="D20" s="509"/>
      <c r="E20" s="509"/>
      <c r="F20" s="50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96" t="str">
        <f>+VLOOKUP($A21,Master!$D$25:$G$223,4,FALSE)</f>
        <v>Contributions for Pension and Disability Insurance</v>
      </c>
      <c r="C21" s="497"/>
      <c r="D21" s="497"/>
      <c r="E21" s="497"/>
      <c r="F21" s="497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96" t="str">
        <f>+VLOOKUP($A22,Master!$D$25:$G$223,4,FALSE)</f>
        <v>Contributions for Health Insurance</v>
      </c>
      <c r="C22" s="497"/>
      <c r="D22" s="497"/>
      <c r="E22" s="497"/>
      <c r="F22" s="497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96" t="str">
        <f>+VLOOKUP($A23,Master!$D$25:$G$223,4,FALSE)</f>
        <v>Contributions for  Unemployment Insurance</v>
      </c>
      <c r="C23" s="497"/>
      <c r="D23" s="497"/>
      <c r="E23" s="497"/>
      <c r="F23" s="497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96" t="str">
        <f>+VLOOKUP($A24,Master!$D$25:$G$223,4,FALSE)</f>
        <v>Other contributions</v>
      </c>
      <c r="C24" s="497"/>
      <c r="D24" s="497"/>
      <c r="E24" s="497"/>
      <c r="F24" s="497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500" t="str">
        <f>+VLOOKUP($A25,Master!$D$25:$G$223,4,FALSE)</f>
        <v>Duties</v>
      </c>
      <c r="C25" s="501"/>
      <c r="D25" s="501"/>
      <c r="E25" s="501"/>
      <c r="F25" s="501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500" t="str">
        <f>+VLOOKUP($A26,Master!$D$25:$G$223,4,FALSE)</f>
        <v>Fees</v>
      </c>
      <c r="C26" s="501"/>
      <c r="D26" s="501"/>
      <c r="E26" s="501"/>
      <c r="F26" s="501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500" t="str">
        <f>+VLOOKUP($A27,Master!$D$25:$G$223,4,FALSE)</f>
        <v>Other revenues</v>
      </c>
      <c r="C27" s="501"/>
      <c r="D27" s="501"/>
      <c r="E27" s="501"/>
      <c r="F27" s="501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500" t="str">
        <f>+VLOOKUP($A28,Master!$D$25:$G$223,4,FALSE)</f>
        <v>Receipts from Repayment of Loans and Funds Carried over from Previous Year</v>
      </c>
      <c r="C28" s="501"/>
      <c r="D28" s="501"/>
      <c r="E28" s="501"/>
      <c r="F28" s="501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02" t="str">
        <f>+VLOOKUP($A29,Master!$D$25:$G$223,4,FALSE)</f>
        <v>Grants and Transfers</v>
      </c>
      <c r="C29" s="503"/>
      <c r="D29" s="503"/>
      <c r="E29" s="503"/>
      <c r="F29" s="503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86" t="str">
        <f>+VLOOKUP($A30,Master!$D$25:$G$223,4,FALSE)</f>
        <v>Total Expenditures</v>
      </c>
      <c r="C30" s="487"/>
      <c r="D30" s="487"/>
      <c r="E30" s="487"/>
      <c r="F30" s="48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04" t="str">
        <f>+VLOOKUP($A31,Master!$D$25:$G$223,4,FALSE)</f>
        <v>Current Expenditures</v>
      </c>
      <c r="C31" s="505"/>
      <c r="D31" s="505"/>
      <c r="E31" s="505"/>
      <c r="F31" s="505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06" t="str">
        <f>+VLOOKUP($A32,Master!$D$25:$G$223,4,FALSE)</f>
        <v>Current Budgetary Expenditures</v>
      </c>
      <c r="C32" s="507"/>
      <c r="D32" s="507"/>
      <c r="E32" s="507"/>
      <c r="F32" s="507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96" t="str">
        <f>+VLOOKUP($A33,Master!$D$25:$G$223,4,FALSE)</f>
        <v>Gross Salaries and Contributions</v>
      </c>
      <c r="C33" s="497"/>
      <c r="D33" s="497"/>
      <c r="E33" s="497"/>
      <c r="F33" s="497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96" t="str">
        <f>+VLOOKUP($A34,Master!$D$25:$G$223,4,FALSE)</f>
        <v>Other Personal Income</v>
      </c>
      <c r="C34" s="497"/>
      <c r="D34" s="497"/>
      <c r="E34" s="497"/>
      <c r="F34" s="497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96" t="str">
        <f>+VLOOKUP($A35,Master!$D$25:$G$223,4,FALSE)</f>
        <v>Expenditures for Supplies</v>
      </c>
      <c r="C35" s="497"/>
      <c r="D35" s="497"/>
      <c r="E35" s="497"/>
      <c r="F35" s="497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96" t="str">
        <f>+VLOOKUP($A36,Master!$D$25:$G$223,4,FALSE)</f>
        <v>Expenditures for Services</v>
      </c>
      <c r="C36" s="497"/>
      <c r="D36" s="497"/>
      <c r="E36" s="497"/>
      <c r="F36" s="497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96" t="str">
        <f>+VLOOKUP($A37,Master!$D$25:$G$223,4,FALSE)</f>
        <v>Current Maintenance</v>
      </c>
      <c r="C37" s="497"/>
      <c r="D37" s="497"/>
      <c r="E37" s="497"/>
      <c r="F37" s="497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96" t="str">
        <f>+VLOOKUP($A38,Master!$D$25:$G$223,4,FALSE)</f>
        <v>Interests</v>
      </c>
      <c r="C38" s="497"/>
      <c r="D38" s="497"/>
      <c r="E38" s="497"/>
      <c r="F38" s="497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96" t="str">
        <f>+VLOOKUP($A39,Master!$D$25:$G$223,4,FALSE)</f>
        <v>Rent</v>
      </c>
      <c r="C39" s="497"/>
      <c r="D39" s="497"/>
      <c r="E39" s="497"/>
      <c r="F39" s="497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96" t="str">
        <f>+VLOOKUP($A40,Master!$D$25:$G$223,4,FALSE)</f>
        <v>Subsidies</v>
      </c>
      <c r="C40" s="497"/>
      <c r="D40" s="497"/>
      <c r="E40" s="497"/>
      <c r="F40" s="497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96" t="str">
        <f>+VLOOKUP($A41,Master!$D$25:$G$223,4,FALSE)</f>
        <v>Other expenditures</v>
      </c>
      <c r="C41" s="497"/>
      <c r="D41" s="497"/>
      <c r="E41" s="497"/>
      <c r="F41" s="497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96" t="str">
        <f>+VLOOKUP($A42,Master!$D$25:$G$223,4,FALSE)</f>
        <v>Current Capital Expenditure</v>
      </c>
      <c r="C42" s="497"/>
      <c r="D42" s="497"/>
      <c r="E42" s="497"/>
      <c r="F42" s="497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94" t="str">
        <f>+VLOOKUP($A43,Master!$D$25:$G$223,4,FALSE)</f>
        <v>Social Security Transfers</v>
      </c>
      <c r="C43" s="495"/>
      <c r="D43" s="495"/>
      <c r="E43" s="495"/>
      <c r="F43" s="49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96" t="str">
        <f>+VLOOKUP($A44,Master!$D$25:$G$223,4,FALSE)</f>
        <v>Social Security</v>
      </c>
      <c r="C44" s="497"/>
      <c r="D44" s="497"/>
      <c r="E44" s="497"/>
      <c r="F44" s="497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96" t="str">
        <f>+VLOOKUP($A45,Master!$D$25:$G$223,4,FALSE)</f>
        <v>Funds for redundant labor</v>
      </c>
      <c r="C45" s="497"/>
      <c r="D45" s="497"/>
      <c r="E45" s="497"/>
      <c r="F45" s="497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96" t="str">
        <f>+VLOOKUP($A46,Master!$D$25:$G$223,4,FALSE)</f>
        <v>Pension and Disability Insurance</v>
      </c>
      <c r="C46" s="497"/>
      <c r="D46" s="497"/>
      <c r="E46" s="497"/>
      <c r="F46" s="497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96" t="str">
        <f>+VLOOKUP($A47,Master!$D$25:$G$223,4,FALSE)</f>
        <v>Other Health Care Transfers</v>
      </c>
      <c r="C47" s="497"/>
      <c r="D47" s="497"/>
      <c r="E47" s="497"/>
      <c r="F47" s="497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96" t="str">
        <f>+VLOOKUP($A48,Master!$D$25:$G$223,4,FALSE)</f>
        <v>Other Health Care Insurance</v>
      </c>
      <c r="C48" s="497"/>
      <c r="D48" s="497"/>
      <c r="E48" s="497"/>
      <c r="F48" s="497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98" t="str">
        <f>+VLOOKUP($A49,Master!$D$25:$G$223,4,FALSE)</f>
        <v xml:space="preserve">Transfers to Institutions, Individuals, NGO and Public Sector </v>
      </c>
      <c r="C49" s="499"/>
      <c r="D49" s="499"/>
      <c r="E49" s="499"/>
      <c r="F49" s="499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98" t="str">
        <f>+VLOOKUP($A50,Master!$D$25:$G$223,4,FALSE)</f>
        <v>Capital Expenditure</v>
      </c>
      <c r="C50" s="499"/>
      <c r="D50" s="499"/>
      <c r="E50" s="499"/>
      <c r="F50" s="499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80" t="str">
        <f>+VLOOKUP($A51,Master!$D$25:$G$223,4,FALSE)</f>
        <v>Credits and Borrowings</v>
      </c>
      <c r="C51" s="481"/>
      <c r="D51" s="481"/>
      <c r="E51" s="481"/>
      <c r="F51" s="481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80" t="str">
        <f>+VLOOKUP($A52,Master!$D$25:$G$223,4,FALSE)</f>
        <v>Reserves</v>
      </c>
      <c r="C52" s="481"/>
      <c r="D52" s="481"/>
      <c r="E52" s="481"/>
      <c r="F52" s="481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82" t="str">
        <f>+VLOOKUP($A53,Master!$D$25:$G$223,4,FALSE)</f>
        <v>Repayment of Guarantees</v>
      </c>
      <c r="C53" s="483"/>
      <c r="D53" s="483"/>
      <c r="E53" s="483"/>
      <c r="F53" s="483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90" t="str">
        <f>+VLOOKUP($A54,Master!$D$25:$G$223,4,FALSE)</f>
        <v>Surplus / deficit</v>
      </c>
      <c r="C54" s="491"/>
      <c r="D54" s="491"/>
      <c r="E54" s="491"/>
      <c r="F54" s="491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492" t="str">
        <f>+VLOOKUP($A55,Master!$D$25:$G$223,4,FALSE)</f>
        <v>Primary balance</v>
      </c>
      <c r="C55" s="493"/>
      <c r="D55" s="493"/>
      <c r="E55" s="493"/>
      <c r="F55" s="493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494" t="str">
        <f>+VLOOKUP($A56,Master!$D$25:$G$223,4,FALSE)</f>
        <v>Repayment of Debt</v>
      </c>
      <c r="C56" s="495"/>
      <c r="D56" s="495"/>
      <c r="E56" s="495"/>
      <c r="F56" s="495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88" t="str">
        <f>+VLOOKUP($A57,Master!$D$25:$G$223,4,FALSE)</f>
        <v>Repayment of Domestic Debt</v>
      </c>
      <c r="C57" s="489"/>
      <c r="D57" s="489"/>
      <c r="E57" s="489"/>
      <c r="F57" s="489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80" t="str">
        <f>+VLOOKUP($A58,Master!$D$25:$G$223,4,FALSE)</f>
        <v>Repayment of Foreign Debt</v>
      </c>
      <c r="C58" s="481"/>
      <c r="D58" s="481"/>
      <c r="E58" s="481"/>
      <c r="F58" s="481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82" t="str">
        <f>+VLOOKUP($A59,Master!$D$25:$G$223,4,FALSE)</f>
        <v>Repayments of Arrears</v>
      </c>
      <c r="C59" s="483"/>
      <c r="D59" s="483"/>
      <c r="E59" s="483"/>
      <c r="F59" s="483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84" t="str">
        <f>+VLOOKUP($A60,Master!$D$25:$G$223,4,FALSE)</f>
        <v>Financing needs</v>
      </c>
      <c r="C60" s="485"/>
      <c r="D60" s="485"/>
      <c r="E60" s="485"/>
      <c r="F60" s="485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86" t="str">
        <f>+VLOOKUP($A61,Master!$D$25:$G$223,4,FALSE)</f>
        <v>Financing</v>
      </c>
      <c r="C61" s="487"/>
      <c r="D61" s="487"/>
      <c r="E61" s="487"/>
      <c r="F61" s="487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488" t="str">
        <f>+VLOOKUP($A62,Master!$D$25:$G$223,4,FALSE)</f>
        <v>Domestic Loans and Borrowings</v>
      </c>
      <c r="C62" s="489"/>
      <c r="D62" s="489"/>
      <c r="E62" s="489"/>
      <c r="F62" s="489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80" t="str">
        <f>+VLOOKUP($A63,Master!$D$25:$G$223,4,FALSE)</f>
        <v>Foreign Loans and Borrowings</v>
      </c>
      <c r="C63" s="481"/>
      <c r="D63" s="481"/>
      <c r="E63" s="481"/>
      <c r="F63" s="481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80" t="str">
        <f>+VLOOKUP($A64,Master!$D$25:$G$223,4,FALSE)</f>
        <v>Revenues from Selling Assets</v>
      </c>
      <c r="C64" s="481"/>
      <c r="D64" s="481"/>
      <c r="E64" s="481"/>
      <c r="F64" s="481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525" t="str">
        <f>+Master!G250</f>
        <v>Planned Budget Execution</v>
      </c>
      <c r="C101" s="433"/>
      <c r="D101" s="433"/>
      <c r="E101" s="433"/>
      <c r="F101" s="433"/>
      <c r="G101" s="441">
        <v>2014</v>
      </c>
      <c r="H101" s="442"/>
      <c r="I101" s="442"/>
      <c r="J101" s="442"/>
      <c r="K101" s="442"/>
      <c r="L101" s="442"/>
      <c r="M101" s="442"/>
      <c r="N101" s="442"/>
      <c r="O101" s="442"/>
      <c r="P101" s="442"/>
      <c r="Q101" s="442"/>
      <c r="R101" s="445"/>
      <c r="S101" s="261" t="str">
        <f>+S7</f>
        <v>GDP</v>
      </c>
      <c r="T101" s="262">
        <v>3393200615</v>
      </c>
    </row>
    <row r="102" spans="1:20" ht="15.75" customHeight="1">
      <c r="A102" s="170"/>
      <c r="B102" s="434"/>
      <c r="C102" s="435"/>
      <c r="D102" s="435"/>
      <c r="E102" s="435"/>
      <c r="F102" s="436"/>
      <c r="G102" s="171" t="str">
        <f>+G8</f>
        <v>January</v>
      </c>
      <c r="H102" s="171" t="str">
        <f t="shared" ref="H102:T102" si="16">+H8</f>
        <v>February</v>
      </c>
      <c r="I102" s="171" t="str">
        <f t="shared" si="16"/>
        <v>March</v>
      </c>
      <c r="J102" s="171" t="str">
        <f t="shared" si="16"/>
        <v>April</v>
      </c>
      <c r="K102" s="171" t="str">
        <f t="shared" si="16"/>
        <v>May</v>
      </c>
      <c r="L102" s="171" t="str">
        <f t="shared" si="16"/>
        <v>June</v>
      </c>
      <c r="M102" s="171" t="str">
        <f t="shared" si="16"/>
        <v>July</v>
      </c>
      <c r="N102" s="171" t="str">
        <f t="shared" si="16"/>
        <v>August</v>
      </c>
      <c r="O102" s="171" t="str">
        <f t="shared" si="16"/>
        <v>September</v>
      </c>
      <c r="P102" s="171" t="str">
        <f t="shared" si="16"/>
        <v>October</v>
      </c>
      <c r="Q102" s="171" t="str">
        <f t="shared" si="16"/>
        <v>November</v>
      </c>
      <c r="R102" s="171" t="str">
        <f t="shared" si="16"/>
        <v>December</v>
      </c>
      <c r="S102" s="441" t="str">
        <f>+Master!G244</f>
        <v>Jan - Dec</v>
      </c>
      <c r="T102" s="445">
        <f t="shared" si="16"/>
        <v>0</v>
      </c>
    </row>
    <row r="103" spans="1:20" ht="13.5" thickBot="1">
      <c r="A103" s="170"/>
      <c r="B103" s="437"/>
      <c r="C103" s="438"/>
      <c r="D103" s="438"/>
      <c r="E103" s="438"/>
      <c r="F103" s="439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GDP</v>
      </c>
    </row>
    <row r="104" spans="1:20" ht="13.5" thickBot="1">
      <c r="A104" s="298" t="str">
        <f>+CONCATENATE(A10,"p")</f>
        <v>7p</v>
      </c>
      <c r="B104" s="474" t="str">
        <f>+VLOOKUP(LEFT($A104,LEN(A104)-1)*1,Master!$D$25:$G$223,4,FALSE)</f>
        <v>Total Revenues</v>
      </c>
      <c r="C104" s="475"/>
      <c r="D104" s="475"/>
      <c r="E104" s="475"/>
      <c r="F104" s="475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76" t="str">
        <f>+VLOOKUP(LEFT($A105,LEN(A105)-1)*1,Master!$D$25:$G$223,4,FALSE)</f>
        <v>Taxes</v>
      </c>
      <c r="C105" s="477"/>
      <c r="D105" s="477"/>
      <c r="E105" s="477"/>
      <c r="F105" s="477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62" t="str">
        <f>+VLOOKUP(LEFT($A106,LEN(A106)-1)*1,Master!$D$25:$G$223,4,FALSE)</f>
        <v>Personal Income Tax</v>
      </c>
      <c r="C106" s="463"/>
      <c r="D106" s="463"/>
      <c r="E106" s="463"/>
      <c r="F106" s="463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62" t="str">
        <f>+VLOOKUP(LEFT($A107,LEN(A107)-1)*1,Master!$D$25:$G$223,4,FALSE)</f>
        <v>Corporate Income Tax</v>
      </c>
      <c r="C107" s="463"/>
      <c r="D107" s="463"/>
      <c r="E107" s="463"/>
      <c r="F107" s="463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62" t="str">
        <f>+VLOOKUP(LEFT($A108,LEN(A108)-1)*1,Master!$D$25:$G$223,4,FALSE)</f>
        <v xml:space="preserve">Taxes on Sales of Property </v>
      </c>
      <c r="C108" s="463"/>
      <c r="D108" s="463"/>
      <c r="E108" s="463"/>
      <c r="F108" s="463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62" t="str">
        <f>+VLOOKUP(LEFT($A109,LEN(A109)-1)*1,Master!$D$25:$G$223,4,FALSE)</f>
        <v>Value Added Tax</v>
      </c>
      <c r="C109" s="463"/>
      <c r="D109" s="463"/>
      <c r="E109" s="463"/>
      <c r="F109" s="463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62" t="str">
        <f>+VLOOKUP(LEFT($A110,LEN(A110)-1)*1,Master!$D$25:$G$223,4,FALSE)</f>
        <v>Excises</v>
      </c>
      <c r="C110" s="463"/>
      <c r="D110" s="463"/>
      <c r="E110" s="463"/>
      <c r="F110" s="463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62" t="str">
        <f>+VLOOKUP(LEFT($A111,LEN(A111)-1)*1,Master!$D$25:$G$223,4,FALSE)</f>
        <v>Tax on International Trade and Transactions</v>
      </c>
      <c r="C111" s="463"/>
      <c r="D111" s="463"/>
      <c r="E111" s="463"/>
      <c r="F111" s="463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62" t="e">
        <f>+VLOOKUP(LEFT($A112,LEN(A112)-1)*1,Master!$D$25:$G$223,4,FALSE)</f>
        <v>#N/A</v>
      </c>
      <c r="C112" s="463"/>
      <c r="D112" s="463"/>
      <c r="E112" s="463"/>
      <c r="F112" s="463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62" t="str">
        <f>+VLOOKUP(LEFT($A113,LEN(A113)-1)*1,Master!$D$25:$G$223,4,FALSE)</f>
        <v>Other Republic Taxes</v>
      </c>
      <c r="C113" s="463"/>
      <c r="D113" s="463"/>
      <c r="E113" s="463"/>
      <c r="F113" s="463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72" t="str">
        <f>+VLOOKUP(LEFT($A114,LEN(A114)-1)*1,Master!$D$25:$G$223,4,FALSE)</f>
        <v>Contributions</v>
      </c>
      <c r="C114" s="473"/>
      <c r="D114" s="473"/>
      <c r="E114" s="473"/>
      <c r="F114" s="473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62" t="str">
        <f>+VLOOKUP(LEFT($A115,LEN(A115)-1)*1,Master!$D$25:$G$223,4,FALSE)</f>
        <v>Contributions for Pension and Disability Insurance</v>
      </c>
      <c r="C115" s="463"/>
      <c r="D115" s="463"/>
      <c r="E115" s="463"/>
      <c r="F115" s="463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62" t="str">
        <f>+VLOOKUP(LEFT($A116,LEN(A116)-1)*1,Master!$D$25:$G$223,4,FALSE)</f>
        <v>Contributions for Health Insurance</v>
      </c>
      <c r="C116" s="463"/>
      <c r="D116" s="463"/>
      <c r="E116" s="463"/>
      <c r="F116" s="463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62" t="str">
        <f>+VLOOKUP(LEFT($A117,LEN(A117)-1)*1,Master!$D$25:$G$223,4,FALSE)</f>
        <v>Contributions for  Unemployment Insurance</v>
      </c>
      <c r="C117" s="463"/>
      <c r="D117" s="463"/>
      <c r="E117" s="463"/>
      <c r="F117" s="463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62" t="str">
        <f>+VLOOKUP(LEFT($A118,LEN(A118)-1)*1,Master!$D$25:$G$223,4,FALSE)</f>
        <v>Other contributions</v>
      </c>
      <c r="C118" s="463"/>
      <c r="D118" s="463"/>
      <c r="E118" s="463"/>
      <c r="F118" s="463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64" t="str">
        <f>+VLOOKUP(LEFT($A119,LEN(A119)-1)*1,Master!$D$25:$G$223,4,FALSE)</f>
        <v>Duties</v>
      </c>
      <c r="C119" s="465"/>
      <c r="D119" s="465"/>
      <c r="E119" s="465"/>
      <c r="F119" s="465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64" t="str">
        <f>+VLOOKUP(LEFT($A120,LEN(A120)-1)*1,Master!$D$25:$G$223,4,FALSE)</f>
        <v>Fees</v>
      </c>
      <c r="C120" s="465"/>
      <c r="D120" s="465"/>
      <c r="E120" s="465"/>
      <c r="F120" s="465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64" t="str">
        <f>+VLOOKUP(LEFT($A121,LEN(A121)-1)*1,Master!$D$25:$G$223,4,FALSE)</f>
        <v>Other revenues</v>
      </c>
      <c r="C121" s="465"/>
      <c r="D121" s="465"/>
      <c r="E121" s="465"/>
      <c r="F121" s="465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64" t="str">
        <f>+VLOOKUP(LEFT($A122,LEN(A122)-1)*1,Master!$D$25:$G$223,4,FALSE)</f>
        <v>Receipts from Repayment of Loans and Funds Carried over from Previous Year</v>
      </c>
      <c r="C122" s="465"/>
      <c r="D122" s="465"/>
      <c r="E122" s="465"/>
      <c r="F122" s="465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66" t="str">
        <f>+VLOOKUP(LEFT($A123,LEN(A123)-1)*1,Master!$D$25:$G$223,4,FALSE)</f>
        <v>Grants and Transfers</v>
      </c>
      <c r="C123" s="467"/>
      <c r="D123" s="467"/>
      <c r="E123" s="467"/>
      <c r="F123" s="467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52" t="str">
        <f>+VLOOKUP(LEFT($A124,LEN(A124)-1)*1,Master!$D$25:$G$223,4,FALSE)</f>
        <v>Total Expenditures</v>
      </c>
      <c r="C124" s="453"/>
      <c r="D124" s="453"/>
      <c r="E124" s="453"/>
      <c r="F124" s="453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68" t="str">
        <f>+VLOOKUP(LEFT($A125,LEN(A125)-1)*1,Master!$D$25:$G$223,4,FALSE)</f>
        <v>Current Expenditures</v>
      </c>
      <c r="C125" s="469"/>
      <c r="D125" s="469"/>
      <c r="E125" s="469"/>
      <c r="F125" s="469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70" t="str">
        <f>+VLOOKUP(LEFT($A126,LEN(A126)-1)*1,Master!$D$25:$G$223,4,FALSE)</f>
        <v>Current Budgetary Expenditures</v>
      </c>
      <c r="C126" s="471"/>
      <c r="D126" s="471"/>
      <c r="E126" s="471"/>
      <c r="F126" s="471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62" t="str">
        <f>+VLOOKUP(LEFT($A127,LEN(A127)-1)*1,Master!$D$25:$G$223,4,FALSE)</f>
        <v>Gross Salaries and Contributions</v>
      </c>
      <c r="C127" s="463"/>
      <c r="D127" s="463"/>
      <c r="E127" s="463"/>
      <c r="F127" s="463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62" t="str">
        <f>+VLOOKUP(LEFT($A128,LEN(A128)-1)*1,Master!$D$25:$G$223,4,FALSE)</f>
        <v>Other Personal Income</v>
      </c>
      <c r="C128" s="463"/>
      <c r="D128" s="463"/>
      <c r="E128" s="463"/>
      <c r="F128" s="463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62" t="str">
        <f>+VLOOKUP(LEFT($A129,LEN(A129)-1)*1,Master!$D$25:$G$223,4,FALSE)</f>
        <v>Expenditures for Supplies</v>
      </c>
      <c r="C129" s="463"/>
      <c r="D129" s="463"/>
      <c r="E129" s="463"/>
      <c r="F129" s="463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62" t="str">
        <f>+VLOOKUP(LEFT($A130,LEN(A130)-1)*1,Master!$D$25:$G$223,4,FALSE)</f>
        <v>Expenditures for Services</v>
      </c>
      <c r="C130" s="463"/>
      <c r="D130" s="463"/>
      <c r="E130" s="463"/>
      <c r="F130" s="463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62" t="str">
        <f>+VLOOKUP(LEFT($A131,LEN(A131)-1)*1,Master!$D$25:$G$223,4,FALSE)</f>
        <v>Current Maintenance</v>
      </c>
      <c r="C131" s="463"/>
      <c r="D131" s="463"/>
      <c r="E131" s="463"/>
      <c r="F131" s="463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62" t="str">
        <f>+VLOOKUP(LEFT($A132,LEN(A132)-1)*1,Master!$D$25:$G$223,4,FALSE)</f>
        <v>Interests</v>
      </c>
      <c r="C132" s="463"/>
      <c r="D132" s="463"/>
      <c r="E132" s="463"/>
      <c r="F132" s="463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62" t="str">
        <f>+VLOOKUP(LEFT($A133,LEN(A133)-1)*1,Master!$D$25:$G$223,4,FALSE)</f>
        <v>Rent</v>
      </c>
      <c r="C133" s="463"/>
      <c r="D133" s="463"/>
      <c r="E133" s="463"/>
      <c r="F133" s="463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62" t="str">
        <f>+VLOOKUP(LEFT($A134,LEN(A134)-1)*1,Master!$D$25:$G$223,4,FALSE)</f>
        <v>Subsidies</v>
      </c>
      <c r="C134" s="463"/>
      <c r="D134" s="463"/>
      <c r="E134" s="463"/>
      <c r="F134" s="463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62" t="str">
        <f>+VLOOKUP(LEFT($A135,LEN(A135)-1)*1,Master!$D$25:$G$223,4,FALSE)</f>
        <v>Other expenditures</v>
      </c>
      <c r="C135" s="463"/>
      <c r="D135" s="463"/>
      <c r="E135" s="463"/>
      <c r="F135" s="463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62" t="str">
        <f>+VLOOKUP(LEFT($A136,LEN(A136)-1)*1,Master!$D$25:$G$223,4,FALSE)</f>
        <v>Current Capital Expenditure</v>
      </c>
      <c r="C136" s="463"/>
      <c r="D136" s="463"/>
      <c r="E136" s="463"/>
      <c r="F136" s="463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58" t="str">
        <f>+VLOOKUP(LEFT($A137,LEN(A137)-1)*1,Master!$D$25:$G$223,4,FALSE)</f>
        <v>Social Security Transfers</v>
      </c>
      <c r="C137" s="459"/>
      <c r="D137" s="459"/>
      <c r="E137" s="459"/>
      <c r="F137" s="459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62" t="str">
        <f>+VLOOKUP(LEFT($A138,LEN(A138)-1)*1,Master!$D$25:$G$223,4,FALSE)</f>
        <v>Social Security</v>
      </c>
      <c r="C138" s="463"/>
      <c r="D138" s="463"/>
      <c r="E138" s="463"/>
      <c r="F138" s="463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62" t="str">
        <f>+VLOOKUP(LEFT($A139,LEN(A139)-1)*1,Master!$D$25:$G$223,4,FALSE)</f>
        <v>Funds for redundant labor</v>
      </c>
      <c r="C139" s="463"/>
      <c r="D139" s="463"/>
      <c r="E139" s="463"/>
      <c r="F139" s="463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62" t="str">
        <f>+VLOOKUP(LEFT($A140,LEN(A140)-1)*1,Master!$D$25:$G$223,4,FALSE)</f>
        <v>Pension and Disability Insurance</v>
      </c>
      <c r="C140" s="463"/>
      <c r="D140" s="463"/>
      <c r="E140" s="463"/>
      <c r="F140" s="463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62" t="str">
        <f>+VLOOKUP(LEFT($A141,LEN(A141)-1)*1,Master!$D$25:$G$223,4,FALSE)</f>
        <v>Other Health Care Transfers</v>
      </c>
      <c r="C141" s="463"/>
      <c r="D141" s="463"/>
      <c r="E141" s="463"/>
      <c r="F141" s="463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62" t="str">
        <f>+VLOOKUP(LEFT($A142,LEN(A142)-1)*1,Master!$D$25:$G$223,4,FALSE)</f>
        <v>Other Health Care Insurance</v>
      </c>
      <c r="C142" s="463"/>
      <c r="D142" s="463"/>
      <c r="E142" s="463"/>
      <c r="F142" s="463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60" t="str">
        <f>+VLOOKUP(LEFT($A143,LEN(A143)-1)*1,Master!$D$25:$G$223,4,FALSE)</f>
        <v xml:space="preserve">Transfers to Institutions, Individuals, NGO and Public Sector </v>
      </c>
      <c r="C143" s="461"/>
      <c r="D143" s="461"/>
      <c r="E143" s="461"/>
      <c r="F143" s="461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60" t="str">
        <f>+VLOOKUP(LEFT($A144,LEN(A144)-1)*1,Master!$D$25:$G$223,4,FALSE)</f>
        <v>Capital Expenditure</v>
      </c>
      <c r="C144" s="461"/>
      <c r="D144" s="461"/>
      <c r="E144" s="461"/>
      <c r="F144" s="461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30" t="str">
        <f>+VLOOKUP(LEFT($A145,LEN(A145)-1)*1,Master!$D$25:$G$223,4,FALSE)</f>
        <v>Credits and Borrowings</v>
      </c>
      <c r="C145" s="431"/>
      <c r="D145" s="431"/>
      <c r="E145" s="431"/>
      <c r="F145" s="431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30" t="str">
        <f>+VLOOKUP(LEFT($A146,LEN(A146)-1)*1,Master!$D$25:$G$223,4,FALSE)</f>
        <v>Reserves</v>
      </c>
      <c r="C146" s="431"/>
      <c r="D146" s="431"/>
      <c r="E146" s="431"/>
      <c r="F146" s="431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48" t="str">
        <f>+VLOOKUP(LEFT($A147,LEN(A147)-1)*1,Master!$D$25:$G$223,4,FALSE)</f>
        <v>Repayment of Guarantees</v>
      </c>
      <c r="C147" s="449"/>
      <c r="D147" s="449"/>
      <c r="E147" s="449"/>
      <c r="F147" s="449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54" t="str">
        <f>+VLOOKUP(LEFT($A148,LEN(A148)-1)*1,Master!$D$25:$G$223,4,FALSE)</f>
        <v>Surplus / deficit</v>
      </c>
      <c r="C148" s="455"/>
      <c r="D148" s="455"/>
      <c r="E148" s="455"/>
      <c r="F148" s="455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56" t="str">
        <f>+VLOOKUP(LEFT($A149,LEN(A149)-1)*1,Master!$D$25:$G$223,4,FALSE)</f>
        <v>Primary balance</v>
      </c>
      <c r="C149" s="457"/>
      <c r="D149" s="457"/>
      <c r="E149" s="457"/>
      <c r="F149" s="457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58" t="str">
        <f>+VLOOKUP(LEFT($A150,LEN(A150)-1)*1,Master!$D$25:$G$223,4,FALSE)</f>
        <v>Repayment of Debt</v>
      </c>
      <c r="C150" s="459"/>
      <c r="D150" s="459"/>
      <c r="E150" s="459"/>
      <c r="F150" s="459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46" t="str">
        <f>+VLOOKUP(LEFT($A151,LEN(A151)-1)*1,Master!$D$25:$G$223,4,FALSE)</f>
        <v>Repayment of Domestic Debt</v>
      </c>
      <c r="C151" s="447"/>
      <c r="D151" s="447"/>
      <c r="E151" s="447"/>
      <c r="F151" s="447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30" t="str">
        <f>+VLOOKUP(LEFT($A152,LEN(A152)-1)*1,Master!$D$25:$G$223,4,FALSE)</f>
        <v>Repayment of Foreign Debt</v>
      </c>
      <c r="C152" s="431"/>
      <c r="D152" s="431"/>
      <c r="E152" s="431"/>
      <c r="F152" s="431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48" t="str">
        <f>+VLOOKUP(LEFT($A153,LEN(A153)-1)*1,Master!$D$25:$G$223,4,FALSE)</f>
        <v>Repayments of Arrears</v>
      </c>
      <c r="C153" s="449"/>
      <c r="D153" s="449"/>
      <c r="E153" s="449"/>
      <c r="F153" s="449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50" t="str">
        <f>+VLOOKUP(LEFT($A154,LEN(A154)-1)*1,Master!$D$25:$G$223,4,FALSE)</f>
        <v>Financing needs</v>
      </c>
      <c r="C154" s="451"/>
      <c r="D154" s="451"/>
      <c r="E154" s="451"/>
      <c r="F154" s="451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52" t="str">
        <f>+VLOOKUP(LEFT($A155,LEN(A155)-1)*1,Master!$D$25:$G$223,4,FALSE)</f>
        <v>Financing</v>
      </c>
      <c r="C155" s="453"/>
      <c r="D155" s="453"/>
      <c r="E155" s="453"/>
      <c r="F155" s="453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46" t="str">
        <f>+VLOOKUP(LEFT($A156,LEN(A156)-1)*1,Master!$D$25:$G$223,4,FALSE)</f>
        <v>Domestic Loans and Borrowings</v>
      </c>
      <c r="C156" s="447"/>
      <c r="D156" s="447"/>
      <c r="E156" s="447"/>
      <c r="F156" s="447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30" t="str">
        <f>+VLOOKUP(LEFT($A157,LEN(A157)-1)*1,Master!$D$25:$G$223,4,FALSE)</f>
        <v>Foreign Loans and Borrowings</v>
      </c>
      <c r="C157" s="431"/>
      <c r="D157" s="431"/>
      <c r="E157" s="431"/>
      <c r="F157" s="431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30" t="str">
        <f>+VLOOKUP(LEFT($A158,LEN(A158)-1)*1,Master!$D$25:$G$223,4,FALSE)</f>
        <v>Revenues from Selling Assets</v>
      </c>
      <c r="C158" s="431"/>
      <c r="D158" s="431"/>
      <c r="E158" s="431"/>
      <c r="F158" s="431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Increase / decrease of deposits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7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EH1" sqref="EH1:EI1048576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bestFit="1" customWidth="1"/>
    <col min="151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31" t="s">
        <v>570</v>
      </c>
      <c r="F6" s="528">
        <v>2006</v>
      </c>
      <c r="G6" s="529"/>
      <c r="H6" s="529"/>
      <c r="I6" s="529"/>
      <c r="J6" s="529"/>
      <c r="K6" s="529"/>
      <c r="L6" s="529"/>
      <c r="M6" s="529"/>
      <c r="N6" s="529"/>
      <c r="O6" s="529"/>
      <c r="P6" s="529"/>
      <c r="Q6" s="530"/>
      <c r="R6" s="528">
        <v>2007</v>
      </c>
      <c r="S6" s="529"/>
      <c r="T6" s="529"/>
      <c r="U6" s="529"/>
      <c r="V6" s="529"/>
      <c r="W6" s="529"/>
      <c r="X6" s="529"/>
      <c r="Y6" s="529"/>
      <c r="Z6" s="529"/>
      <c r="AA6" s="529"/>
      <c r="AB6" s="529"/>
      <c r="AC6" s="530"/>
      <c r="AD6" s="528">
        <v>2008</v>
      </c>
      <c r="AE6" s="529"/>
      <c r="AF6" s="529"/>
      <c r="AG6" s="529"/>
      <c r="AH6" s="529"/>
      <c r="AI6" s="529"/>
      <c r="AJ6" s="529"/>
      <c r="AK6" s="529"/>
      <c r="AL6" s="529"/>
      <c r="AM6" s="529"/>
      <c r="AN6" s="529"/>
      <c r="AO6" s="530"/>
      <c r="AP6" s="528">
        <v>2009</v>
      </c>
      <c r="AQ6" s="529"/>
      <c r="AR6" s="529"/>
      <c r="AS6" s="529"/>
      <c r="AT6" s="529"/>
      <c r="AU6" s="529"/>
      <c r="AV6" s="529"/>
      <c r="AW6" s="529"/>
      <c r="AX6" s="529"/>
      <c r="AY6" s="529"/>
      <c r="AZ6" s="529"/>
      <c r="BA6" s="530"/>
      <c r="BB6" s="528">
        <v>2010</v>
      </c>
      <c r="BC6" s="529"/>
      <c r="BD6" s="529"/>
      <c r="BE6" s="529"/>
      <c r="BF6" s="529"/>
      <c r="BG6" s="529"/>
      <c r="BH6" s="529"/>
      <c r="BI6" s="529"/>
      <c r="BJ6" s="529"/>
      <c r="BK6" s="529"/>
      <c r="BL6" s="529"/>
      <c r="BM6" s="530"/>
      <c r="BN6" s="528">
        <v>2011</v>
      </c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30"/>
      <c r="BZ6" s="529">
        <v>2012</v>
      </c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8">
        <v>2013</v>
      </c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30"/>
      <c r="CX6" s="528">
        <v>2014</v>
      </c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30"/>
      <c r="DJ6" s="528">
        <v>2015</v>
      </c>
      <c r="DK6" s="529"/>
      <c r="DL6" s="529"/>
      <c r="DM6" s="529"/>
      <c r="DN6" s="529"/>
      <c r="DO6" s="529"/>
      <c r="DP6" s="529"/>
      <c r="DQ6" s="529"/>
      <c r="DR6" s="529"/>
      <c r="DS6" s="529"/>
      <c r="DT6" s="529"/>
      <c r="DU6" s="530"/>
    </row>
    <row r="7" spans="1:321">
      <c r="E7" s="531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  <c r="ET7" s="398" t="s">
        <v>762</v>
      </c>
      <c r="EU7" s="398" t="s">
        <v>763</v>
      </c>
      <c r="EV7" s="398" t="s">
        <v>764</v>
      </c>
      <c r="EW7" s="398" t="s">
        <v>765</v>
      </c>
      <c r="EX7" s="398" t="s">
        <v>766</v>
      </c>
      <c r="EY7" s="398" t="s">
        <v>767</v>
      </c>
      <c r="EZ7" s="398" t="s">
        <v>768</v>
      </c>
      <c r="FA7" s="398" t="s">
        <v>769</v>
      </c>
      <c r="FB7" s="398" t="s">
        <v>770</v>
      </c>
      <c r="FC7" s="398" t="s">
        <v>771</v>
      </c>
      <c r="FD7" s="398" t="s">
        <v>772</v>
      </c>
      <c r="FE7" s="398" t="s">
        <v>773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v>74035484.649999991</v>
      </c>
      <c r="EI8" s="377">
        <v>111911440.43000001</v>
      </c>
      <c r="EJ8" s="377">
        <v>194526698.76999998</v>
      </c>
      <c r="EK8" s="377">
        <v>154580255.34999999</v>
      </c>
      <c r="EL8" s="377">
        <v>126340160.72000001</v>
      </c>
      <c r="EM8" s="377">
        <v>164632827.79999998</v>
      </c>
      <c r="EN8" s="377">
        <v>172154696.32000002</v>
      </c>
      <c r="EO8" s="377">
        <v>225754210.33000004</v>
      </c>
      <c r="EP8" s="377">
        <v>181876726.09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v>73679382.079999998</v>
      </c>
      <c r="EI9" s="377">
        <v>88768620.050000012</v>
      </c>
      <c r="EJ9" s="377">
        <v>135184988.79999998</v>
      </c>
      <c r="EK9" s="377">
        <v>124911661.67</v>
      </c>
      <c r="EL9" s="377">
        <v>125356661.59000002</v>
      </c>
      <c r="EM9" s="377">
        <v>134055955.00999999</v>
      </c>
      <c r="EN9" s="377">
        <v>145961895.21000001</v>
      </c>
      <c r="EO9" s="377">
        <v>149426896.58000004</v>
      </c>
      <c r="EP9" s="377">
        <v>138688866.59</v>
      </c>
      <c r="EQ9" s="377">
        <v>135552744.59</v>
      </c>
      <c r="ER9" s="377">
        <v>122189011.15000001</v>
      </c>
      <c r="ES9" s="377"/>
      <c r="ET9" s="425">
        <v>79855347.849999994</v>
      </c>
      <c r="EU9" s="377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v>53512170.450000003</v>
      </c>
      <c r="EI10" s="379"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>
        <v>89394289.060000002</v>
      </c>
      <c r="ET10" s="426">
        <v>60295851.509999998</v>
      </c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>
        <v>14446111.9</v>
      </c>
      <c r="ET11" s="425">
        <v>3496624.83</v>
      </c>
      <c r="EU11" s="377"/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>
        <v>1664886.32</v>
      </c>
      <c r="ET12" s="425">
        <v>475602.8</v>
      </c>
      <c r="EU12" s="377"/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>
        <v>130025.67</v>
      </c>
      <c r="ET13" s="425">
        <v>93380.49</v>
      </c>
      <c r="EU13" s="377"/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>
        <v>50200125.439999998</v>
      </c>
      <c r="ET14" s="425">
        <v>40926868.810000002</v>
      </c>
      <c r="EU14" s="377"/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>
        <v>19877899.5</v>
      </c>
      <c r="ET15" s="425">
        <v>13370061.67</v>
      </c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>
        <v>2285551.31</v>
      </c>
      <c r="ET16" s="425">
        <v>1218936.71</v>
      </c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>
        <v>789688.92</v>
      </c>
      <c r="ET17" s="425">
        <v>714376.2</v>
      </c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v>15942566.910000002</v>
      </c>
      <c r="EI18" s="379"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>
        <v>77580718.680000007</v>
      </c>
      <c r="ET18" s="426">
        <v>14572676.99</v>
      </c>
      <c r="EU18" s="379"/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>
        <v>48299287.68</v>
      </c>
      <c r="ET19" s="425">
        <v>8994145.9900000002</v>
      </c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>
        <v>25459426.109999999</v>
      </c>
      <c r="ET20" s="425">
        <v>4907250.76</v>
      </c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>
        <v>1813540.61</v>
      </c>
      <c r="ET21" s="425">
        <v>365962.97</v>
      </c>
      <c r="EU21" s="377"/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>
        <v>2008464.28</v>
      </c>
      <c r="ET22" s="425">
        <v>305317.27</v>
      </c>
      <c r="EU22" s="377"/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1044119.04</v>
      </c>
      <c r="EM23" s="379">
        <v>1380660.13</v>
      </c>
      <c r="EN23" s="379">
        <v>1483988.38</v>
      </c>
      <c r="EO23" s="379">
        <v>1598254.37</v>
      </c>
      <c r="EP23" s="379">
        <v>1300121.74</v>
      </c>
      <c r="EQ23" s="379">
        <v>1269238.77</v>
      </c>
      <c r="ER23" s="379">
        <v>1101076.77</v>
      </c>
      <c r="ES23" s="379">
        <v>1131476.8799999999</v>
      </c>
      <c r="ET23" s="426">
        <v>725562.24</v>
      </c>
      <c r="EU23" s="379"/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425">
        <v>512058.71</v>
      </c>
      <c r="EU24" s="377"/>
      <c r="EV24" s="377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425">
        <v>93434.6</v>
      </c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425">
        <v>21633.83</v>
      </c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425">
        <v>98435.1</v>
      </c>
      <c r="EU27" s="377"/>
      <c r="EV27" s="377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1266650.8400000001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>
        <v>2988857.35</v>
      </c>
      <c r="ET28" s="426">
        <v>1774503.57</v>
      </c>
      <c r="EU28" s="379"/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425">
        <v>29715.1</v>
      </c>
      <c r="EU29" s="377"/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425">
        <v>120406.14</v>
      </c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425">
        <v>1567.64</v>
      </c>
      <c r="EU31" s="377"/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774</v>
      </c>
      <c r="EN32" s="377" t="s">
        <v>775</v>
      </c>
      <c r="EO32" s="377">
        <v>608693.02</v>
      </c>
      <c r="EP32" s="377" t="s">
        <v>776</v>
      </c>
      <c r="EQ32" s="377">
        <v>179273.43</v>
      </c>
      <c r="ER32" s="377" t="s">
        <v>777</v>
      </c>
      <c r="ES32" s="377"/>
      <c r="ET32" s="425">
        <v>564026.22</v>
      </c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425">
        <v>202641</v>
      </c>
      <c r="EU33" s="377"/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425">
        <v>856147.47</v>
      </c>
      <c r="EU34" s="377"/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1549598.76</v>
      </c>
      <c r="EI35" s="379">
        <v>2362534.5499999998</v>
      </c>
      <c r="EJ35" s="379">
        <v>2241014.9700000002</v>
      </c>
      <c r="EK35" s="379">
        <v>3537625.59</v>
      </c>
      <c r="EL35" s="379">
        <v>2195275.86</v>
      </c>
      <c r="EM35" s="379">
        <v>3677729.73</v>
      </c>
      <c r="EN35" s="379">
        <v>5924157.2800000003</v>
      </c>
      <c r="EO35" s="379">
        <v>2465692.11</v>
      </c>
      <c r="EP35" s="379">
        <v>1761653.61</v>
      </c>
      <c r="EQ35" s="379">
        <v>3081238.83</v>
      </c>
      <c r="ER35" s="379">
        <v>1891187.54</v>
      </c>
      <c r="ES35" s="379">
        <v>5011486</v>
      </c>
      <c r="ET35" s="426">
        <v>2486753.54</v>
      </c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>
        <v>820647.53</v>
      </c>
      <c r="EN36" s="377">
        <v>3136696.6</v>
      </c>
      <c r="EO36" s="377">
        <v>27155.64</v>
      </c>
      <c r="EP36" s="377">
        <v>13813.05</v>
      </c>
      <c r="EQ36" s="377">
        <v>133915.20000000001</v>
      </c>
      <c r="ER36" s="377">
        <v>210157.98</v>
      </c>
      <c r="ES36" s="377"/>
      <c r="ET36" s="427">
        <v>757682.7</v>
      </c>
      <c r="EU36" s="377"/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377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/>
      <c r="ET37" s="425">
        <v>657232.74</v>
      </c>
      <c r="EU37" s="377"/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/>
      <c r="ET38" s="425">
        <v>126122.18</v>
      </c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>
        <v>20867.330000000002</v>
      </c>
      <c r="EI40" s="377">
        <v>70916.160000000003</v>
      </c>
      <c r="EJ40" s="377">
        <v>65967</v>
      </c>
      <c r="EK40" s="377">
        <v>1070298.19</v>
      </c>
      <c r="EL40" s="377">
        <v>724479.47</v>
      </c>
      <c r="EM40" s="377">
        <v>1430729.48</v>
      </c>
      <c r="EN40" s="377">
        <v>1009041.84</v>
      </c>
      <c r="EO40" s="377">
        <v>73978.179999999993</v>
      </c>
      <c r="EP40" s="377">
        <v>167534.29</v>
      </c>
      <c r="EQ40" s="377">
        <v>68693.73</v>
      </c>
      <c r="ER40" s="377">
        <v>399611.81</v>
      </c>
      <c r="ES40" s="377">
        <v>1088997.75</v>
      </c>
      <c r="ET40" s="425">
        <v>945715.92</v>
      </c>
      <c r="EU40" s="377"/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426">
        <v>136671.79999999999</v>
      </c>
      <c r="EU41" s="379"/>
      <c r="EV41" s="379"/>
      <c r="EW41" s="379"/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>
        <v>150350.67000000001</v>
      </c>
      <c r="EI43" s="377">
        <v>500193.46</v>
      </c>
      <c r="EJ43" s="377">
        <v>126045.79</v>
      </c>
      <c r="EK43" s="377">
        <v>67133.97</v>
      </c>
      <c r="EL43" s="377">
        <v>340170.16</v>
      </c>
      <c r="EM43" s="377">
        <v>1431878.17</v>
      </c>
      <c r="EN43" s="377">
        <v>588856.99</v>
      </c>
      <c r="EO43" s="377">
        <v>142813.88</v>
      </c>
      <c r="EP43" s="377">
        <v>182139.62</v>
      </c>
      <c r="EQ43" s="377">
        <v>603855.75</v>
      </c>
      <c r="ER43" s="377">
        <v>987894.53</v>
      </c>
      <c r="ES43" s="377">
        <v>1153177.5900000001</v>
      </c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/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426">
        <v>170875.32</v>
      </c>
      <c r="EU44" s="379"/>
      <c r="EV44" s="379"/>
      <c r="EW44" s="379"/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>
        <v>198902.46</v>
      </c>
      <c r="EI46" s="377">
        <v>1119540.18</v>
      </c>
      <c r="EJ46" s="377">
        <v>2133451.14</v>
      </c>
      <c r="EK46" s="377">
        <v>849572.77</v>
      </c>
      <c r="EL46" s="377">
        <v>1895943.06</v>
      </c>
      <c r="EM46" s="377">
        <v>1063223.94</v>
      </c>
      <c r="EN46" s="377">
        <v>2617220.7200000002</v>
      </c>
      <c r="EO46" s="377">
        <v>693924.15</v>
      </c>
      <c r="EP46" s="377">
        <v>1500964.26</v>
      </c>
      <c r="EQ46" s="377">
        <v>2652981.5699999998</v>
      </c>
      <c r="ER46" s="377">
        <v>2284497.5299999998</v>
      </c>
      <c r="ES46" s="377">
        <v>8271247.9800000004</v>
      </c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426">
        <v>1518621.66</v>
      </c>
      <c r="EU47" s="379"/>
      <c r="EV47" s="379"/>
      <c r="EW47" s="379"/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>
        <v>335235.24</v>
      </c>
      <c r="EI49" s="377">
        <v>23071904.219999999</v>
      </c>
      <c r="EJ49" s="377">
        <v>59275742.969999999</v>
      </c>
      <c r="EK49" s="377">
        <v>28598295.489999998</v>
      </c>
      <c r="EL49" s="377">
        <v>259019.66</v>
      </c>
      <c r="EM49" s="377">
        <v>29146143.309999999</v>
      </c>
      <c r="EN49" s="377">
        <v>25183759.27</v>
      </c>
      <c r="EO49" s="377">
        <v>76253335.569999993</v>
      </c>
      <c r="EP49" s="377">
        <v>43020325.210000001</v>
      </c>
      <c r="EQ49" s="377">
        <v>20632990.120000001</v>
      </c>
      <c r="ER49" s="377">
        <v>28222092.870000001</v>
      </c>
      <c r="ES49" s="377">
        <v>127429947.7</v>
      </c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/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>
        <v>29146143.309999999</v>
      </c>
      <c r="EN50" s="379">
        <v>25183759.27</v>
      </c>
      <c r="EO50" s="379">
        <v>76253335.569999993</v>
      </c>
      <c r="EP50" s="379">
        <v>43020325.210000001</v>
      </c>
      <c r="EQ50" s="379"/>
      <c r="ER50" s="379"/>
      <c r="ES50" s="379"/>
      <c r="ET50" s="426">
        <v>24756264.800000001</v>
      </c>
      <c r="EU50" s="379"/>
      <c r="EV50" s="379"/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>
        <v>0</v>
      </c>
      <c r="ER51" s="377">
        <v>0</v>
      </c>
      <c r="ES51" s="377">
        <v>3000000</v>
      </c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34554.129999999997</v>
      </c>
      <c r="EI52" s="377">
        <v>322585.33</v>
      </c>
      <c r="EJ52" s="377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>
        <v>127444455.40000001</v>
      </c>
      <c r="ET52" s="427">
        <v>24535941.960000001</v>
      </c>
      <c r="EU52" s="377"/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/>
      <c r="EI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427">
        <v>220322.84</v>
      </c>
      <c r="EU53" s="377"/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425">
        <v>104498495.13</v>
      </c>
      <c r="EU54" s="377"/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>
        <v>36341017.520000003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>
        <v>36145069.369999997</v>
      </c>
      <c r="EQ55" s="377">
        <v>37968977.82</v>
      </c>
      <c r="ER55" s="377">
        <v>37257887.189999998</v>
      </c>
      <c r="ES55" s="377">
        <v>41404585.670000002</v>
      </c>
      <c r="ET55" s="425">
        <v>17822596.359999999</v>
      </c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425">
        <v>37313745.240000002</v>
      </c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377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377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377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763370.53</v>
      </c>
      <c r="EM61" s="377">
        <v>888374.79</v>
      </c>
      <c r="EN61" s="377">
        <v>845413.4</v>
      </c>
      <c r="EO61" s="377">
        <v>982340.29</v>
      </c>
      <c r="EP61" s="377">
        <v>710611.47</v>
      </c>
      <c r="EQ61" s="377">
        <v>864910.68</v>
      </c>
      <c r="ER61" s="377">
        <v>1028980.9</v>
      </c>
      <c r="ES61" s="377">
        <v>1951716.68</v>
      </c>
      <c r="ET61" s="377"/>
      <c r="EU61" s="377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425">
        <v>363127.64</v>
      </c>
      <c r="EU62" s="377"/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>
        <v>964375.48</v>
      </c>
      <c r="EI69" s="377">
        <v>2109344.7799999998</v>
      </c>
      <c r="EJ69" s="377">
        <v>2772426.02</v>
      </c>
      <c r="EK69" s="377">
        <v>1868404.05</v>
      </c>
      <c r="EL69" s="377">
        <v>2065761.38</v>
      </c>
      <c r="EM69" s="377">
        <v>2044302.92</v>
      </c>
      <c r="EN69" s="377">
        <v>1900343.87</v>
      </c>
      <c r="EO69" s="377">
        <v>2421002.2400000002</v>
      </c>
      <c r="EP69" s="377">
        <v>1848100.89</v>
      </c>
      <c r="EQ69" s="377">
        <v>3032654.88</v>
      </c>
      <c r="ER69" s="377">
        <v>2235715.75</v>
      </c>
      <c r="ES69" s="377">
        <v>6000718.46</v>
      </c>
      <c r="ET69" s="377"/>
      <c r="EU69" s="377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425">
        <v>1027061</v>
      </c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377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377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377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>
        <v>1445443.93</v>
      </c>
      <c r="EI76" s="377">
        <v>3318516.23</v>
      </c>
      <c r="EJ76" s="377">
        <v>7050406.4900000002</v>
      </c>
      <c r="EK76" s="377">
        <v>5446546.7800000003</v>
      </c>
      <c r="EL76" s="377">
        <v>3548711.83</v>
      </c>
      <c r="EM76" s="377">
        <v>4342615.72</v>
      </c>
      <c r="EN76" s="377">
        <v>5219310.84</v>
      </c>
      <c r="EO76" s="377">
        <v>5169360.8</v>
      </c>
      <c r="EP76" s="377">
        <v>4341121.62</v>
      </c>
      <c r="EQ76" s="377">
        <v>4884082.33</v>
      </c>
      <c r="ER76" s="377">
        <v>4047161.45</v>
      </c>
      <c r="ES76" s="377">
        <v>17925486.800000001</v>
      </c>
      <c r="ET76" s="377"/>
      <c r="EU76" s="377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425">
        <v>1697968.93</v>
      </c>
      <c r="EU77" s="377"/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377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377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377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>
        <v>133702.59</v>
      </c>
      <c r="EI86" s="377">
        <v>831412.02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>
        <v>2163282.15</v>
      </c>
      <c r="EQ86" s="377">
        <v>1881648.29</v>
      </c>
      <c r="ER86" s="377">
        <v>1702269.74</v>
      </c>
      <c r="ES86" s="377">
        <v>4045495.9</v>
      </c>
      <c r="ET86" s="377"/>
      <c r="EU86" s="377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425">
        <v>106817.18</v>
      </c>
      <c r="EU87" s="377"/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377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377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>
        <v>3229720.9</v>
      </c>
      <c r="EI90" s="377">
        <v>1105648.4099999999</v>
      </c>
      <c r="EJ90" s="377">
        <v>39350670.159999996</v>
      </c>
      <c r="EK90" s="377">
        <v>18359667.859999999</v>
      </c>
      <c r="EL90" s="377">
        <v>16347481.07</v>
      </c>
      <c r="EM90" s="377">
        <v>2519907.7599999998</v>
      </c>
      <c r="EN90" s="377">
        <v>6570219.0800000001</v>
      </c>
      <c r="EO90" s="377">
        <v>1254218.04</v>
      </c>
      <c r="EP90" s="377">
        <v>2016695.15</v>
      </c>
      <c r="EQ90" s="377">
        <v>1739140.99</v>
      </c>
      <c r="ER90" s="377">
        <v>3918626.83</v>
      </c>
      <c r="ES90" s="377">
        <v>2293382.33</v>
      </c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425">
        <v>4324077.55</v>
      </c>
      <c r="EU91" s="377"/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377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>
        <v>680713.27</v>
      </c>
      <c r="EQ93" s="377">
        <v>802737.21</v>
      </c>
      <c r="ER93" s="377">
        <v>721286.02</v>
      </c>
      <c r="ES93" s="377">
        <v>1571298.28</v>
      </c>
      <c r="ET93" s="377"/>
      <c r="EU93" s="377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425">
        <v>175603.34</v>
      </c>
      <c r="EU94" s="377"/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377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>
        <v>3824679.63</v>
      </c>
      <c r="EQ97" s="377">
        <v>2388415.48</v>
      </c>
      <c r="ER97" s="377">
        <v>3022483.62</v>
      </c>
      <c r="ES97" s="377">
        <v>8215705.0499999998</v>
      </c>
      <c r="ET97" s="377"/>
      <c r="EU97" s="377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425">
        <v>31033.66</v>
      </c>
      <c r="EU98" s="377"/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377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>
        <v>641900.81999999995</v>
      </c>
      <c r="EI101" s="377">
        <v>1813185.28</v>
      </c>
      <c r="EJ101" s="377">
        <v>3850774.87</v>
      </c>
      <c r="EK101" s="377">
        <v>2539698.67</v>
      </c>
      <c r="EL101" s="377">
        <v>2629633.84</v>
      </c>
      <c r="EM101" s="377">
        <v>2650654.59</v>
      </c>
      <c r="EN101" s="377">
        <v>2526292.0099999998</v>
      </c>
      <c r="EO101" s="377">
        <v>2670416.61</v>
      </c>
      <c r="EP101" s="377">
        <v>2768002.05</v>
      </c>
      <c r="EQ101" s="377">
        <v>3382897.72</v>
      </c>
      <c r="ER101" s="377">
        <v>4807051.49</v>
      </c>
      <c r="ES101" s="377">
        <v>8030767.0499999998</v>
      </c>
      <c r="ET101" s="377"/>
      <c r="EU101" s="377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425">
        <v>585935.19999999995</v>
      </c>
      <c r="EU102" s="377"/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377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377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377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377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377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377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377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>
        <v>6564978.3200000003</v>
      </c>
      <c r="EQ112" s="377">
        <v>7602969.7000000002</v>
      </c>
      <c r="ER112" s="377">
        <v>6324073.25</v>
      </c>
      <c r="ES112" s="377">
        <v>6683946.5800000001</v>
      </c>
      <c r="ET112" s="425">
        <v>42244817.57</v>
      </c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425">
        <v>6003212.1200000001</v>
      </c>
      <c r="EU113" s="377"/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377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377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377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377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377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377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377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741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1069131.58</v>
      </c>
      <c r="EO121" s="377">
        <v>1024731.32</v>
      </c>
      <c r="EP121" s="377">
        <v>1115186.56</v>
      </c>
      <c r="EQ121" s="377">
        <v>1056401.0900000001</v>
      </c>
      <c r="ER121" s="377">
        <v>1118494.9099999999</v>
      </c>
      <c r="ES121" s="377">
        <v>2048499.78</v>
      </c>
      <c r="ET121" s="377"/>
      <c r="EU121" s="377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425">
        <v>110952</v>
      </c>
      <c r="EU122" s="377"/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377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377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377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377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34045532.219999999</v>
      </c>
      <c r="EP127" s="377">
        <v>33914885.549999997</v>
      </c>
      <c r="EQ127" s="377">
        <v>33960607.270000003</v>
      </c>
      <c r="ER127" s="377">
        <v>33919324.859999999</v>
      </c>
      <c r="ES127" s="377">
        <v>33927498.649999999</v>
      </c>
      <c r="ET127" s="377"/>
      <c r="EU127" s="377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425">
        <v>34029606.390000001</v>
      </c>
      <c r="EU128" s="377"/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377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377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377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377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377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377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>
        <v>1518302.55</v>
      </c>
      <c r="EQ135" s="377">
        <v>1424217.95</v>
      </c>
      <c r="ER135" s="377">
        <v>1512893.76</v>
      </c>
      <c r="ES135" s="377">
        <v>1723879.49</v>
      </c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425">
        <v>1365364.87</v>
      </c>
      <c r="EU136" s="377"/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>
        <v>266542</v>
      </c>
      <c r="EI137" s="377">
        <v>813711.97</v>
      </c>
      <c r="EJ137" s="377">
        <v>753027.44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700345.86</v>
      </c>
      <c r="EP137" s="377">
        <v>933405.66</v>
      </c>
      <c r="EQ137" s="377">
        <v>704680.49</v>
      </c>
      <c r="ER137" s="377">
        <v>758794.16</v>
      </c>
      <c r="ES137" s="377">
        <v>765627.44</v>
      </c>
      <c r="ET137" s="377"/>
      <c r="EU137" s="377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425">
        <v>735682.19</v>
      </c>
      <c r="EU138" s="377"/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377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377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>
        <v>13743974.02</v>
      </c>
      <c r="EQ141" s="377">
        <v>13251144.24</v>
      </c>
      <c r="ER141" s="377">
        <v>11142113.050000001</v>
      </c>
      <c r="ES141" s="377">
        <v>29896675.100000001</v>
      </c>
      <c r="ET141" s="377"/>
      <c r="EU141" s="377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>
        <v>13129810.890000001</v>
      </c>
      <c r="ER142" s="377">
        <v>11137560.17</v>
      </c>
      <c r="ES142" s="377"/>
      <c r="ET142" s="425">
        <v>11036841.98</v>
      </c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/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425">
        <v>10553508.65</v>
      </c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425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>
        <v>121333.35</v>
      </c>
      <c r="ER152" s="377">
        <v>4552.88</v>
      </c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425">
        <v>483333.33</v>
      </c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377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377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377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>
        <v>109644.44</v>
      </c>
      <c r="EI159" s="377">
        <v>1522597.04</v>
      </c>
      <c r="EJ159" s="377">
        <v>8434786.5999999996</v>
      </c>
      <c r="EK159" s="377">
        <v>6918517.2599999998</v>
      </c>
      <c r="EL159" s="377">
        <v>2561374.17</v>
      </c>
      <c r="EM159" s="377">
        <v>25163803.16</v>
      </c>
      <c r="EN159" s="377">
        <v>10754440.220000001</v>
      </c>
      <c r="EO159" s="377">
        <v>29296079.120000001</v>
      </c>
      <c r="EP159" s="377">
        <v>19940301.670000002</v>
      </c>
      <c r="EQ159" s="377">
        <v>29993285.289999999</v>
      </c>
      <c r="ER159" s="377">
        <v>37935759.630000003</v>
      </c>
      <c r="ES159" s="377">
        <v>82875761.950000003</v>
      </c>
      <c r="ET159" s="377"/>
      <c r="EU159" s="377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736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285927.93</v>
      </c>
      <c r="EI160" s="377">
        <v>790874.28</v>
      </c>
      <c r="EJ160" s="377">
        <v>752250.88</v>
      </c>
      <c r="EK160" s="377">
        <v>2350979.62</v>
      </c>
      <c r="EL160" s="377">
        <v>1530166.93</v>
      </c>
      <c r="EM160" s="377">
        <v>2532089.2999999998</v>
      </c>
      <c r="EN160" s="377">
        <v>1775062.82</v>
      </c>
      <c r="EO160" s="377">
        <v>2480710.67</v>
      </c>
      <c r="EP160" s="377">
        <v>1700857.78</v>
      </c>
      <c r="EQ160" s="377">
        <v>3540984.99</v>
      </c>
      <c r="ER160" s="377">
        <v>1800507.48</v>
      </c>
      <c r="ES160" s="377">
        <v>12879238.83</v>
      </c>
      <c r="ET160" s="425">
        <v>2060574.27</v>
      </c>
      <c r="EU160" s="377"/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425">
        <v>3266992.16</v>
      </c>
      <c r="EU161" s="377"/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377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377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377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377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377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377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377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377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>
        <v>15000</v>
      </c>
      <c r="EQ170" s="377">
        <v>691995.33</v>
      </c>
      <c r="ER170" s="377">
        <v>70920.759999999995</v>
      </c>
      <c r="ES170" s="377"/>
      <c r="ET170" s="377"/>
      <c r="EU170" s="377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>
        <v>2950278</v>
      </c>
      <c r="ET171" s="425">
        <v>5000</v>
      </c>
      <c r="EU171" s="377"/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425">
        <v>5000</v>
      </c>
      <c r="EU172" s="377"/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377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377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377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377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377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425">
        <v>27871672.789999999</v>
      </c>
      <c r="EU178" s="377"/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65870871.859999999</v>
      </c>
      <c r="EP179" s="377">
        <v>8684013.8599999994</v>
      </c>
      <c r="EQ179" s="377">
        <v>2314998.5699999998</v>
      </c>
      <c r="ER179" s="377">
        <v>865501.84</v>
      </c>
      <c r="ES179" s="377">
        <v>17178358.239999998</v>
      </c>
      <c r="ET179" s="425">
        <v>26200164.98</v>
      </c>
      <c r="EU179" s="377"/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1802308.17</v>
      </c>
      <c r="EI180" s="377">
        <v>1892608.13</v>
      </c>
      <c r="EJ180" s="377">
        <v>7944436.3899999997</v>
      </c>
      <c r="EK180" s="377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2539646.15</v>
      </c>
      <c r="EP180" s="377">
        <v>4390481.9000000004</v>
      </c>
      <c r="EQ180" s="377">
        <v>4884517.4000000004</v>
      </c>
      <c r="ER180" s="377">
        <v>6156717.2599999998</v>
      </c>
      <c r="ES180" s="377">
        <v>11593842.74</v>
      </c>
      <c r="ET180" s="425">
        <v>24566746.16</v>
      </c>
      <c r="EU180" s="377"/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/>
      <c r="EI181" s="377"/>
      <c r="EJ181" s="377"/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425">
        <v>1633418.82</v>
      </c>
      <c r="EU181" s="377"/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377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377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>
        <v>2184051.7200000002</v>
      </c>
      <c r="EI184" s="377">
        <v>1764900.98</v>
      </c>
      <c r="EJ184" s="377">
        <v>2883254.52</v>
      </c>
      <c r="EK184" s="377">
        <v>1767565.23</v>
      </c>
      <c r="EL184" s="377">
        <v>1819114.92</v>
      </c>
      <c r="EM184" s="377">
        <v>3273831.52</v>
      </c>
      <c r="EN184" s="377">
        <v>12593149</v>
      </c>
      <c r="EO184" s="377">
        <v>3919363.28</v>
      </c>
      <c r="EP184" s="377">
        <v>2388146.7200000002</v>
      </c>
      <c r="EQ184" s="377">
        <v>2862908.84</v>
      </c>
      <c r="ER184" s="377">
        <v>2620351.65</v>
      </c>
      <c r="ES184" s="377">
        <v>1884186.27</v>
      </c>
      <c r="ET184" s="377"/>
      <c r="EU184" s="377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4315705.9400000004</v>
      </c>
      <c r="EM185" s="377">
        <v>1297104.97</v>
      </c>
      <c r="EN185" s="377">
        <v>826758.17</v>
      </c>
      <c r="EO185" s="377">
        <v>1509270</v>
      </c>
      <c r="EP185" s="377">
        <v>1178123.47</v>
      </c>
      <c r="EQ185" s="377">
        <v>4740919.33</v>
      </c>
      <c r="ER185" s="377">
        <v>1360299.94</v>
      </c>
      <c r="ES185" s="377">
        <v>3645650.27</v>
      </c>
      <c r="ET185" s="425">
        <v>1671507.81</v>
      </c>
      <c r="EU185" s="377"/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425">
        <v>190000</v>
      </c>
      <c r="EU186" s="377"/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701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Total Revenues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Total Expenditures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Surplus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61">
      <c r="EH213" s="340"/>
    </row>
    <row r="216" spans="1:161">
      <c r="E216" s="531" t="s">
        <v>691</v>
      </c>
      <c r="F216" s="528">
        <v>2006</v>
      </c>
      <c r="G216" s="529"/>
      <c r="H216" s="529"/>
      <c r="I216" s="529"/>
      <c r="J216" s="529"/>
      <c r="K216" s="529"/>
      <c r="L216" s="529"/>
      <c r="M216" s="529"/>
      <c r="N216" s="529"/>
      <c r="O216" s="529"/>
      <c r="P216" s="529"/>
      <c r="Q216" s="530"/>
      <c r="R216" s="528">
        <v>2007</v>
      </c>
      <c r="S216" s="529"/>
      <c r="T216" s="529"/>
      <c r="U216" s="529"/>
      <c r="V216" s="529"/>
      <c r="W216" s="529"/>
      <c r="X216" s="529"/>
      <c r="Y216" s="529"/>
      <c r="Z216" s="529"/>
      <c r="AA216" s="529"/>
      <c r="AB216" s="529"/>
      <c r="AC216" s="530"/>
      <c r="AD216" s="528">
        <v>2008</v>
      </c>
      <c r="AE216" s="529"/>
      <c r="AF216" s="529"/>
      <c r="AG216" s="529"/>
      <c r="AH216" s="529"/>
      <c r="AI216" s="529"/>
      <c r="AJ216" s="529"/>
      <c r="AK216" s="529"/>
      <c r="AL216" s="529"/>
      <c r="AM216" s="529"/>
      <c r="AN216" s="529"/>
      <c r="AO216" s="530"/>
      <c r="AP216" s="528">
        <v>2009</v>
      </c>
      <c r="AQ216" s="529"/>
      <c r="AR216" s="529"/>
      <c r="AS216" s="529"/>
      <c r="AT216" s="529"/>
      <c r="AU216" s="529"/>
      <c r="AV216" s="529"/>
      <c r="AW216" s="529"/>
      <c r="AX216" s="529"/>
      <c r="AY216" s="529"/>
      <c r="AZ216" s="529"/>
      <c r="BA216" s="530"/>
      <c r="BB216" s="528">
        <v>2010</v>
      </c>
      <c r="BC216" s="529"/>
      <c r="BD216" s="529"/>
      <c r="BE216" s="529"/>
      <c r="BF216" s="529"/>
      <c r="BG216" s="529"/>
      <c r="BH216" s="529"/>
      <c r="BI216" s="529"/>
      <c r="BJ216" s="529"/>
      <c r="BK216" s="529"/>
      <c r="BL216" s="529"/>
      <c r="BM216" s="530"/>
      <c r="BN216" s="528">
        <v>2011</v>
      </c>
      <c r="BO216" s="529"/>
      <c r="BP216" s="529"/>
      <c r="BQ216" s="529"/>
      <c r="BR216" s="529"/>
      <c r="BS216" s="529"/>
      <c r="BT216" s="529"/>
      <c r="BU216" s="529"/>
      <c r="BV216" s="529"/>
      <c r="BW216" s="529"/>
      <c r="BX216" s="529"/>
      <c r="BY216" s="530"/>
      <c r="BZ216" s="529">
        <v>2012</v>
      </c>
      <c r="CA216" s="529"/>
      <c r="CB216" s="529"/>
      <c r="CC216" s="529"/>
      <c r="CD216" s="529"/>
      <c r="CE216" s="529"/>
      <c r="CF216" s="529"/>
      <c r="CG216" s="529"/>
      <c r="CH216" s="529"/>
      <c r="CI216" s="529"/>
      <c r="CJ216" s="529"/>
      <c r="CK216" s="529"/>
      <c r="CL216" s="528">
        <v>2013</v>
      </c>
      <c r="CM216" s="529"/>
      <c r="CN216" s="529"/>
      <c r="CO216" s="529"/>
      <c r="CP216" s="529"/>
      <c r="CQ216" s="529"/>
      <c r="CR216" s="529"/>
      <c r="CS216" s="529"/>
      <c r="CT216" s="529"/>
      <c r="CU216" s="529"/>
      <c r="CV216" s="529"/>
      <c r="CW216" s="530"/>
      <c r="CX216" s="528">
        <v>2014</v>
      </c>
      <c r="CY216" s="529"/>
      <c r="CZ216" s="529"/>
      <c r="DA216" s="529"/>
      <c r="DB216" s="529"/>
      <c r="DC216" s="529"/>
      <c r="DD216" s="529"/>
      <c r="DE216" s="529"/>
      <c r="DF216" s="529"/>
      <c r="DG216" s="529"/>
      <c r="DH216" s="529"/>
      <c r="DI216" s="530"/>
      <c r="DJ216" s="528">
        <v>2015</v>
      </c>
      <c r="DK216" s="529"/>
      <c r="DL216" s="529"/>
      <c r="DM216" s="529"/>
      <c r="DN216" s="529"/>
      <c r="DO216" s="529"/>
      <c r="DP216" s="529"/>
      <c r="DQ216" s="529"/>
      <c r="DR216" s="529"/>
      <c r="DS216" s="529"/>
      <c r="DT216" s="529"/>
      <c r="DU216" s="530"/>
    </row>
    <row r="217" spans="1:161">
      <c r="E217" s="531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722</v>
      </c>
      <c r="DW217" s="42" t="s">
        <v>723</v>
      </c>
      <c r="DX217" s="42" t="s">
        <v>724</v>
      </c>
      <c r="DY217" s="42" t="s">
        <v>725</v>
      </c>
      <c r="DZ217" s="42" t="s">
        <v>726</v>
      </c>
      <c r="EA217" s="42" t="s">
        <v>727</v>
      </c>
      <c r="EB217" s="42" t="s">
        <v>728</v>
      </c>
      <c r="EC217" s="42" t="s">
        <v>729</v>
      </c>
      <c r="ED217" s="42" t="s">
        <v>730</v>
      </c>
      <c r="EE217" s="42" t="s">
        <v>731</v>
      </c>
      <c r="EF217" s="42" t="s">
        <v>732</v>
      </c>
      <c r="EG217" s="42" t="s">
        <v>733</v>
      </c>
      <c r="EH217" s="398" t="s">
        <v>744</v>
      </c>
      <c r="EI217" s="398" t="s">
        <v>745</v>
      </c>
      <c r="EJ217" s="398" t="s">
        <v>746</v>
      </c>
      <c r="EK217" s="398" t="s">
        <v>747</v>
      </c>
      <c r="EL217" s="398" t="s">
        <v>748</v>
      </c>
      <c r="EM217" s="398" t="s">
        <v>749</v>
      </c>
      <c r="EN217" s="398" t="s">
        <v>750</v>
      </c>
      <c r="EO217" s="398" t="s">
        <v>751</v>
      </c>
      <c r="EP217" s="398" t="s">
        <v>752</v>
      </c>
      <c r="EQ217" s="398" t="s">
        <v>753</v>
      </c>
      <c r="ER217" s="398" t="s">
        <v>754</v>
      </c>
      <c r="ES217" s="398" t="s">
        <v>755</v>
      </c>
      <c r="ET217" s="398" t="s">
        <v>762</v>
      </c>
      <c r="EU217" s="398" t="s">
        <v>763</v>
      </c>
      <c r="EV217" s="398" t="s">
        <v>764</v>
      </c>
      <c r="EW217" s="398" t="s">
        <v>765</v>
      </c>
      <c r="EX217" s="398" t="s">
        <v>766</v>
      </c>
      <c r="EY217" s="398" t="s">
        <v>767</v>
      </c>
      <c r="EZ217" s="398" t="s">
        <v>768</v>
      </c>
      <c r="FA217" s="398" t="s">
        <v>769</v>
      </c>
      <c r="FB217" s="398" t="s">
        <v>770</v>
      </c>
      <c r="FC217" s="398" t="s">
        <v>771</v>
      </c>
      <c r="FD217" s="398" t="s">
        <v>772</v>
      </c>
      <c r="FE217" s="398" t="s">
        <v>773</v>
      </c>
    </row>
    <row r="218" spans="1:161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61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61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  <c r="ET220" s="413">
        <v>60109816.050396062</v>
      </c>
      <c r="EU220" s="413">
        <v>57071387.698143646</v>
      </c>
      <c r="EV220" s="413">
        <v>100089058.0271076</v>
      </c>
      <c r="EW220" s="413">
        <v>90479064.507598534</v>
      </c>
      <c r="EX220" s="413">
        <v>87547020.248852983</v>
      </c>
      <c r="EY220" s="413">
        <v>95858615.9126039</v>
      </c>
      <c r="EZ220" s="413">
        <v>100385808.64930755</v>
      </c>
      <c r="FA220" s="413">
        <v>111414256.15828978</v>
      </c>
      <c r="FB220" s="413">
        <v>103320065.36997487</v>
      </c>
      <c r="FC220" s="413">
        <v>96875847.045456797</v>
      </c>
      <c r="FD220" s="413">
        <v>83438319.764974207</v>
      </c>
      <c r="FE220" s="413">
        <v>99732798.326922998</v>
      </c>
    </row>
    <row r="221" spans="1:161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338">
        <v>4618143.9894055836</v>
      </c>
      <c r="EU221" s="41">
        <v>9284899.6687729731</v>
      </c>
      <c r="EV221" s="41">
        <v>10892199.316978985</v>
      </c>
      <c r="EW221" s="41">
        <v>10455826.187565433</v>
      </c>
      <c r="EX221" s="41">
        <v>11769547.01149036</v>
      </c>
      <c r="EY221" s="41">
        <v>11642228.889617292</v>
      </c>
      <c r="EZ221" s="41">
        <v>12670329.157513712</v>
      </c>
      <c r="FA221" s="41">
        <v>12548950.360382685</v>
      </c>
      <c r="FB221" s="41">
        <v>11510602.880926838</v>
      </c>
      <c r="FC221" s="41">
        <v>12249875.762775112</v>
      </c>
      <c r="FD221" s="41">
        <v>9188011.5097490586</v>
      </c>
      <c r="FE221" s="41">
        <v>17303789.852902249</v>
      </c>
    </row>
    <row r="222" spans="1:161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  <c r="ET222" s="338">
        <v>640697.66654902068</v>
      </c>
      <c r="EU222" s="338">
        <v>1258489.341576278</v>
      </c>
      <c r="EV222" s="338">
        <v>17846125.068047047</v>
      </c>
      <c r="EW222" s="338">
        <v>14699092.518372357</v>
      </c>
      <c r="EX222" s="338">
        <v>2718750.0754643138</v>
      </c>
      <c r="EY222" s="338">
        <v>2526432.7594556934</v>
      </c>
      <c r="EZ222" s="338">
        <v>2454704.3834308567</v>
      </c>
      <c r="FA222" s="338">
        <v>2544621.6123291762</v>
      </c>
      <c r="FB222" s="338">
        <v>1118291.2587748629</v>
      </c>
      <c r="FC222" s="338">
        <v>1710454.4471528837</v>
      </c>
      <c r="FD222" s="338">
        <v>676421.92401853995</v>
      </c>
      <c r="FE222" s="338">
        <v>1686954.7184825146</v>
      </c>
    </row>
    <row r="223" spans="1:161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338">
        <v>131310.10512390421</v>
      </c>
      <c r="EU223" s="41">
        <v>241173.06208160633</v>
      </c>
      <c r="EV223" s="41">
        <v>197793.08388741218</v>
      </c>
      <c r="EW223" s="41">
        <v>209772.37284527504</v>
      </c>
      <c r="EX223" s="41">
        <v>399270.53764722234</v>
      </c>
      <c r="EY223" s="41">
        <v>214584.58779897663</v>
      </c>
      <c r="EZ223" s="41">
        <v>314113.94562445628</v>
      </c>
      <c r="FA223" s="41">
        <v>340718.21098900295</v>
      </c>
      <c r="FB223" s="41">
        <v>258912.16492020246</v>
      </c>
      <c r="FC223" s="41">
        <v>437182.06640708697</v>
      </c>
      <c r="FD223" s="41">
        <v>370142.87079353741</v>
      </c>
      <c r="FE223" s="41">
        <v>290416.69112942234</v>
      </c>
    </row>
    <row r="224" spans="1:161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338">
        <v>37523468.66235248</v>
      </c>
      <c r="EU224" s="41">
        <v>30333658.787046466</v>
      </c>
      <c r="EV224" s="41">
        <v>51631749.35770648</v>
      </c>
      <c r="EW224" s="41">
        <v>44826373.040359117</v>
      </c>
      <c r="EX224" s="41">
        <v>49873452.162422307</v>
      </c>
      <c r="EY224" s="41">
        <v>57444085.190202698</v>
      </c>
      <c r="EZ224" s="41">
        <v>58270263.375414416</v>
      </c>
      <c r="FA224" s="41">
        <v>63955202.344856046</v>
      </c>
      <c r="FB224" s="41">
        <v>60119888.964981407</v>
      </c>
      <c r="FC224" s="41">
        <v>56319427.782048695</v>
      </c>
      <c r="FD224" s="41">
        <v>50563201.687991545</v>
      </c>
      <c r="FE224" s="41">
        <v>56478824.882279612</v>
      </c>
    </row>
    <row r="225" spans="1:161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338">
        <v>15514613.247426104</v>
      </c>
      <c r="EU225" s="41">
        <v>13720024.892780244</v>
      </c>
      <c r="EV225" s="41">
        <v>16442956.06471758</v>
      </c>
      <c r="EW225" s="41">
        <v>17374028.269881994</v>
      </c>
      <c r="EX225" s="41">
        <v>19701009.727677468</v>
      </c>
      <c r="EY225" s="41">
        <v>20749639.846713897</v>
      </c>
      <c r="EZ225" s="41">
        <v>23250436.480347391</v>
      </c>
      <c r="FA225" s="41">
        <v>28321045.89384304</v>
      </c>
      <c r="FB225" s="41">
        <v>27321859.077326633</v>
      </c>
      <c r="FC225" s="41">
        <v>23123818.514601152</v>
      </c>
      <c r="FD225" s="41">
        <v>20002538.917064004</v>
      </c>
      <c r="FE225" s="41">
        <v>20850235.007634521</v>
      </c>
    </row>
    <row r="226" spans="1:161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338">
        <v>1059328.2399936907</v>
      </c>
      <c r="EU226" s="41">
        <v>1579115.3478017247</v>
      </c>
      <c r="EV226" s="41">
        <v>2201970.6838855804</v>
      </c>
      <c r="EW226" s="41">
        <v>1985124.6631421652</v>
      </c>
      <c r="EX226" s="41">
        <v>2257551.068690625</v>
      </c>
      <c r="EY226" s="41">
        <v>2335126.2501745019</v>
      </c>
      <c r="EZ226" s="41">
        <v>2493589.0518439799</v>
      </c>
      <c r="FA226" s="41">
        <v>2829722.9926499384</v>
      </c>
      <c r="FB226" s="41">
        <v>2126761.4806041955</v>
      </c>
      <c r="FC226" s="41">
        <v>2143288.3925889055</v>
      </c>
      <c r="FD226" s="41">
        <v>1869250.9820304157</v>
      </c>
      <c r="FE226" s="41">
        <v>2260026.1546102823</v>
      </c>
    </row>
    <row r="227" spans="1:161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338"/>
    </row>
    <row r="228" spans="1:161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338">
        <v>622254.13954528561</v>
      </c>
      <c r="EU228" s="41">
        <v>654026.59808434988</v>
      </c>
      <c r="EV228" s="41">
        <v>876264.45188452152</v>
      </c>
      <c r="EW228" s="41">
        <v>928847.45543220767</v>
      </c>
      <c r="EX228" s="41">
        <v>827439.66546069668</v>
      </c>
      <c r="EY228" s="41">
        <v>946518.38864083635</v>
      </c>
      <c r="EZ228" s="41">
        <v>932372.255132725</v>
      </c>
      <c r="FA228" s="41">
        <v>873994.74323988287</v>
      </c>
      <c r="FB228" s="41">
        <v>863749.54244072409</v>
      </c>
      <c r="FC228" s="41">
        <v>891800.07988296391</v>
      </c>
      <c r="FD228" s="41">
        <v>768751.87332710018</v>
      </c>
      <c r="FE228" s="41">
        <v>862551.01988440065</v>
      </c>
    </row>
    <row r="229" spans="1:161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  <c r="ET229" s="413">
        <v>16036024.793189028</v>
      </c>
      <c r="EU229" s="413">
        <v>33298857.555693239</v>
      </c>
      <c r="EV229" s="413">
        <v>38781041.11782629</v>
      </c>
      <c r="EW229" s="413">
        <v>37207534.891815409</v>
      </c>
      <c r="EX229" s="413">
        <v>41975290.997073464</v>
      </c>
      <c r="EY229" s="413">
        <v>42006469.716118105</v>
      </c>
      <c r="EZ229" s="413">
        <v>46051473.215158872</v>
      </c>
      <c r="FA229" s="413">
        <v>45417168.712223172</v>
      </c>
      <c r="FB229" s="413">
        <v>41655229.490652964</v>
      </c>
      <c r="FC229" s="413">
        <v>44149999.143204302</v>
      </c>
      <c r="FD229" s="413">
        <v>45501177.426736034</v>
      </c>
      <c r="FE229" s="413">
        <v>79468127.972333685</v>
      </c>
    </row>
    <row r="230" spans="1:161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338">
        <v>9626465.1714532841</v>
      </c>
      <c r="EU230" s="41">
        <v>19323119.320571974</v>
      </c>
      <c r="EV230" s="41">
        <v>22661236.870072275</v>
      </c>
      <c r="EW230" s="41">
        <v>21671712.932408508</v>
      </c>
      <c r="EX230" s="41">
        <v>24422592.65266164</v>
      </c>
      <c r="EY230" s="41">
        <v>24347303.194317084</v>
      </c>
      <c r="EZ230" s="41">
        <v>27063230.092681259</v>
      </c>
      <c r="FA230" s="41">
        <v>26617527.74049912</v>
      </c>
      <c r="FB230" s="41">
        <v>24086861.224745333</v>
      </c>
      <c r="FC230" s="41">
        <v>26037673.197168887</v>
      </c>
      <c r="FD230" s="41">
        <v>29266737.475276843</v>
      </c>
      <c r="FE230" s="41">
        <v>48371655.090694487</v>
      </c>
    </row>
    <row r="231" spans="1:161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338">
        <v>5931594.0843413193</v>
      </c>
      <c r="EU231" s="41">
        <v>12036824.766470727</v>
      </c>
      <c r="EV231" s="41">
        <v>14087280.929414179</v>
      </c>
      <c r="EW231" s="41">
        <v>13443904.154916795</v>
      </c>
      <c r="EX231" s="41">
        <v>15166634.423399368</v>
      </c>
      <c r="EY231" s="41">
        <v>15076261.65313234</v>
      </c>
      <c r="EZ231" s="41">
        <v>16282027.13815942</v>
      </c>
      <c r="FA231" s="41">
        <v>16112166.956787322</v>
      </c>
      <c r="FB231" s="41">
        <v>14895429.070452023</v>
      </c>
      <c r="FC231" s="41">
        <v>15879931.744340258</v>
      </c>
      <c r="FD231" s="41">
        <v>14507425.295348117</v>
      </c>
      <c r="FE231" s="41">
        <v>27518230.363804266</v>
      </c>
    </row>
    <row r="232" spans="1:161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338">
        <v>41461.016125474722</v>
      </c>
      <c r="EU232" s="41">
        <v>1089835.9035174672</v>
      </c>
      <c r="EV232" s="41">
        <v>1007647.8226283678</v>
      </c>
      <c r="EW232" s="41">
        <v>1115720.629942816</v>
      </c>
      <c r="EX232" s="41">
        <v>1279706.4140658588</v>
      </c>
      <c r="EY232" s="41">
        <v>1486615.3225560505</v>
      </c>
      <c r="EZ232" s="41">
        <v>1526583.0992700772</v>
      </c>
      <c r="FA232" s="41">
        <v>1509125.8519229586</v>
      </c>
      <c r="FB232" s="41">
        <v>1600961.2292083206</v>
      </c>
      <c r="FC232" s="41">
        <v>1102624.1581454086</v>
      </c>
      <c r="FD232" s="41">
        <v>1132609.3818553921</v>
      </c>
      <c r="FE232" s="41">
        <v>1420280.5236315699</v>
      </c>
    </row>
    <row r="233" spans="1:161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338">
        <v>436504.52126895066</v>
      </c>
      <c r="EU233" s="41">
        <v>849077.56513307139</v>
      </c>
      <c r="EV233" s="41">
        <v>1024875.4957114622</v>
      </c>
      <c r="EW233" s="41">
        <v>976197.17454728554</v>
      </c>
      <c r="EX233" s="41">
        <v>1106357.5069465931</v>
      </c>
      <c r="EY233" s="41">
        <v>1096289.5461126356</v>
      </c>
      <c r="EZ233" s="41">
        <v>1179632.8850481117</v>
      </c>
      <c r="FA233" s="41">
        <v>1178348.1630137677</v>
      </c>
      <c r="FB233" s="41">
        <v>1071977.9662472883</v>
      </c>
      <c r="FC233" s="41">
        <v>1129770.0435497572</v>
      </c>
      <c r="FD233" s="41">
        <v>594405.2742556826</v>
      </c>
      <c r="FE233" s="41">
        <v>2157961.9942033547</v>
      </c>
    </row>
    <row r="234" spans="1:161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412">
        <v>822573.87303189654</v>
      </c>
      <c r="EU234" s="413">
        <v>1133629.2497310659</v>
      </c>
      <c r="EV234" s="413">
        <v>1448083.4033842015</v>
      </c>
      <c r="EW234" s="413">
        <v>1280352.3214474013</v>
      </c>
      <c r="EX234" s="413">
        <v>1486748.6512005788</v>
      </c>
      <c r="EY234" s="413">
        <v>1904639.0114442713</v>
      </c>
      <c r="EZ234" s="413">
        <v>1976601.3037568249</v>
      </c>
      <c r="FA234" s="413">
        <v>2077189.4907324244</v>
      </c>
      <c r="FB234" s="413">
        <v>1740400.529807793</v>
      </c>
      <c r="FC234" s="413">
        <v>1738536.9681342742</v>
      </c>
      <c r="FD234" s="413">
        <v>1518924.626238036</v>
      </c>
      <c r="FE234" s="413">
        <v>1552013.287896733</v>
      </c>
    </row>
    <row r="235" spans="1:161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338">
        <v>637203.31456187728</v>
      </c>
      <c r="EU235" s="41">
        <v>880885.36688828166</v>
      </c>
      <c r="EV235" s="41">
        <v>1180018.418656393</v>
      </c>
      <c r="EW235" s="41">
        <v>994750.08573163988</v>
      </c>
      <c r="EX235" s="41">
        <v>1177075.3422849807</v>
      </c>
      <c r="EY235" s="41">
        <v>1400002.7371423603</v>
      </c>
      <c r="EZ235" s="41">
        <v>1347851.8292444951</v>
      </c>
      <c r="FA235" s="41">
        <v>1338596.1588139904</v>
      </c>
      <c r="FB235" s="41">
        <v>1183259.4071224597</v>
      </c>
      <c r="FC235" s="41">
        <v>1238607.0035913612</v>
      </c>
      <c r="FD235" s="41">
        <v>1096028.3866973361</v>
      </c>
      <c r="FE235" s="41">
        <v>1091059.1383943255</v>
      </c>
    </row>
    <row r="236" spans="1:161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338">
        <v>78618.573823504732</v>
      </c>
      <c r="EU236" s="41">
        <v>105209.09818677095</v>
      </c>
      <c r="EV236" s="41">
        <v>145129.92916284408</v>
      </c>
      <c r="EW236" s="41">
        <v>132738.78285244721</v>
      </c>
      <c r="EX236" s="41">
        <v>119785.49669253278</v>
      </c>
      <c r="EY236" s="41">
        <v>145532.47161290495</v>
      </c>
      <c r="EZ236" s="41">
        <v>130156.90312605313</v>
      </c>
      <c r="FA236" s="41">
        <v>91222.270699580564</v>
      </c>
      <c r="FB236" s="41">
        <v>137134.21189208681</v>
      </c>
      <c r="FC236" s="41">
        <v>148061.71441627259</v>
      </c>
      <c r="FD236" s="41">
        <v>126509.79918925303</v>
      </c>
      <c r="FE236" s="41">
        <v>152177.24480224878</v>
      </c>
    </row>
    <row r="237" spans="1:161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338">
        <v>16874.120081784469</v>
      </c>
      <c r="EU237" s="41">
        <v>27324.391455049132</v>
      </c>
      <c r="EV237" s="41">
        <v>27537.369512673609</v>
      </c>
      <c r="EW237" s="41">
        <v>26977.411919762093</v>
      </c>
      <c r="EX237" s="41">
        <v>51690.721928116145</v>
      </c>
      <c r="EY237" s="41">
        <v>128583.85361351058</v>
      </c>
      <c r="EZ237" s="41">
        <v>285927.28988031304</v>
      </c>
      <c r="FA237" s="41">
        <v>377412.8099432491</v>
      </c>
      <c r="FB237" s="41">
        <v>192601.62020805152</v>
      </c>
      <c r="FC237" s="41">
        <v>86737.828141598075</v>
      </c>
      <c r="FD237" s="41">
        <v>34076.517442636301</v>
      </c>
      <c r="FE237" s="41">
        <v>28152.220297256088</v>
      </c>
    </row>
    <row r="238" spans="1:161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61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  <c r="ET239" s="338"/>
    </row>
    <row r="240" spans="1:161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338">
        <v>89877.864564730146</v>
      </c>
      <c r="EU240" s="41">
        <v>120210.39320096414</v>
      </c>
      <c r="EV240" s="41">
        <v>95397.686052290795</v>
      </c>
      <c r="EW240" s="41">
        <v>125886.04094355194</v>
      </c>
      <c r="EX240" s="41">
        <v>138197.09029494916</v>
      </c>
      <c r="EY240" s="41">
        <v>230519.9490754955</v>
      </c>
      <c r="EZ240" s="41">
        <v>212665.28150596368</v>
      </c>
      <c r="FA240" s="41">
        <v>269958.25127560424</v>
      </c>
      <c r="FB240" s="41">
        <v>227405.29058519503</v>
      </c>
      <c r="FC240" s="41">
        <v>265130.4219850424</v>
      </c>
      <c r="FD240" s="41">
        <v>262309.92290881061</v>
      </c>
      <c r="FE240" s="41">
        <v>280624.68440290279</v>
      </c>
    </row>
    <row r="241" spans="1:161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412">
        <v>1628645.8771561999</v>
      </c>
      <c r="EU241" s="413">
        <v>1380031.1293454219</v>
      </c>
      <c r="EV241" s="413">
        <v>1513465.5609304141</v>
      </c>
      <c r="EW241" s="413">
        <v>2241837.9949164656</v>
      </c>
      <c r="EX241" s="413">
        <v>1621166.4175876416</v>
      </c>
      <c r="EY241" s="413">
        <v>1779175.5138106563</v>
      </c>
      <c r="EZ241" s="413">
        <v>2789154.8984436481</v>
      </c>
      <c r="FA241" s="413">
        <v>1899136.8492286047</v>
      </c>
      <c r="FB241" s="413">
        <v>2473603.0943140839</v>
      </c>
      <c r="FC241" s="413">
        <v>3082793.0316223907</v>
      </c>
      <c r="FD241" s="413">
        <v>2177694.0229320209</v>
      </c>
      <c r="FE241" s="413">
        <v>3384627.4746935703</v>
      </c>
    </row>
    <row r="242" spans="1:161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338">
        <v>10160.575694705587</v>
      </c>
      <c r="EU242" s="41">
        <v>5183.9566669906681</v>
      </c>
      <c r="EV242" s="41">
        <v>42062.875556091356</v>
      </c>
      <c r="EW242" s="41">
        <v>87230.132421813454</v>
      </c>
      <c r="EX242" s="41">
        <v>70432.216818557397</v>
      </c>
      <c r="EY242" s="41">
        <v>71852.961490858695</v>
      </c>
      <c r="EZ242" s="41">
        <v>70532.184523280986</v>
      </c>
      <c r="FA242" s="41">
        <v>72952.724420653074</v>
      </c>
      <c r="FB242" s="41">
        <v>87191.316374831571</v>
      </c>
      <c r="FC242" s="41">
        <v>69102.705434650779</v>
      </c>
      <c r="FD242" s="41">
        <v>81140.772389365316</v>
      </c>
      <c r="FE242" s="41">
        <v>121307.54904820096</v>
      </c>
    </row>
    <row r="243" spans="1:161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338">
        <v>115427.11899922456</v>
      </c>
      <c r="EU243" s="41">
        <v>142141.92771283988</v>
      </c>
      <c r="EV243" s="41">
        <v>114270.48292244165</v>
      </c>
      <c r="EW243" s="41">
        <v>150058.03144997667</v>
      </c>
      <c r="EX243" s="41">
        <v>143364.56063029263</v>
      </c>
      <c r="EY243" s="41">
        <v>305610.92714692955</v>
      </c>
      <c r="EZ243" s="41">
        <v>427973.29256085813</v>
      </c>
      <c r="FA243" s="41">
        <v>308629.74495510338</v>
      </c>
      <c r="FB243" s="41">
        <v>101704.26777824631</v>
      </c>
      <c r="FC243" s="41">
        <v>491086.12057820428</v>
      </c>
      <c r="FD243" s="41">
        <v>422662.20464872062</v>
      </c>
      <c r="FE243" s="41">
        <v>1131965.9940152848</v>
      </c>
    </row>
    <row r="244" spans="1:161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338">
        <v>24907.051110433673</v>
      </c>
      <c r="EU244" s="41">
        <v>33069.094903729099</v>
      </c>
      <c r="EV244" s="41">
        <v>24545.335761796621</v>
      </c>
      <c r="EW244" s="41">
        <v>40772.994258578467</v>
      </c>
      <c r="EX244" s="41">
        <v>32239.156770204012</v>
      </c>
      <c r="EY244" s="41">
        <v>1096.7734540368135</v>
      </c>
      <c r="EZ244" s="41">
        <v>963.60137673080021</v>
      </c>
      <c r="FA244" s="41">
        <v>1121.0767205740412</v>
      </c>
      <c r="FB244" s="41">
        <v>21305.350458907669</v>
      </c>
      <c r="FC244" s="41">
        <v>47804.600842711268</v>
      </c>
      <c r="FD244" s="41">
        <v>20894.254046354323</v>
      </c>
      <c r="FE244" s="41">
        <v>39377.979202943141</v>
      </c>
    </row>
    <row r="245" spans="1:161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338">
        <v>565942.94544899988</v>
      </c>
      <c r="EU245" s="41">
        <v>785028.36906899989</v>
      </c>
      <c r="EV245" s="41">
        <v>712331.04213599989</v>
      </c>
      <c r="EW245" s="41">
        <v>635476.77864299994</v>
      </c>
      <c r="EX245" s="41">
        <v>672658.62566699996</v>
      </c>
      <c r="EY245" s="41">
        <v>700665.478443</v>
      </c>
      <c r="EZ245" s="41">
        <v>785320.1166089999</v>
      </c>
      <c r="FA245" s="41">
        <v>815650.57599899976</v>
      </c>
      <c r="FB245" s="41">
        <v>957654.35318700003</v>
      </c>
      <c r="FC245" s="41">
        <v>1139577.2588339997</v>
      </c>
      <c r="FD245" s="41">
        <v>812444.11730999989</v>
      </c>
      <c r="FE245" s="41">
        <v>956697.01127699984</v>
      </c>
    </row>
    <row r="246" spans="1:161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61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61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  <c r="ET248" s="338"/>
    </row>
    <row r="249" spans="1:161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338">
        <v>95987.948556202435</v>
      </c>
      <c r="EU249" s="41">
        <v>220488.36832494393</v>
      </c>
      <c r="EV249" s="41">
        <v>202777.25483217361</v>
      </c>
      <c r="EW249" s="41">
        <v>365282.36089703121</v>
      </c>
      <c r="EX249" s="41">
        <v>373792.89424509974</v>
      </c>
      <c r="EY249" s="41">
        <v>405758.55664340017</v>
      </c>
      <c r="EZ249" s="41">
        <v>408435.6245318104</v>
      </c>
      <c r="FA249" s="41">
        <v>358878.99868691299</v>
      </c>
      <c r="FB249" s="41">
        <v>796481.64384415385</v>
      </c>
      <c r="FC249" s="41">
        <v>298132.55917989183</v>
      </c>
      <c r="FD249" s="41">
        <v>278977.96938490268</v>
      </c>
      <c r="FE249" s="41">
        <v>330676.19039647625</v>
      </c>
    </row>
    <row r="250" spans="1:161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338">
        <v>816220.2373466338</v>
      </c>
      <c r="EU250" s="41">
        <v>194119.41266791825</v>
      </c>
      <c r="EV250" s="41">
        <v>417478.56972191099</v>
      </c>
      <c r="EW250" s="41">
        <v>963017.69724606595</v>
      </c>
      <c r="EX250" s="41">
        <v>328678.96345648769</v>
      </c>
      <c r="EY250" s="41">
        <v>294190.81663243106</v>
      </c>
      <c r="EZ250" s="41">
        <v>1095930.078841968</v>
      </c>
      <c r="FA250" s="41">
        <v>341903.72844636173</v>
      </c>
      <c r="FB250" s="41">
        <v>509266.16267094429</v>
      </c>
      <c r="FC250" s="41">
        <v>1037089.7867529326</v>
      </c>
      <c r="FD250" s="41">
        <v>561574.70515267842</v>
      </c>
      <c r="FE250" s="41">
        <v>804602.75075366546</v>
      </c>
    </row>
    <row r="251" spans="1:161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412">
        <v>1619178.9062074635</v>
      </c>
      <c r="EU251" s="413">
        <v>2491636.2612391906</v>
      </c>
      <c r="EV251" s="413">
        <v>2401948.1112873731</v>
      </c>
      <c r="EW251" s="413">
        <v>3344600.0761654307</v>
      </c>
      <c r="EX251" s="413">
        <v>2468145.0633592824</v>
      </c>
      <c r="EY251" s="413">
        <v>3716136.5833768267</v>
      </c>
      <c r="EZ251" s="413">
        <v>5285667.7694355203</v>
      </c>
      <c r="FA251" s="413">
        <v>2802778.4155728412</v>
      </c>
      <c r="FB251" s="413">
        <v>2001789.7120972713</v>
      </c>
      <c r="FC251" s="413">
        <v>3126959.9936437784</v>
      </c>
      <c r="FD251" s="413">
        <v>2101144.0239198939</v>
      </c>
      <c r="FE251" s="413">
        <v>5027417.6954201264</v>
      </c>
    </row>
    <row r="252" spans="1:161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338">
        <v>51757.1102085108</v>
      </c>
      <c r="EU252" s="41">
        <v>7691.5305766973279</v>
      </c>
      <c r="EV252" s="41">
        <v>166957.04471020019</v>
      </c>
      <c r="EW252" s="41">
        <v>729908.13438048738</v>
      </c>
      <c r="EX252" s="41">
        <v>6724.6239025681152</v>
      </c>
      <c r="EY252" s="41">
        <v>576032.38214468514</v>
      </c>
      <c r="EZ252" s="41">
        <v>2201721.7291555628</v>
      </c>
      <c r="FA252" s="41">
        <v>19061.779171783292</v>
      </c>
      <c r="FB252" s="41">
        <v>9695.7047390440039</v>
      </c>
      <c r="FC252" s="41">
        <v>93998.650312050508</v>
      </c>
      <c r="FD252" s="41">
        <v>147515.04058447172</v>
      </c>
      <c r="FE252" s="41">
        <v>464168.40236593765</v>
      </c>
    </row>
    <row r="253" spans="1:161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338">
        <v>734139.27643892914</v>
      </c>
      <c r="EU253" s="41">
        <v>977495.69485219661</v>
      </c>
      <c r="EV253" s="41">
        <v>1111300.4184100998</v>
      </c>
      <c r="EW253" s="41">
        <v>1037959.6116433414</v>
      </c>
      <c r="EX253" s="41">
        <v>1149928.8203334541</v>
      </c>
      <c r="EY253" s="41">
        <v>1503915.2914366096</v>
      </c>
      <c r="EZ253" s="41">
        <v>1779827.5324362048</v>
      </c>
      <c r="FA253" s="41">
        <v>1849239.3122206253</v>
      </c>
      <c r="FB253" s="41">
        <v>1101368.4531389896</v>
      </c>
      <c r="FC253" s="41">
        <v>1091510.2313342066</v>
      </c>
      <c r="FD253" s="41">
        <v>995998.20071289327</v>
      </c>
      <c r="FE253" s="41">
        <v>1402063.0348314489</v>
      </c>
    </row>
    <row r="254" spans="1:161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338">
        <v>195353.06240040861</v>
      </c>
      <c r="EU254" s="41">
        <v>356054.57815053733</v>
      </c>
      <c r="EV254" s="41">
        <v>402187.32956550387</v>
      </c>
      <c r="EW254" s="41">
        <v>339334.2234143588</v>
      </c>
      <c r="EX254" s="41">
        <v>498165.82091498747</v>
      </c>
      <c r="EY254" s="41">
        <v>523490.71873079642</v>
      </c>
      <c r="EZ254" s="41">
        <v>435255.0909210004</v>
      </c>
      <c r="FA254" s="41">
        <v>420149.58747078892</v>
      </c>
      <c r="FB254" s="41">
        <v>374094.83579661755</v>
      </c>
      <c r="FC254" s="41">
        <v>360704.14381521195</v>
      </c>
      <c r="FD254" s="41">
        <v>443904.04587021086</v>
      </c>
      <c r="FE254" s="41">
        <v>547557.3546335781</v>
      </c>
    </row>
    <row r="255" spans="1:161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  <c r="ET255" s="338"/>
    </row>
    <row r="256" spans="1:161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338">
        <v>637929.45715961489</v>
      </c>
      <c r="EU256" s="41">
        <v>1150394.4576597591</v>
      </c>
      <c r="EV256" s="41">
        <v>721503.31860156904</v>
      </c>
      <c r="EW256" s="41">
        <v>1237398.1067272434</v>
      </c>
      <c r="EX256" s="41">
        <v>813325.7982082729</v>
      </c>
      <c r="EY256" s="41">
        <v>1112698.1910647356</v>
      </c>
      <c r="EZ256" s="41">
        <v>868863.41692275193</v>
      </c>
      <c r="FA256" s="41">
        <v>514327.73670964345</v>
      </c>
      <c r="FB256" s="41">
        <v>516630.71842262015</v>
      </c>
      <c r="FC256" s="41">
        <v>1580746.9681823095</v>
      </c>
      <c r="FD256" s="41">
        <v>513726.73675231839</v>
      </c>
      <c r="FE256" s="41">
        <v>2613628.903589162</v>
      </c>
    </row>
    <row r="257" spans="1:162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  <c r="ET257" s="339"/>
    </row>
    <row r="258" spans="1:162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62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  <c r="ET259" s="338"/>
    </row>
    <row r="260" spans="1:162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339">
        <v>115670.29223974149</v>
      </c>
      <c r="EU260" s="9">
        <v>384817.198982934</v>
      </c>
      <c r="EV260" s="9">
        <v>96971.655429863298</v>
      </c>
      <c r="EW260" s="9">
        <v>51648.628696593361</v>
      </c>
      <c r="EX260" s="9">
        <v>261705.39724525085</v>
      </c>
      <c r="EY260" s="9">
        <v>1101596.4636247132</v>
      </c>
      <c r="EZ260" s="9">
        <v>453029.30888644891</v>
      </c>
      <c r="FA260" s="9">
        <v>109871.96289508636</v>
      </c>
      <c r="FB260" s="9">
        <v>140126.69896206958</v>
      </c>
      <c r="FC260" s="9">
        <v>464568.40580190485</v>
      </c>
      <c r="FD260" s="9">
        <v>760023.54354085727</v>
      </c>
      <c r="FE260" s="9">
        <v>887181.871817537</v>
      </c>
    </row>
    <row r="261" spans="1:162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>
        <v>115670.29223974149</v>
      </c>
      <c r="EU261" s="41">
        <v>384817.198982934</v>
      </c>
      <c r="EV261" s="41">
        <v>96971.655429863298</v>
      </c>
      <c r="EW261" s="41">
        <v>51648.628696593361</v>
      </c>
      <c r="EX261" s="41">
        <v>261705.39724525085</v>
      </c>
      <c r="EY261" s="41">
        <v>1101596.4636247132</v>
      </c>
      <c r="EZ261" s="41">
        <v>453029.30888644891</v>
      </c>
      <c r="FA261" s="41">
        <v>109871.96289508636</v>
      </c>
      <c r="FB261" s="41">
        <v>140126.69896206958</v>
      </c>
      <c r="FC261" s="41">
        <v>464568.40580190485</v>
      </c>
      <c r="FD261" s="41">
        <v>760023.54354085727</v>
      </c>
      <c r="FE261" s="41">
        <v>887181.871817537</v>
      </c>
    </row>
    <row r="262" spans="1:162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  <c r="ET262" s="338"/>
    </row>
    <row r="263" spans="1:162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339">
        <v>192861.06334854156</v>
      </c>
      <c r="EU263" s="9">
        <v>1085535.6418227185</v>
      </c>
      <c r="EV263" s="9">
        <v>2068650.4101686741</v>
      </c>
      <c r="EW263" s="9">
        <v>823768.13144576456</v>
      </c>
      <c r="EX263" s="9">
        <v>1838356.3209820921</v>
      </c>
      <c r="EY263" s="9">
        <v>1030929.9324202725</v>
      </c>
      <c r="EZ263" s="9">
        <v>2537726.1350967488</v>
      </c>
      <c r="FA263" s="9">
        <v>672847.13045898406</v>
      </c>
      <c r="FB263" s="9">
        <v>1455374.4746633945</v>
      </c>
      <c r="FC263" s="9">
        <v>2572400.7970252517</v>
      </c>
      <c r="FD263" s="9">
        <v>2215108.9677468878</v>
      </c>
      <c r="FE263" s="9">
        <v>8016440.9948206674</v>
      </c>
    </row>
    <row r="264" spans="1:162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  <c r="ET264" s="338">
        <v>192861.06334854156</v>
      </c>
      <c r="EU264" s="41">
        <v>1085535.6418227185</v>
      </c>
      <c r="EV264" s="41">
        <v>2068650.4101686741</v>
      </c>
      <c r="EW264" s="41">
        <v>823768.13144576456</v>
      </c>
      <c r="EX264" s="41">
        <v>1838356.3209820921</v>
      </c>
      <c r="EY264" s="41">
        <v>1030929.9324202725</v>
      </c>
      <c r="EZ264" s="41">
        <v>2537726.1350967488</v>
      </c>
      <c r="FA264" s="41">
        <v>672847.13045898406</v>
      </c>
      <c r="FB264" s="41">
        <v>1455374.4746633945</v>
      </c>
      <c r="FC264" s="41">
        <v>2572400.7970252517</v>
      </c>
      <c r="FD264" s="41">
        <v>2215108.9677468878</v>
      </c>
      <c r="FE264" s="41">
        <v>8016440.9948206674</v>
      </c>
    </row>
    <row r="265" spans="1:162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62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62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62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62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  <c r="ET269" s="41">
        <v>24658333.329999998</v>
      </c>
      <c r="EU269" s="41">
        <v>24658333.329999998</v>
      </c>
      <c r="EV269" s="41">
        <v>24658333.329999998</v>
      </c>
      <c r="EW269" s="41">
        <v>24658333.329999998</v>
      </c>
      <c r="EX269" s="41">
        <v>24658333.329999998</v>
      </c>
      <c r="EY269" s="41">
        <v>24658333.329999998</v>
      </c>
      <c r="EZ269" s="41">
        <v>24658333.329999998</v>
      </c>
      <c r="FA269" s="41">
        <v>24658333.329999998</v>
      </c>
      <c r="FB269" s="41">
        <v>24658333.329999998</v>
      </c>
      <c r="FC269" s="41">
        <v>24658333.329999998</v>
      </c>
      <c r="FD269" s="41">
        <v>24658333.329999998</v>
      </c>
      <c r="FE269" s="41">
        <v>24658333.329999998</v>
      </c>
    </row>
    <row r="270" spans="1:162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62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62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  <c r="ET272" s="411">
        <v>36581480.009166665</v>
      </c>
      <c r="EU272" s="411">
        <v>36581480.009166665</v>
      </c>
      <c r="EV272" s="411">
        <v>36581480.009166665</v>
      </c>
      <c r="EW272" s="411">
        <v>36581480.009166665</v>
      </c>
      <c r="EX272" s="411">
        <v>36581480.009166665</v>
      </c>
      <c r="EY272" s="411">
        <v>36581480.009166665</v>
      </c>
      <c r="EZ272" s="411">
        <v>36581480.009166665</v>
      </c>
      <c r="FA272" s="411">
        <v>36581480.009166665</v>
      </c>
      <c r="FB272" s="411">
        <v>36581480.009166665</v>
      </c>
      <c r="FC272" s="411">
        <v>36581480.009166665</v>
      </c>
      <c r="FD272" s="411">
        <v>36581480.009166665</v>
      </c>
      <c r="FE272" s="411">
        <v>36581480.009166665</v>
      </c>
      <c r="FF272" s="411">
        <f>SUM(ET272:FE272)</f>
        <v>438977760.10999995</v>
      </c>
    </row>
    <row r="273" spans="1:162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62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62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62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62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62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  <c r="ET278" s="411">
        <v>1045765.8483333333</v>
      </c>
      <c r="EU278" s="411">
        <v>1045765.8483333333</v>
      </c>
      <c r="EV278" s="411">
        <v>1045765.8483333333</v>
      </c>
      <c r="EW278" s="411">
        <v>1045765.8483333333</v>
      </c>
      <c r="EX278" s="411">
        <v>1045765.8483333333</v>
      </c>
      <c r="EY278" s="411">
        <v>1045765.8483333333</v>
      </c>
      <c r="EZ278" s="411">
        <v>1045765.8483333333</v>
      </c>
      <c r="FA278" s="411">
        <v>1045765.8483333333</v>
      </c>
      <c r="FB278" s="411">
        <v>1045765.8483333333</v>
      </c>
      <c r="FC278" s="411">
        <v>1045765.8483333333</v>
      </c>
      <c r="FD278" s="411">
        <v>1045765.8483333333</v>
      </c>
      <c r="FE278" s="411">
        <v>1045765.8483333333</v>
      </c>
      <c r="FF278" s="411">
        <f>SUM(ET278:FE278)</f>
        <v>12549190.179999998</v>
      </c>
    </row>
    <row r="279" spans="1:162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62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62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62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62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62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62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62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  <c r="ET286" s="411">
        <v>2429373.3213333334</v>
      </c>
      <c r="EU286" s="411">
        <v>2429373.3213333334</v>
      </c>
      <c r="EV286" s="411">
        <v>2429373.3213333334</v>
      </c>
      <c r="EW286" s="411">
        <v>2429373.3213333334</v>
      </c>
      <c r="EX286" s="411">
        <v>2429373.3213333334</v>
      </c>
      <c r="EY286" s="411">
        <v>2429373.3213333334</v>
      </c>
      <c r="EZ286" s="411">
        <v>3644059.9819999994</v>
      </c>
      <c r="FA286" s="411">
        <v>3644059.9819999994</v>
      </c>
      <c r="FB286" s="411">
        <v>3644059.9819999994</v>
      </c>
      <c r="FC286" s="411">
        <v>3644059.9819999994</v>
      </c>
      <c r="FD286" s="411">
        <v>3644059.9819999994</v>
      </c>
      <c r="FE286" s="411">
        <v>3644059.9819999994</v>
      </c>
      <c r="FF286" s="411">
        <f>SUM(ET286:FE286)</f>
        <v>36440599.82</v>
      </c>
    </row>
    <row r="287" spans="1:162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62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62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62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62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62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62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  <c r="ET293" s="411">
        <v>3986420.5893333331</v>
      </c>
      <c r="EU293" s="411">
        <v>3986420.5893333331</v>
      </c>
      <c r="EV293" s="411">
        <v>3986420.5893333331</v>
      </c>
      <c r="EW293" s="411">
        <v>3986420.5893333331</v>
      </c>
      <c r="EX293" s="411">
        <v>3986420.5893333331</v>
      </c>
      <c r="EY293" s="411">
        <v>3986420.5893333331</v>
      </c>
      <c r="EZ293" s="411">
        <v>5979630.8839999996</v>
      </c>
      <c r="FA293" s="411">
        <v>5979630.8839999996</v>
      </c>
      <c r="FB293" s="411">
        <v>5979630.8839999996</v>
      </c>
      <c r="FC293" s="411">
        <v>5979630.8839999996</v>
      </c>
      <c r="FD293" s="411">
        <v>5979630.8839999996</v>
      </c>
      <c r="FE293" s="411">
        <v>5979630.8839999996</v>
      </c>
      <c r="FF293" s="411">
        <f>SUM(ET293:FE293)</f>
        <v>59796308.840000004</v>
      </c>
    </row>
    <row r="294" spans="1:162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62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62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62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62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62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62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62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62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62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  <c r="ET303" s="411">
        <v>1860319.3983333334</v>
      </c>
      <c r="EU303" s="411">
        <v>1860319.3983333334</v>
      </c>
      <c r="EV303" s="411">
        <v>1860319.3983333334</v>
      </c>
      <c r="EW303" s="411">
        <v>1860319.3983333334</v>
      </c>
      <c r="EX303" s="411">
        <v>1860319.3983333334</v>
      </c>
      <c r="EY303" s="411">
        <v>1860319.3983333334</v>
      </c>
      <c r="EZ303" s="411">
        <v>1860319.3983333334</v>
      </c>
      <c r="FA303" s="411">
        <v>1860319.3983333334</v>
      </c>
      <c r="FB303" s="411">
        <v>1860319.3983333334</v>
      </c>
      <c r="FC303" s="411">
        <v>1860319.3983333334</v>
      </c>
      <c r="FD303" s="411">
        <v>1860319.3983333334</v>
      </c>
      <c r="FE303" s="411">
        <v>1860319.3983333334</v>
      </c>
      <c r="FF303" s="411">
        <f>SUM(ET303:FE303)</f>
        <v>22323832.780000001</v>
      </c>
    </row>
    <row r="304" spans="1:162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62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62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62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11">
        <v>7122725</v>
      </c>
      <c r="EU307" s="411">
        <v>7122725</v>
      </c>
      <c r="EV307" s="411">
        <v>7122725</v>
      </c>
      <c r="EW307" s="411">
        <v>7122725</v>
      </c>
      <c r="EX307" s="411">
        <v>7122725</v>
      </c>
      <c r="EY307" s="411">
        <v>7122725</v>
      </c>
      <c r="EZ307" s="411">
        <v>7122725</v>
      </c>
      <c r="FA307" s="411">
        <v>7122725</v>
      </c>
      <c r="FB307" s="411">
        <v>7122725</v>
      </c>
      <c r="FC307" s="411">
        <v>7122725</v>
      </c>
      <c r="FD307" s="411">
        <v>7122725</v>
      </c>
      <c r="FE307" s="411">
        <v>7122725</v>
      </c>
      <c r="FF307" s="411">
        <f>SUM(ET307:FE307)</f>
        <v>85472700</v>
      </c>
    </row>
    <row r="308" spans="1:162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62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62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  <c r="ET310" s="411">
        <v>800010.93333333347</v>
      </c>
      <c r="EU310" s="411">
        <v>800010.93333333347</v>
      </c>
      <c r="EV310" s="411">
        <v>800010.93333333347</v>
      </c>
      <c r="EW310" s="411">
        <v>800010.93333333347</v>
      </c>
      <c r="EX310" s="411">
        <v>800010.93333333347</v>
      </c>
      <c r="EY310" s="411">
        <v>800010.93333333347</v>
      </c>
      <c r="EZ310" s="411">
        <v>800010.93333333347</v>
      </c>
      <c r="FA310" s="411">
        <v>800010.93333333347</v>
      </c>
      <c r="FB310" s="411">
        <v>800010.93333333347</v>
      </c>
      <c r="FC310" s="411">
        <v>800010.93333333347</v>
      </c>
      <c r="FD310" s="411">
        <v>800010.93333333347</v>
      </c>
      <c r="FE310" s="411">
        <v>800010.93333333347</v>
      </c>
      <c r="FF310" s="411">
        <f>SUM(ET310:FE310)</f>
        <v>9600131.2000000011</v>
      </c>
    </row>
    <row r="311" spans="1:162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62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62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62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  <c r="ET314" s="411">
        <v>2250983.3333333335</v>
      </c>
      <c r="EU314" s="411">
        <v>2250983.3333333335</v>
      </c>
      <c r="EV314" s="411">
        <v>2250983.3333333335</v>
      </c>
      <c r="EW314" s="411">
        <v>2250983.3333333335</v>
      </c>
      <c r="EX314" s="411">
        <v>2250983.3333333335</v>
      </c>
      <c r="EY314" s="411">
        <v>2250983.3333333335</v>
      </c>
      <c r="EZ314" s="411">
        <v>2250983.3333333335</v>
      </c>
      <c r="FA314" s="411">
        <v>2250983.3333333335</v>
      </c>
      <c r="FB314" s="411">
        <v>2250983.3333333335</v>
      </c>
      <c r="FC314" s="411">
        <v>2250983.3333333335</v>
      </c>
      <c r="FD314" s="411">
        <v>2250983.3333333335</v>
      </c>
      <c r="FE314" s="411">
        <v>2250983.3333333335</v>
      </c>
      <c r="FF314" s="411">
        <f>SUM(ET314:FE314)</f>
        <v>27011799.999999996</v>
      </c>
    </row>
    <row r="315" spans="1:162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62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62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62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  <c r="ET318" s="411">
        <v>2581823.9339999999</v>
      </c>
      <c r="EU318" s="411">
        <v>2581823.9339999999</v>
      </c>
      <c r="EV318" s="411">
        <v>2581823.9339999999</v>
      </c>
      <c r="EW318" s="411">
        <v>2581823.9339999999</v>
      </c>
      <c r="EX318" s="411">
        <v>2581823.9339999999</v>
      </c>
      <c r="EY318" s="411">
        <v>2581823.9339999999</v>
      </c>
      <c r="EZ318" s="411">
        <v>3872735.9010000005</v>
      </c>
      <c r="FA318" s="411">
        <v>3872735.9010000005</v>
      </c>
      <c r="FB318" s="411">
        <v>3872735.9010000005</v>
      </c>
      <c r="FC318" s="411">
        <v>3872735.9010000005</v>
      </c>
      <c r="FD318" s="411">
        <v>3872735.9010000005</v>
      </c>
      <c r="FE318" s="411">
        <v>3872735.9010000005</v>
      </c>
      <c r="FF318" s="411">
        <f>SUM(ET318:FE318)</f>
        <v>38727359.010000005</v>
      </c>
    </row>
    <row r="319" spans="1:162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62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62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62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62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62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62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62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62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62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  <c r="ET328" s="411">
        <f>+ET329+ET337+ET343+ET351+ET353</f>
        <v>45950724.162500009</v>
      </c>
      <c r="EU328" s="411">
        <f t="shared" ref="EU328:FE328" si="102">+EU329+EU337+EU343+EU351+EU353</f>
        <v>45950724.162500009</v>
      </c>
      <c r="EV328" s="411">
        <f t="shared" si="102"/>
        <v>45950724.162500009</v>
      </c>
      <c r="EW328" s="411">
        <f t="shared" si="102"/>
        <v>45950724.162500009</v>
      </c>
      <c r="EX328" s="411">
        <f t="shared" si="102"/>
        <v>45950724.162500009</v>
      </c>
      <c r="EY328" s="411">
        <f t="shared" si="102"/>
        <v>45950724.162500009</v>
      </c>
      <c r="EZ328" s="411">
        <f t="shared" si="102"/>
        <v>45950724.162500009</v>
      </c>
      <c r="FA328" s="411">
        <f t="shared" si="102"/>
        <v>45950724.162500009</v>
      </c>
      <c r="FB328" s="411">
        <f t="shared" si="102"/>
        <v>45950724.162500009</v>
      </c>
      <c r="FC328" s="411">
        <f t="shared" si="102"/>
        <v>45950724.162500009</v>
      </c>
      <c r="FD328" s="411">
        <f t="shared" si="102"/>
        <v>45950724.162500009</v>
      </c>
      <c r="FE328" s="411">
        <f t="shared" si="102"/>
        <v>45950724.162500009</v>
      </c>
      <c r="FF328" s="411">
        <f>SUM(ET328:FE328)</f>
        <v>551408689.95000017</v>
      </c>
    </row>
    <row r="329" spans="1:162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3">+SUM(CL330:CL336)</f>
        <v>5084083.333333333</v>
      </c>
      <c r="CM329" s="143">
        <f t="shared" si="103"/>
        <v>5084083.333333333</v>
      </c>
      <c r="CN329" s="143">
        <f t="shared" si="103"/>
        <v>5084083.333333333</v>
      </c>
      <c r="CO329" s="143">
        <f t="shared" si="103"/>
        <v>5084083.333333333</v>
      </c>
      <c r="CP329" s="143">
        <f t="shared" si="103"/>
        <v>5084083.333333333</v>
      </c>
      <c r="CQ329" s="143">
        <f t="shared" si="103"/>
        <v>5084083.333333333</v>
      </c>
      <c r="CR329" s="143">
        <f t="shared" si="103"/>
        <v>5084083.333333333</v>
      </c>
      <c r="CS329" s="143">
        <f t="shared" si="103"/>
        <v>5084083.333333333</v>
      </c>
      <c r="CT329" s="143">
        <f t="shared" si="103"/>
        <v>5084083.333333333</v>
      </c>
      <c r="CU329" s="143">
        <f t="shared" si="103"/>
        <v>5084083.333333333</v>
      </c>
      <c r="CV329" s="143">
        <f t="shared" si="103"/>
        <v>5084083.333333333</v>
      </c>
      <c r="CW329" s="144">
        <f t="shared" si="103"/>
        <v>5084083.333333333</v>
      </c>
      <c r="CX329" s="315">
        <f t="shared" si="103"/>
        <v>4887083.333333333</v>
      </c>
      <c r="CY329" s="318">
        <f t="shared" ref="CY329:DI329" si="104">+SUM(CY330:CY336)</f>
        <v>4887083.333333333</v>
      </c>
      <c r="CZ329" s="318">
        <f t="shared" si="104"/>
        <v>4887083.333333333</v>
      </c>
      <c r="DA329" s="318">
        <f t="shared" si="104"/>
        <v>4887083.333333333</v>
      </c>
      <c r="DB329" s="318">
        <f t="shared" si="104"/>
        <v>4887083.333333333</v>
      </c>
      <c r="DC329" s="318">
        <f t="shared" si="104"/>
        <v>4887083.333333333</v>
      </c>
      <c r="DD329" s="318">
        <f t="shared" si="104"/>
        <v>4887083.333333333</v>
      </c>
      <c r="DE329" s="318">
        <f t="shared" si="104"/>
        <v>4887083.333333333</v>
      </c>
      <c r="DF329" s="318">
        <f t="shared" si="104"/>
        <v>4887083.333333333</v>
      </c>
      <c r="DG329" s="318">
        <f t="shared" si="104"/>
        <v>4887083.333333333</v>
      </c>
      <c r="DH329" s="318">
        <f t="shared" si="104"/>
        <v>4887083.333333333</v>
      </c>
      <c r="DI329" s="316">
        <f t="shared" si="104"/>
        <v>4887083.333333333</v>
      </c>
      <c r="DJ329" s="142">
        <f>+SUM(DJ330:DJ336)</f>
        <v>5044218.75</v>
      </c>
      <c r="DK329" s="143">
        <f t="shared" ref="DK329:DU329" si="105">+SUM(DK330:DK336)</f>
        <v>5044218.75</v>
      </c>
      <c r="DL329" s="143">
        <f t="shared" si="105"/>
        <v>5044218.75</v>
      </c>
      <c r="DM329" s="143">
        <f t="shared" si="105"/>
        <v>5044218.75</v>
      </c>
      <c r="DN329" s="143">
        <f t="shared" si="105"/>
        <v>5044218.75</v>
      </c>
      <c r="DO329" s="143">
        <f t="shared" si="105"/>
        <v>5044218.75</v>
      </c>
      <c r="DP329" s="143">
        <f t="shared" si="105"/>
        <v>5044218.75</v>
      </c>
      <c r="DQ329" s="143">
        <f t="shared" si="105"/>
        <v>5044218.75</v>
      </c>
      <c r="DR329" s="143">
        <f t="shared" si="105"/>
        <v>5044218.75</v>
      </c>
      <c r="DS329" s="143">
        <f t="shared" si="105"/>
        <v>5044218.75</v>
      </c>
      <c r="DT329" s="143">
        <f t="shared" si="105"/>
        <v>5044218.75</v>
      </c>
      <c r="DU329" s="144">
        <f t="shared" si="105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  <c r="ET329" s="411">
        <v>6651000</v>
      </c>
      <c r="EU329" s="411">
        <v>6651000</v>
      </c>
      <c r="EV329" s="411">
        <v>6651000</v>
      </c>
      <c r="EW329" s="411">
        <v>6651000</v>
      </c>
      <c r="EX329" s="411">
        <v>6651000</v>
      </c>
      <c r="EY329" s="411">
        <v>6651000</v>
      </c>
      <c r="EZ329" s="411">
        <v>6651000</v>
      </c>
      <c r="FA329" s="411">
        <v>6651000</v>
      </c>
      <c r="FB329" s="411">
        <v>6651000</v>
      </c>
      <c r="FC329" s="411">
        <v>6651000</v>
      </c>
      <c r="FD329" s="411">
        <v>6651000</v>
      </c>
      <c r="FE329" s="411">
        <v>6651000</v>
      </c>
      <c r="FF329" s="411">
        <f>SUM(ET329:FE329)</f>
        <v>79812000</v>
      </c>
    </row>
    <row r="330" spans="1:162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62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62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62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62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62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62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62" s="9" customFormat="1">
      <c r="A337" s="140"/>
      <c r="B337" s="140"/>
      <c r="C337" s="140">
        <v>422</v>
      </c>
      <c r="D337" s="140" t="str">
        <f t="shared" ref="D337:D346" si="106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7">+SUM(CL338:CL342)</f>
        <v>1280004.1666666665</v>
      </c>
      <c r="CM337" s="143">
        <f t="shared" si="107"/>
        <v>1280004.1666666665</v>
      </c>
      <c r="CN337" s="143">
        <f t="shared" si="107"/>
        <v>1280004.1666666665</v>
      </c>
      <c r="CO337" s="143">
        <f t="shared" si="107"/>
        <v>1280004.1666666665</v>
      </c>
      <c r="CP337" s="143">
        <f t="shared" si="107"/>
        <v>1280004.1666666665</v>
      </c>
      <c r="CQ337" s="143">
        <f t="shared" si="107"/>
        <v>1280004.1666666665</v>
      </c>
      <c r="CR337" s="143">
        <f t="shared" si="107"/>
        <v>1280004.1666666665</v>
      </c>
      <c r="CS337" s="143">
        <f t="shared" si="107"/>
        <v>1280004.1666666665</v>
      </c>
      <c r="CT337" s="143">
        <f t="shared" si="107"/>
        <v>1280004.1666666665</v>
      </c>
      <c r="CU337" s="143">
        <f t="shared" si="107"/>
        <v>1280004.1666666665</v>
      </c>
      <c r="CV337" s="143">
        <f t="shared" si="107"/>
        <v>1280004.1666666665</v>
      </c>
      <c r="CW337" s="144">
        <f t="shared" si="107"/>
        <v>1280004.1666666665</v>
      </c>
      <c r="CX337" s="315">
        <f t="shared" si="107"/>
        <v>1438177</v>
      </c>
      <c r="CY337" s="318">
        <f t="shared" ref="CY337:DI337" si="108">+SUM(CY338:CY342)</f>
        <v>1438177</v>
      </c>
      <c r="CZ337" s="318">
        <f t="shared" si="108"/>
        <v>1438177</v>
      </c>
      <c r="DA337" s="318">
        <f t="shared" si="108"/>
        <v>1438177</v>
      </c>
      <c r="DB337" s="318">
        <f t="shared" si="108"/>
        <v>1438177</v>
      </c>
      <c r="DC337" s="318">
        <f t="shared" si="108"/>
        <v>1438177</v>
      </c>
      <c r="DD337" s="318">
        <f t="shared" si="108"/>
        <v>1438177</v>
      </c>
      <c r="DE337" s="318">
        <f t="shared" si="108"/>
        <v>1438177</v>
      </c>
      <c r="DF337" s="318">
        <f t="shared" si="108"/>
        <v>1438177</v>
      </c>
      <c r="DG337" s="318">
        <f t="shared" si="108"/>
        <v>1438177</v>
      </c>
      <c r="DH337" s="318">
        <f t="shared" si="108"/>
        <v>1438177</v>
      </c>
      <c r="DI337" s="316">
        <f t="shared" si="108"/>
        <v>1438177</v>
      </c>
      <c r="DJ337" s="142">
        <f>+SUM(DJ338:DJ342)</f>
        <v>1620000</v>
      </c>
      <c r="DK337" s="143">
        <f t="shared" ref="DK337:DU337" si="109">+SUM(DK338:DK342)</f>
        <v>1620000</v>
      </c>
      <c r="DL337" s="143">
        <f t="shared" si="109"/>
        <v>1620000</v>
      </c>
      <c r="DM337" s="143">
        <f t="shared" si="109"/>
        <v>1620000</v>
      </c>
      <c r="DN337" s="143">
        <f t="shared" si="109"/>
        <v>1620000</v>
      </c>
      <c r="DO337" s="143">
        <f t="shared" si="109"/>
        <v>1620000</v>
      </c>
      <c r="DP337" s="143">
        <f t="shared" si="109"/>
        <v>1620000</v>
      </c>
      <c r="DQ337" s="143">
        <f t="shared" si="109"/>
        <v>1620000</v>
      </c>
      <c r="DR337" s="143">
        <f t="shared" si="109"/>
        <v>1620000</v>
      </c>
      <c r="DS337" s="143">
        <f t="shared" si="109"/>
        <v>1620000</v>
      </c>
      <c r="DT337" s="143">
        <f t="shared" si="109"/>
        <v>1620000</v>
      </c>
      <c r="DU337" s="144">
        <f t="shared" si="109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  <c r="ET337" s="411">
        <v>1699899.96</v>
      </c>
      <c r="EU337" s="411">
        <v>1699899.96</v>
      </c>
      <c r="EV337" s="411">
        <v>1699899.96</v>
      </c>
      <c r="EW337" s="411">
        <v>1699899.96</v>
      </c>
      <c r="EX337" s="411">
        <v>1699899.96</v>
      </c>
      <c r="EY337" s="411">
        <v>1699899.96</v>
      </c>
      <c r="EZ337" s="411">
        <v>1699899.96</v>
      </c>
      <c r="FA337" s="411">
        <v>1699899.96</v>
      </c>
      <c r="FB337" s="411">
        <v>1699899.96</v>
      </c>
      <c r="FC337" s="411">
        <v>1699899.96</v>
      </c>
      <c r="FD337" s="411">
        <v>1699899.96</v>
      </c>
      <c r="FE337" s="411">
        <v>1699899.96</v>
      </c>
      <c r="FF337" s="411">
        <f>SUM(ET337:FE337)</f>
        <v>20398799.520000007</v>
      </c>
    </row>
    <row r="338" spans="1:162">
      <c r="D338" s="74" t="str">
        <f t="shared" si="106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62" ht="30">
      <c r="D339" s="74" t="str">
        <f t="shared" si="106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62">
      <c r="D340" s="74" t="str">
        <f t="shared" si="106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62">
      <c r="D341" s="74" t="str">
        <f t="shared" si="106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62">
      <c r="D342" s="74" t="str">
        <f t="shared" si="106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62" s="9" customFormat="1" ht="30">
      <c r="A343" s="140"/>
      <c r="B343" s="140"/>
      <c r="C343" s="140">
        <v>423</v>
      </c>
      <c r="D343" s="140" t="str">
        <f t="shared" si="106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10">+SUM(CL344:CL350)</f>
        <v>33408639.758333333</v>
      </c>
      <c r="CM343" s="143">
        <f t="shared" si="110"/>
        <v>33408639.758333333</v>
      </c>
      <c r="CN343" s="143">
        <f t="shared" si="110"/>
        <v>33408639.758333333</v>
      </c>
      <c r="CO343" s="143">
        <f t="shared" si="110"/>
        <v>33408639.758333333</v>
      </c>
      <c r="CP343" s="143">
        <f t="shared" si="110"/>
        <v>33408639.758333333</v>
      </c>
      <c r="CQ343" s="143">
        <f t="shared" si="110"/>
        <v>33408639.758333333</v>
      </c>
      <c r="CR343" s="143">
        <f t="shared" si="110"/>
        <v>33408639.758333333</v>
      </c>
      <c r="CS343" s="143">
        <f t="shared" si="110"/>
        <v>33408639.758333333</v>
      </c>
      <c r="CT343" s="143">
        <f t="shared" si="110"/>
        <v>33408639.758333333</v>
      </c>
      <c r="CU343" s="143">
        <f t="shared" si="110"/>
        <v>33408639.758333333</v>
      </c>
      <c r="CV343" s="143">
        <f t="shared" si="110"/>
        <v>33408639.758333333</v>
      </c>
      <c r="CW343" s="144">
        <f t="shared" si="110"/>
        <v>33408639.758333333</v>
      </c>
      <c r="CX343" s="315">
        <f t="shared" si="110"/>
        <v>33110022.91416667</v>
      </c>
      <c r="CY343" s="318">
        <f t="shared" ref="CY343:DI343" si="111">+SUM(CY344:CY350)</f>
        <v>33110022.91416667</v>
      </c>
      <c r="CZ343" s="318">
        <f t="shared" si="111"/>
        <v>33110022.91416667</v>
      </c>
      <c r="DA343" s="318">
        <f t="shared" si="111"/>
        <v>33110022.91416667</v>
      </c>
      <c r="DB343" s="318">
        <f t="shared" si="111"/>
        <v>33110022.91416667</v>
      </c>
      <c r="DC343" s="318">
        <f t="shared" si="111"/>
        <v>33110022.91416667</v>
      </c>
      <c r="DD343" s="318">
        <f t="shared" si="111"/>
        <v>33110022.91416667</v>
      </c>
      <c r="DE343" s="318">
        <f t="shared" si="111"/>
        <v>33110022.91416667</v>
      </c>
      <c r="DF343" s="318">
        <f t="shared" si="111"/>
        <v>33110022.91416667</v>
      </c>
      <c r="DG343" s="318">
        <f t="shared" si="111"/>
        <v>33110022.91416667</v>
      </c>
      <c r="DH343" s="318">
        <f t="shared" si="111"/>
        <v>33110022.91416667</v>
      </c>
      <c r="DI343" s="316">
        <f t="shared" si="111"/>
        <v>33110022.91416667</v>
      </c>
      <c r="DJ343" s="142">
        <f>+SUM(DJ344:DJ350)</f>
        <v>33537908.333333332</v>
      </c>
      <c r="DK343" s="143">
        <f t="shared" ref="DK343:DU343" si="112">+SUM(DK344:DK350)</f>
        <v>33537908.333333332</v>
      </c>
      <c r="DL343" s="143">
        <f t="shared" si="112"/>
        <v>33537908.333333332</v>
      </c>
      <c r="DM343" s="143">
        <f t="shared" si="112"/>
        <v>33537908.333333332</v>
      </c>
      <c r="DN343" s="143">
        <f t="shared" si="112"/>
        <v>33537908.333333332</v>
      </c>
      <c r="DO343" s="143">
        <f t="shared" si="112"/>
        <v>33537908.333333332</v>
      </c>
      <c r="DP343" s="143">
        <f t="shared" si="112"/>
        <v>33537908.333333332</v>
      </c>
      <c r="DQ343" s="143">
        <f t="shared" si="112"/>
        <v>33537908.333333332</v>
      </c>
      <c r="DR343" s="143">
        <f t="shared" si="112"/>
        <v>33537908.333333332</v>
      </c>
      <c r="DS343" s="143">
        <f t="shared" si="112"/>
        <v>33537908.333333332</v>
      </c>
      <c r="DT343" s="143">
        <f t="shared" si="112"/>
        <v>33537908.333333332</v>
      </c>
      <c r="DU343" s="144">
        <f t="shared" si="112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  <c r="ET343" s="411">
        <v>35472732.535833336</v>
      </c>
      <c r="EU343" s="411">
        <v>35472732.535833336</v>
      </c>
      <c r="EV343" s="411">
        <v>35472732.535833336</v>
      </c>
      <c r="EW343" s="411">
        <v>35472732.535833336</v>
      </c>
      <c r="EX343" s="411">
        <v>35472732.535833336</v>
      </c>
      <c r="EY343" s="411">
        <v>35472732.535833336</v>
      </c>
      <c r="EZ343" s="411">
        <v>35472732.535833336</v>
      </c>
      <c r="FA343" s="411">
        <v>35472732.535833336</v>
      </c>
      <c r="FB343" s="411">
        <v>35472732.535833336</v>
      </c>
      <c r="FC343" s="411">
        <v>35472732.535833336</v>
      </c>
      <c r="FD343" s="411">
        <v>35472732.535833336</v>
      </c>
      <c r="FE343" s="411">
        <v>35472732.535833336</v>
      </c>
      <c r="FF343" s="411">
        <f>SUM(ET343:FE343)</f>
        <v>425672790.43000013</v>
      </c>
    </row>
    <row r="344" spans="1:162">
      <c r="D344" s="74" t="str">
        <f t="shared" si="106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62">
      <c r="D345" s="74" t="str">
        <f t="shared" si="106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62">
      <c r="D346" s="74" t="str">
        <f t="shared" si="106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62">
      <c r="D347" s="74" t="str">
        <f t="shared" ref="D347:D404" si="113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62">
      <c r="D348" s="74" t="str">
        <f t="shared" si="113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62">
      <c r="D349" s="74" t="str">
        <f t="shared" si="113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62" ht="30">
      <c r="D350" s="74" t="str">
        <f t="shared" si="113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62" s="9" customFormat="1" ht="30">
      <c r="A351" s="140"/>
      <c r="B351" s="140"/>
      <c r="C351" s="140">
        <v>424</v>
      </c>
      <c r="D351" s="140" t="str">
        <f t="shared" si="113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4">+CL352</f>
        <v>1133333.3333333333</v>
      </c>
      <c r="CM351" s="143">
        <f t="shared" si="114"/>
        <v>1133333.3333333333</v>
      </c>
      <c r="CN351" s="143">
        <f t="shared" si="114"/>
        <v>1133333.3333333333</v>
      </c>
      <c r="CO351" s="143">
        <f t="shared" si="114"/>
        <v>1133333.3333333333</v>
      </c>
      <c r="CP351" s="143">
        <f t="shared" si="114"/>
        <v>1133333.3333333333</v>
      </c>
      <c r="CQ351" s="143">
        <f t="shared" si="114"/>
        <v>1133333.3333333333</v>
      </c>
      <c r="CR351" s="143">
        <f t="shared" si="114"/>
        <v>1133333.3333333333</v>
      </c>
      <c r="CS351" s="143">
        <f t="shared" si="114"/>
        <v>1133333.3333333333</v>
      </c>
      <c r="CT351" s="143">
        <f t="shared" si="114"/>
        <v>1133333.3333333333</v>
      </c>
      <c r="CU351" s="143">
        <f t="shared" si="114"/>
        <v>1133333.3333333333</v>
      </c>
      <c r="CV351" s="143">
        <f t="shared" si="114"/>
        <v>1133333.3333333333</v>
      </c>
      <c r="CW351" s="144">
        <f t="shared" si="114"/>
        <v>1133333.3333333333</v>
      </c>
      <c r="CX351" s="315">
        <f t="shared" si="114"/>
        <v>1208333.3333333333</v>
      </c>
      <c r="CY351" s="318">
        <f t="shared" ref="CY351:DI351" si="115">+CY352</f>
        <v>1208333.3333333333</v>
      </c>
      <c r="CZ351" s="318">
        <f t="shared" si="115"/>
        <v>1208333.3333333333</v>
      </c>
      <c r="DA351" s="318">
        <f t="shared" si="115"/>
        <v>1208333.3333333333</v>
      </c>
      <c r="DB351" s="318">
        <f t="shared" si="115"/>
        <v>1208333.3333333333</v>
      </c>
      <c r="DC351" s="318">
        <f t="shared" si="115"/>
        <v>1208333.3333333333</v>
      </c>
      <c r="DD351" s="318">
        <f t="shared" si="115"/>
        <v>1208333.3333333333</v>
      </c>
      <c r="DE351" s="318">
        <f t="shared" si="115"/>
        <v>1208333.3333333333</v>
      </c>
      <c r="DF351" s="318">
        <f t="shared" si="115"/>
        <v>1208333.3333333333</v>
      </c>
      <c r="DG351" s="318">
        <f t="shared" si="115"/>
        <v>1208333.3333333333</v>
      </c>
      <c r="DH351" s="318">
        <f t="shared" si="115"/>
        <v>1208333.3333333333</v>
      </c>
      <c r="DI351" s="316">
        <f t="shared" si="115"/>
        <v>1208333.3333333333</v>
      </c>
      <c r="DJ351" s="142">
        <f>+DJ352</f>
        <v>1250000</v>
      </c>
      <c r="DK351" s="143">
        <f t="shared" ref="DK351:DU351" si="116">+DK352</f>
        <v>1250000</v>
      </c>
      <c r="DL351" s="143">
        <f t="shared" si="116"/>
        <v>1250000</v>
      </c>
      <c r="DM351" s="143">
        <f t="shared" si="116"/>
        <v>1250000</v>
      </c>
      <c r="DN351" s="143">
        <f t="shared" si="116"/>
        <v>1250000</v>
      </c>
      <c r="DO351" s="143">
        <f t="shared" si="116"/>
        <v>1250000</v>
      </c>
      <c r="DP351" s="143">
        <f t="shared" si="116"/>
        <v>1250000</v>
      </c>
      <c r="DQ351" s="143">
        <f t="shared" si="116"/>
        <v>1250000</v>
      </c>
      <c r="DR351" s="143">
        <f t="shared" si="116"/>
        <v>1250000</v>
      </c>
      <c r="DS351" s="143">
        <f t="shared" si="116"/>
        <v>1250000</v>
      </c>
      <c r="DT351" s="143">
        <f t="shared" si="116"/>
        <v>1250000</v>
      </c>
      <c r="DU351" s="144">
        <f t="shared" si="116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  <c r="ET351" s="411">
        <v>1375008.3333333333</v>
      </c>
      <c r="EU351" s="411">
        <v>1375008.3333333333</v>
      </c>
      <c r="EV351" s="411">
        <v>1375008.3333333333</v>
      </c>
      <c r="EW351" s="411">
        <v>1375008.3333333333</v>
      </c>
      <c r="EX351" s="411">
        <v>1375008.3333333333</v>
      </c>
      <c r="EY351" s="411">
        <v>1375008.3333333333</v>
      </c>
      <c r="EZ351" s="411">
        <v>1375008.3333333333</v>
      </c>
      <c r="FA351" s="411">
        <v>1375008.3333333333</v>
      </c>
      <c r="FB351" s="411">
        <v>1375008.3333333333</v>
      </c>
      <c r="FC351" s="411">
        <v>1375008.3333333333</v>
      </c>
      <c r="FD351" s="411">
        <v>1375008.3333333333</v>
      </c>
      <c r="FE351" s="411">
        <v>1375008.3333333333</v>
      </c>
      <c r="FF351" s="411">
        <f>SUM(ET351:FE351)</f>
        <v>16500100.000000002</v>
      </c>
    </row>
    <row r="352" spans="1:162">
      <c r="D352" s="74" t="str">
        <f t="shared" si="113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62" s="9" customFormat="1" ht="30">
      <c r="A353" s="140"/>
      <c r="B353" s="140"/>
      <c r="C353" s="140">
        <v>425</v>
      </c>
      <c r="D353" s="140" t="str">
        <f t="shared" si="113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7">+SUM(CL354:CL356)</f>
        <v>583333.33333333326</v>
      </c>
      <c r="CM353" s="143">
        <f t="shared" si="117"/>
        <v>583333.33333333326</v>
      </c>
      <c r="CN353" s="143">
        <f t="shared" si="117"/>
        <v>583333.33333333326</v>
      </c>
      <c r="CO353" s="143">
        <f t="shared" si="117"/>
        <v>583333.33333333326</v>
      </c>
      <c r="CP353" s="143">
        <f t="shared" si="117"/>
        <v>583333.33333333326</v>
      </c>
      <c r="CQ353" s="143">
        <f t="shared" si="117"/>
        <v>583333.33333333326</v>
      </c>
      <c r="CR353" s="143">
        <f t="shared" si="117"/>
        <v>583333.33333333326</v>
      </c>
      <c r="CS353" s="143">
        <f t="shared" si="117"/>
        <v>583333.33333333326</v>
      </c>
      <c r="CT353" s="143">
        <f t="shared" si="117"/>
        <v>583333.33333333326</v>
      </c>
      <c r="CU353" s="143">
        <f t="shared" si="117"/>
        <v>583333.33333333326</v>
      </c>
      <c r="CV353" s="143">
        <f t="shared" si="117"/>
        <v>583333.33333333326</v>
      </c>
      <c r="CW353" s="144">
        <f t="shared" si="117"/>
        <v>583333.33333333326</v>
      </c>
      <c r="CX353" s="315">
        <f t="shared" si="117"/>
        <v>583333.33333333326</v>
      </c>
      <c r="CY353" s="318">
        <f t="shared" ref="CY353:DI353" si="118">+SUM(CY354:CY356)</f>
        <v>583333.33333333326</v>
      </c>
      <c r="CZ353" s="318">
        <f t="shared" si="118"/>
        <v>583333.33333333326</v>
      </c>
      <c r="DA353" s="318">
        <f t="shared" si="118"/>
        <v>583333.33333333326</v>
      </c>
      <c r="DB353" s="318">
        <f t="shared" si="118"/>
        <v>583333.33333333326</v>
      </c>
      <c r="DC353" s="318">
        <f t="shared" si="118"/>
        <v>583333.33333333326</v>
      </c>
      <c r="DD353" s="318">
        <f t="shared" si="118"/>
        <v>583333.33333333326</v>
      </c>
      <c r="DE353" s="318">
        <f t="shared" si="118"/>
        <v>583333.33333333326</v>
      </c>
      <c r="DF353" s="318">
        <f t="shared" si="118"/>
        <v>583333.33333333326</v>
      </c>
      <c r="DG353" s="318">
        <f t="shared" si="118"/>
        <v>583333.33333333326</v>
      </c>
      <c r="DH353" s="318">
        <f t="shared" si="118"/>
        <v>583333.33333333326</v>
      </c>
      <c r="DI353" s="316">
        <f t="shared" si="118"/>
        <v>583333.33333333326</v>
      </c>
      <c r="DJ353" s="142">
        <f>+SUM(DJ354:DJ356)</f>
        <v>618333.33333333326</v>
      </c>
      <c r="DK353" s="143">
        <f t="shared" ref="DK353:DU353" si="119">+SUM(DK354:DK356)</f>
        <v>618333.33333333326</v>
      </c>
      <c r="DL353" s="143">
        <f t="shared" si="119"/>
        <v>618333.33333333326</v>
      </c>
      <c r="DM353" s="143">
        <f t="shared" si="119"/>
        <v>618333.33333333326</v>
      </c>
      <c r="DN353" s="143">
        <f t="shared" si="119"/>
        <v>618333.33333333326</v>
      </c>
      <c r="DO353" s="143">
        <f t="shared" si="119"/>
        <v>618333.33333333326</v>
      </c>
      <c r="DP353" s="143">
        <f t="shared" si="119"/>
        <v>618333.33333333326</v>
      </c>
      <c r="DQ353" s="143">
        <f t="shared" si="119"/>
        <v>618333.33333333326</v>
      </c>
      <c r="DR353" s="143">
        <f t="shared" si="119"/>
        <v>618333.33333333326</v>
      </c>
      <c r="DS353" s="143">
        <f t="shared" si="119"/>
        <v>618333.33333333326</v>
      </c>
      <c r="DT353" s="143">
        <f t="shared" si="119"/>
        <v>618333.33333333326</v>
      </c>
      <c r="DU353" s="144">
        <f t="shared" si="119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  <c r="ET353" s="411">
        <v>752083.33333333337</v>
      </c>
      <c r="EU353" s="411">
        <v>752083.33333333337</v>
      </c>
      <c r="EV353" s="411">
        <v>752083.33333333337</v>
      </c>
      <c r="EW353" s="411">
        <v>752083.33333333337</v>
      </c>
      <c r="EX353" s="411">
        <v>752083.33333333337</v>
      </c>
      <c r="EY353" s="411">
        <v>752083.33333333337</v>
      </c>
      <c r="EZ353" s="411">
        <v>752083.33333333337</v>
      </c>
      <c r="FA353" s="411">
        <v>752083.33333333337</v>
      </c>
      <c r="FB353" s="411">
        <v>752083.33333333337</v>
      </c>
      <c r="FC353" s="411">
        <v>752083.33333333337</v>
      </c>
      <c r="FD353" s="411">
        <v>752083.33333333337</v>
      </c>
      <c r="FE353" s="411">
        <v>752083.33333333337</v>
      </c>
      <c r="FF353" s="411">
        <f>SUM(ET353:FE353)</f>
        <v>9024999.9999999981</v>
      </c>
    </row>
    <row r="354" spans="1:162">
      <c r="D354" s="74" t="str">
        <f t="shared" si="113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62" ht="30">
      <c r="D355" s="74" t="str">
        <f t="shared" si="113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62" ht="30">
      <c r="D356" s="74" t="str">
        <f t="shared" si="113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  <c r="FF356" s="307"/>
    </row>
    <row r="357" spans="1:162" s="9" customFormat="1" ht="45">
      <c r="A357" s="140" t="s">
        <v>96</v>
      </c>
      <c r="B357" s="140">
        <v>43</v>
      </c>
      <c r="C357" s="140"/>
      <c r="D357" s="140" t="str">
        <f t="shared" si="113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20">+CL358+CL368</f>
        <v>7656724.8525</v>
      </c>
      <c r="CM357" s="143">
        <f t="shared" si="120"/>
        <v>7656724.8525</v>
      </c>
      <c r="CN357" s="143">
        <f t="shared" si="120"/>
        <v>7656724.8525</v>
      </c>
      <c r="CO357" s="143">
        <f t="shared" si="120"/>
        <v>7656724.8525</v>
      </c>
      <c r="CP357" s="143">
        <f t="shared" si="120"/>
        <v>7656724.8525</v>
      </c>
      <c r="CQ357" s="143">
        <f t="shared" si="120"/>
        <v>7656724.8525</v>
      </c>
      <c r="CR357" s="143">
        <f t="shared" si="120"/>
        <v>7656724.8525</v>
      </c>
      <c r="CS357" s="143">
        <f t="shared" si="120"/>
        <v>7656724.8525</v>
      </c>
      <c r="CT357" s="143">
        <f t="shared" si="120"/>
        <v>7656724.8525</v>
      </c>
      <c r="CU357" s="143">
        <f t="shared" si="120"/>
        <v>7656724.8525</v>
      </c>
      <c r="CV357" s="143">
        <f t="shared" si="120"/>
        <v>7656724.8525</v>
      </c>
      <c r="CW357" s="144">
        <f t="shared" si="120"/>
        <v>7656724.8525</v>
      </c>
      <c r="CX357" s="315">
        <f t="shared" si="120"/>
        <v>8288399.6951821186</v>
      </c>
      <c r="CY357" s="318">
        <f t="shared" ref="CY357:DH357" si="121">+CY358+CY368</f>
        <v>8288399.6951821186</v>
      </c>
      <c r="CZ357" s="318">
        <f t="shared" si="121"/>
        <v>8288399.6951821186</v>
      </c>
      <c r="DA357" s="318">
        <f t="shared" si="121"/>
        <v>8288399.6951821186</v>
      </c>
      <c r="DB357" s="318">
        <f t="shared" si="121"/>
        <v>8288399.6951821186</v>
      </c>
      <c r="DC357" s="318">
        <f t="shared" si="121"/>
        <v>8288399.6951821186</v>
      </c>
      <c r="DD357" s="318">
        <f t="shared" si="121"/>
        <v>8288399.6951821186</v>
      </c>
      <c r="DE357" s="318">
        <f t="shared" si="121"/>
        <v>8288399.6951821186</v>
      </c>
      <c r="DF357" s="318">
        <f t="shared" si="121"/>
        <v>8288399.6951821186</v>
      </c>
      <c r="DG357" s="318">
        <f t="shared" si="121"/>
        <v>8288399.6951821186</v>
      </c>
      <c r="DH357" s="318">
        <f t="shared" si="121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2">+DK358+DK368</f>
        <v>10691224.718333334</v>
      </c>
      <c r="DL357" s="143">
        <f t="shared" si="122"/>
        <v>10691224.718333334</v>
      </c>
      <c r="DM357" s="143">
        <f t="shared" si="122"/>
        <v>10691224.718333334</v>
      </c>
      <c r="DN357" s="143">
        <f t="shared" si="122"/>
        <v>10691224.718333334</v>
      </c>
      <c r="DO357" s="143">
        <f t="shared" si="122"/>
        <v>10691224.718333334</v>
      </c>
      <c r="DP357" s="143">
        <f t="shared" si="122"/>
        <v>10691224.718333334</v>
      </c>
      <c r="DQ357" s="143">
        <f t="shared" si="122"/>
        <v>10691224.718333334</v>
      </c>
      <c r="DR357" s="143">
        <f t="shared" si="122"/>
        <v>10691224.718333334</v>
      </c>
      <c r="DS357" s="143">
        <f t="shared" si="122"/>
        <v>10691224.718333334</v>
      </c>
      <c r="DT357" s="143">
        <f t="shared" si="122"/>
        <v>10691224.718333334</v>
      </c>
      <c r="DU357" s="144">
        <f t="shared" si="122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  <c r="ET357" s="411">
        <f>+ET358+ET368</f>
        <v>15295211.558333334</v>
      </c>
      <c r="EU357" s="411">
        <f t="shared" ref="EU357:FE357" si="123">+EU358+EU368</f>
        <v>15295211.558333334</v>
      </c>
      <c r="EV357" s="411">
        <f t="shared" si="123"/>
        <v>15295211.558333334</v>
      </c>
      <c r="EW357" s="411">
        <f t="shared" si="123"/>
        <v>15295211.558333334</v>
      </c>
      <c r="EX357" s="411">
        <f t="shared" si="123"/>
        <v>15295211.558333334</v>
      </c>
      <c r="EY357" s="411">
        <f t="shared" si="123"/>
        <v>15295211.558333334</v>
      </c>
      <c r="EZ357" s="411">
        <f t="shared" si="123"/>
        <v>15295211.558333334</v>
      </c>
      <c r="FA357" s="411">
        <f t="shared" si="123"/>
        <v>15295211.558333334</v>
      </c>
      <c r="FB357" s="411">
        <f t="shared" si="123"/>
        <v>15295211.558333334</v>
      </c>
      <c r="FC357" s="411">
        <f t="shared" si="123"/>
        <v>15295211.558333334</v>
      </c>
      <c r="FD357" s="411">
        <f t="shared" si="123"/>
        <v>15295211.558333334</v>
      </c>
      <c r="FE357" s="411">
        <f t="shared" si="123"/>
        <v>15295211.558333334</v>
      </c>
      <c r="FF357" s="411">
        <f>SUM(ET357:FE357)</f>
        <v>183542538.70000002</v>
      </c>
    </row>
    <row r="358" spans="1:162" s="9" customFormat="1" ht="45">
      <c r="A358" s="140" t="s">
        <v>96</v>
      </c>
      <c r="B358" s="140" t="s">
        <v>96</v>
      </c>
      <c r="C358" s="140">
        <v>431</v>
      </c>
      <c r="D358" s="140" t="str">
        <f t="shared" si="113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4">+SUM(CL359:CL367)</f>
        <v>7635891.519166667</v>
      </c>
      <c r="CM358" s="143">
        <f t="shared" si="124"/>
        <v>7635891.519166667</v>
      </c>
      <c r="CN358" s="143">
        <f t="shared" si="124"/>
        <v>7635891.519166667</v>
      </c>
      <c r="CO358" s="143">
        <f t="shared" si="124"/>
        <v>7635891.519166667</v>
      </c>
      <c r="CP358" s="143">
        <f t="shared" si="124"/>
        <v>7635891.519166667</v>
      </c>
      <c r="CQ358" s="143">
        <f t="shared" si="124"/>
        <v>7635891.519166667</v>
      </c>
      <c r="CR358" s="143">
        <f t="shared" si="124"/>
        <v>7635891.519166667</v>
      </c>
      <c r="CS358" s="143">
        <f t="shared" si="124"/>
        <v>7635891.519166667</v>
      </c>
      <c r="CT358" s="143">
        <f t="shared" si="124"/>
        <v>7635891.519166667</v>
      </c>
      <c r="CU358" s="143">
        <f t="shared" si="124"/>
        <v>7635891.519166667</v>
      </c>
      <c r="CV358" s="143">
        <f t="shared" si="124"/>
        <v>7635891.519166667</v>
      </c>
      <c r="CW358" s="144">
        <f t="shared" si="124"/>
        <v>7635891.519166667</v>
      </c>
      <c r="CX358" s="315">
        <f t="shared" si="124"/>
        <v>8102373.0414896114</v>
      </c>
      <c r="CY358" s="318">
        <f t="shared" ref="CY358:DI358" si="125">+SUM(CY359:CY367)</f>
        <v>8102373.0414896114</v>
      </c>
      <c r="CZ358" s="318">
        <f t="shared" si="125"/>
        <v>8102373.0414896114</v>
      </c>
      <c r="DA358" s="318">
        <f t="shared" si="125"/>
        <v>8102373.0414896114</v>
      </c>
      <c r="DB358" s="318">
        <f t="shared" si="125"/>
        <v>8102373.0414896114</v>
      </c>
      <c r="DC358" s="318">
        <f t="shared" si="125"/>
        <v>8102373.0414896114</v>
      </c>
      <c r="DD358" s="318">
        <f t="shared" si="125"/>
        <v>8102373.0414896114</v>
      </c>
      <c r="DE358" s="318">
        <f t="shared" si="125"/>
        <v>8102373.0414896114</v>
      </c>
      <c r="DF358" s="318">
        <f t="shared" si="125"/>
        <v>8102373.0414896114</v>
      </c>
      <c r="DG358" s="318">
        <f t="shared" si="125"/>
        <v>8102373.0414896114</v>
      </c>
      <c r="DH358" s="318">
        <f t="shared" si="125"/>
        <v>8102373.0414896114</v>
      </c>
      <c r="DI358" s="316">
        <f t="shared" si="125"/>
        <v>8101624.3214896088</v>
      </c>
      <c r="DJ358" s="142">
        <f>+SUM(DJ359:DJ367)</f>
        <v>10655599.718333334</v>
      </c>
      <c r="DK358" s="143">
        <f t="shared" ref="DK358:DU358" si="126">+SUM(DK359:DK367)</f>
        <v>10655599.718333334</v>
      </c>
      <c r="DL358" s="143">
        <f t="shared" si="126"/>
        <v>10655599.718333334</v>
      </c>
      <c r="DM358" s="143">
        <f t="shared" si="126"/>
        <v>10655599.718333334</v>
      </c>
      <c r="DN358" s="143">
        <f t="shared" si="126"/>
        <v>10655599.718333334</v>
      </c>
      <c r="DO358" s="143">
        <f t="shared" si="126"/>
        <v>10655599.718333334</v>
      </c>
      <c r="DP358" s="143">
        <f t="shared" si="126"/>
        <v>10655599.718333334</v>
      </c>
      <c r="DQ358" s="143">
        <f t="shared" si="126"/>
        <v>10655599.718333334</v>
      </c>
      <c r="DR358" s="143">
        <f t="shared" si="126"/>
        <v>10655599.718333334</v>
      </c>
      <c r="DS358" s="143">
        <f t="shared" si="126"/>
        <v>10655599.718333334</v>
      </c>
      <c r="DT358" s="143">
        <f t="shared" si="126"/>
        <v>10655599.718333334</v>
      </c>
      <c r="DU358" s="144">
        <f t="shared" si="126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  <c r="ET358" s="411">
        <v>14810545.166666666</v>
      </c>
      <c r="EU358" s="411">
        <v>14810545.166666666</v>
      </c>
      <c r="EV358" s="411">
        <v>14810545.166666666</v>
      </c>
      <c r="EW358" s="411">
        <v>14810545.166666666</v>
      </c>
      <c r="EX358" s="411">
        <v>14810545.166666666</v>
      </c>
      <c r="EY358" s="411">
        <v>14810545.166666666</v>
      </c>
      <c r="EZ358" s="411">
        <v>14810545.166666666</v>
      </c>
      <c r="FA358" s="411">
        <v>14810545.166666666</v>
      </c>
      <c r="FB358" s="411">
        <v>14810545.166666666</v>
      </c>
      <c r="FC358" s="411">
        <v>14810545.166666666</v>
      </c>
      <c r="FD358" s="411">
        <v>14810545.166666666</v>
      </c>
      <c r="FE358" s="411">
        <v>14810545.166666666</v>
      </c>
      <c r="FF358" s="411">
        <f>SUM(ET358:FE358)</f>
        <v>177726542</v>
      </c>
    </row>
    <row r="359" spans="1:162">
      <c r="D359" s="74" t="str">
        <f t="shared" si="113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62">
      <c r="D360" s="74" t="str">
        <f t="shared" si="113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62" ht="30">
      <c r="D361" s="74" t="str">
        <f t="shared" si="113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62" ht="30">
      <c r="D362" s="74" t="str">
        <f t="shared" si="113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62" ht="30">
      <c r="D363" s="74" t="str">
        <f t="shared" si="113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62" ht="30">
      <c r="D364" s="74" t="str">
        <f t="shared" si="113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62" ht="30">
      <c r="D365" s="74" t="str">
        <f t="shared" si="113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62">
      <c r="D366" s="74" t="str">
        <f t="shared" si="113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62">
      <c r="D367" s="74" t="str">
        <f t="shared" si="113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62" s="9" customFormat="1">
      <c r="A368" s="140" t="s">
        <v>96</v>
      </c>
      <c r="B368" s="140" t="s">
        <v>96</v>
      </c>
      <c r="C368" s="140">
        <v>432</v>
      </c>
      <c r="D368" s="140" t="str">
        <f t="shared" si="113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7">+SUM(CL369:CL374)</f>
        <v>20833.333333333332</v>
      </c>
      <c r="CM368" s="143">
        <f t="shared" si="127"/>
        <v>20833.333333333332</v>
      </c>
      <c r="CN368" s="143">
        <f t="shared" si="127"/>
        <v>20833.333333333332</v>
      </c>
      <c r="CO368" s="143">
        <f t="shared" si="127"/>
        <v>20833.333333333332</v>
      </c>
      <c r="CP368" s="143">
        <f t="shared" si="127"/>
        <v>20833.333333333332</v>
      </c>
      <c r="CQ368" s="143">
        <f t="shared" si="127"/>
        <v>20833.333333333332</v>
      </c>
      <c r="CR368" s="143">
        <f t="shared" si="127"/>
        <v>20833.333333333332</v>
      </c>
      <c r="CS368" s="143">
        <f t="shared" si="127"/>
        <v>20833.333333333332</v>
      </c>
      <c r="CT368" s="143">
        <f t="shared" si="127"/>
        <v>20833.333333333332</v>
      </c>
      <c r="CU368" s="143">
        <f t="shared" si="127"/>
        <v>20833.333333333332</v>
      </c>
      <c r="CV368" s="143">
        <f t="shared" si="127"/>
        <v>20833.333333333332</v>
      </c>
      <c r="CW368" s="144">
        <f t="shared" si="127"/>
        <v>20833.333333333332</v>
      </c>
      <c r="CX368" s="315">
        <f t="shared" si="127"/>
        <v>186026.65369250745</v>
      </c>
      <c r="CY368" s="318">
        <f t="shared" ref="CY368:DI368" si="128">+SUM(CY369:CY374)</f>
        <v>186026.65369250745</v>
      </c>
      <c r="CZ368" s="318">
        <f t="shared" si="128"/>
        <v>186026.65369250745</v>
      </c>
      <c r="DA368" s="318">
        <f t="shared" si="128"/>
        <v>186026.65369250745</v>
      </c>
      <c r="DB368" s="318">
        <f t="shared" si="128"/>
        <v>186026.65369250745</v>
      </c>
      <c r="DC368" s="318">
        <f t="shared" si="128"/>
        <v>186026.65369250745</v>
      </c>
      <c r="DD368" s="318">
        <f t="shared" si="128"/>
        <v>186026.65369250745</v>
      </c>
      <c r="DE368" s="318">
        <f t="shared" si="128"/>
        <v>186026.65369250745</v>
      </c>
      <c r="DF368" s="318">
        <f t="shared" si="128"/>
        <v>186026.65369250745</v>
      </c>
      <c r="DG368" s="318">
        <f t="shared" si="128"/>
        <v>186026.65369250745</v>
      </c>
      <c r="DH368" s="318">
        <f t="shared" si="128"/>
        <v>186026.65369250745</v>
      </c>
      <c r="DI368" s="316">
        <f t="shared" si="128"/>
        <v>186026.65369250745</v>
      </c>
      <c r="DJ368" s="142">
        <f>+SUM(DJ369:DJ374)</f>
        <v>35625</v>
      </c>
      <c r="DK368" s="143">
        <f t="shared" ref="DK368:DU368" si="129">+SUM(DK369:DK374)</f>
        <v>35625</v>
      </c>
      <c r="DL368" s="143">
        <f t="shared" si="129"/>
        <v>35625</v>
      </c>
      <c r="DM368" s="143">
        <f t="shared" si="129"/>
        <v>35625</v>
      </c>
      <c r="DN368" s="143">
        <f t="shared" si="129"/>
        <v>35625</v>
      </c>
      <c r="DO368" s="143">
        <f t="shared" si="129"/>
        <v>35625</v>
      </c>
      <c r="DP368" s="143">
        <f t="shared" si="129"/>
        <v>35625</v>
      </c>
      <c r="DQ368" s="143">
        <f t="shared" si="129"/>
        <v>35625</v>
      </c>
      <c r="DR368" s="143">
        <f t="shared" si="129"/>
        <v>35625</v>
      </c>
      <c r="DS368" s="143">
        <f t="shared" si="129"/>
        <v>35625</v>
      </c>
      <c r="DT368" s="143">
        <f t="shared" si="129"/>
        <v>35625</v>
      </c>
      <c r="DU368" s="144">
        <f t="shared" si="129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  <c r="ET368" s="411">
        <v>484666.39166666666</v>
      </c>
      <c r="EU368" s="411">
        <v>484666.39166666666</v>
      </c>
      <c r="EV368" s="411">
        <v>484666.39166666666</v>
      </c>
      <c r="EW368" s="411">
        <v>484666.39166666666</v>
      </c>
      <c r="EX368" s="411">
        <v>484666.39166666666</v>
      </c>
      <c r="EY368" s="411">
        <v>484666.39166666666</v>
      </c>
      <c r="EZ368" s="411">
        <v>484666.39166666666</v>
      </c>
      <c r="FA368" s="411">
        <v>484666.39166666666</v>
      </c>
      <c r="FB368" s="411">
        <v>484666.39166666666</v>
      </c>
      <c r="FC368" s="411">
        <v>484666.39166666666</v>
      </c>
      <c r="FD368" s="411">
        <v>484666.39166666666</v>
      </c>
      <c r="FE368" s="411">
        <v>484666.39166666666</v>
      </c>
      <c r="FF368" s="411">
        <f>SUM(ET368:FE368)</f>
        <v>5815996.7000000002</v>
      </c>
    </row>
    <row r="369" spans="1:162" ht="30">
      <c r="D369" s="74" t="str">
        <f t="shared" si="113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62">
      <c r="D370" s="74" t="str">
        <f t="shared" si="113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62" ht="30">
      <c r="D371" s="74" t="str">
        <f t="shared" si="113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62">
      <c r="D372" s="74" t="str">
        <f t="shared" si="113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62">
      <c r="D373" s="74" t="str">
        <f t="shared" si="113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62">
      <c r="D374" s="74" t="str">
        <f t="shared" si="113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62" s="9" customFormat="1">
      <c r="A375" s="140"/>
      <c r="B375" s="140"/>
      <c r="C375" s="140">
        <v>441</v>
      </c>
      <c r="D375" s="140" t="str">
        <f t="shared" si="113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  <c r="ET375" s="411">
        <v>21472083.333333332</v>
      </c>
      <c r="EU375" s="411">
        <v>21472083.333333332</v>
      </c>
      <c r="EV375" s="411">
        <v>21472083.333333332</v>
      </c>
      <c r="EW375" s="411">
        <v>21472083.333333332</v>
      </c>
      <c r="EX375" s="411">
        <v>21472083.333333332</v>
      </c>
      <c r="EY375" s="411">
        <v>21472083.333333332</v>
      </c>
      <c r="EZ375" s="411">
        <v>26990416.666666664</v>
      </c>
      <c r="FA375" s="411">
        <v>26990416.666666664</v>
      </c>
      <c r="FB375" s="411">
        <v>26990416.666666664</v>
      </c>
      <c r="FC375" s="411">
        <v>26990416.666666664</v>
      </c>
      <c r="FD375" s="411">
        <v>26990416.666666664</v>
      </c>
      <c r="FE375" s="411">
        <v>26990416.666666664</v>
      </c>
      <c r="FF375" s="411">
        <f>SUM(ET375:FE375)</f>
        <v>290774999.99999994</v>
      </c>
    </row>
    <row r="376" spans="1:162" s="9" customFormat="1" ht="30">
      <c r="A376" s="140"/>
      <c r="B376" s="140"/>
      <c r="C376" s="140">
        <v>441</v>
      </c>
      <c r="D376" s="140" t="str">
        <f t="shared" si="113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30">+SUM(CL377:CL385)</f>
        <v>5664403.9874999989</v>
      </c>
      <c r="CM376" s="143">
        <f t="shared" si="130"/>
        <v>5664403.9874999989</v>
      </c>
      <c r="CN376" s="143">
        <f t="shared" si="130"/>
        <v>5664403.9874999989</v>
      </c>
      <c r="CO376" s="143">
        <f t="shared" si="130"/>
        <v>5664403.9874999989</v>
      </c>
      <c r="CP376" s="143">
        <f t="shared" si="130"/>
        <v>5664403.9874999989</v>
      </c>
      <c r="CQ376" s="143">
        <f t="shared" si="130"/>
        <v>5664403.9874999989</v>
      </c>
      <c r="CR376" s="143">
        <f t="shared" si="130"/>
        <v>5664403.9874999989</v>
      </c>
      <c r="CS376" s="143">
        <f t="shared" si="130"/>
        <v>5664403.9874999989</v>
      </c>
      <c r="CT376" s="143">
        <f t="shared" si="130"/>
        <v>5664403.9874999989</v>
      </c>
      <c r="CU376" s="143">
        <f t="shared" si="130"/>
        <v>5664403.9874999989</v>
      </c>
      <c r="CV376" s="143">
        <f t="shared" si="130"/>
        <v>5664403.9874999989</v>
      </c>
      <c r="CW376" s="144">
        <f t="shared" si="130"/>
        <v>5664403.9874999989</v>
      </c>
      <c r="CX376" s="315">
        <f t="shared" si="130"/>
        <v>862330.27666666661</v>
      </c>
      <c r="CY376" s="318">
        <f t="shared" ref="CY376:DI376" si="131">+SUM(CY377:CY385)</f>
        <v>862330.27666666661</v>
      </c>
      <c r="CZ376" s="318">
        <f t="shared" si="131"/>
        <v>862330.27666666661</v>
      </c>
      <c r="DA376" s="318">
        <f t="shared" si="131"/>
        <v>862330.27666666661</v>
      </c>
      <c r="DB376" s="318">
        <f t="shared" si="131"/>
        <v>862330.27666666661</v>
      </c>
      <c r="DC376" s="318">
        <f t="shared" si="131"/>
        <v>862330.27666666661</v>
      </c>
      <c r="DD376" s="318">
        <f t="shared" si="131"/>
        <v>862330.27666666661</v>
      </c>
      <c r="DE376" s="318">
        <f t="shared" si="131"/>
        <v>862330.27666666661</v>
      </c>
      <c r="DF376" s="318">
        <f t="shared" si="131"/>
        <v>862330.27666666661</v>
      </c>
      <c r="DG376" s="318">
        <f t="shared" si="131"/>
        <v>862330.27666666661</v>
      </c>
      <c r="DH376" s="318">
        <f t="shared" si="131"/>
        <v>862330.27666666661</v>
      </c>
      <c r="DI376" s="316">
        <f t="shared" si="131"/>
        <v>862330.27666666661</v>
      </c>
      <c r="DJ376" s="142">
        <f>+SUM(DJ377:DJ385)</f>
        <v>1154156.4341666666</v>
      </c>
      <c r="DK376" s="143">
        <f t="shared" ref="DK376:DU376" si="132">+SUM(DK377:DK385)</f>
        <v>1154156.4341666666</v>
      </c>
      <c r="DL376" s="143">
        <f t="shared" si="132"/>
        <v>1154156.4341666666</v>
      </c>
      <c r="DM376" s="143">
        <f t="shared" si="132"/>
        <v>1154156.4341666666</v>
      </c>
      <c r="DN376" s="143">
        <f t="shared" si="132"/>
        <v>1154156.4341666666</v>
      </c>
      <c r="DO376" s="143">
        <f t="shared" si="132"/>
        <v>1154156.4341666666</v>
      </c>
      <c r="DP376" s="143">
        <f t="shared" si="132"/>
        <v>1154156.4341666666</v>
      </c>
      <c r="DQ376" s="143">
        <f t="shared" si="132"/>
        <v>1154156.4341666666</v>
      </c>
      <c r="DR376" s="143">
        <f t="shared" si="132"/>
        <v>1154156.4341666666</v>
      </c>
      <c r="DS376" s="143">
        <f t="shared" si="132"/>
        <v>1154156.4341666666</v>
      </c>
      <c r="DT376" s="143">
        <f t="shared" si="132"/>
        <v>1154156.4341666666</v>
      </c>
      <c r="DU376" s="144">
        <f t="shared" si="132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  <c r="ET376" s="411">
        <v>3322124.294666667</v>
      </c>
      <c r="EU376" s="411">
        <v>3322124.294666667</v>
      </c>
      <c r="EV376" s="411">
        <v>3322124.294666667</v>
      </c>
      <c r="EW376" s="411">
        <v>3322124.294666667</v>
      </c>
      <c r="EX376" s="411">
        <v>3322124.294666667</v>
      </c>
      <c r="EY376" s="411">
        <v>3322124.294666667</v>
      </c>
      <c r="EZ376" s="411">
        <v>4983186.4420000007</v>
      </c>
      <c r="FA376" s="411">
        <v>4983186.4420000007</v>
      </c>
      <c r="FB376" s="411">
        <v>4983186.4420000007</v>
      </c>
      <c r="FC376" s="411">
        <v>4983186.4420000007</v>
      </c>
      <c r="FD376" s="411">
        <v>4983186.4420000007</v>
      </c>
      <c r="FE376" s="411">
        <v>4983186.4420000007</v>
      </c>
      <c r="FF376" s="411">
        <f>SUM(ET376:FE376)</f>
        <v>49831864.420000009</v>
      </c>
    </row>
    <row r="377" spans="1:162" ht="30">
      <c r="D377" s="74" t="str">
        <f t="shared" si="113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62">
      <c r="D378" s="74" t="str">
        <f t="shared" si="113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62">
      <c r="D379" s="74" t="str">
        <f t="shared" si="113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62">
      <c r="D380" s="74" t="str">
        <f t="shared" si="113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62">
      <c r="D381" s="74" t="str">
        <f t="shared" si="113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62">
      <c r="D382" s="74" t="str">
        <f t="shared" si="113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62">
      <c r="D383" s="74" t="str">
        <f t="shared" si="113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62" ht="30">
      <c r="D384" s="74" t="str">
        <f t="shared" si="113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62">
      <c r="D385" s="74" t="str">
        <f t="shared" si="113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62" s="9" customFormat="1">
      <c r="A386" s="140" t="s">
        <v>96</v>
      </c>
      <c r="B386" s="140">
        <v>45</v>
      </c>
      <c r="C386" s="140"/>
      <c r="D386" s="140" t="str">
        <f t="shared" si="113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3">+CM387</f>
        <v>143333.33333333334</v>
      </c>
      <c r="CN386" s="143">
        <f t="shared" si="133"/>
        <v>143333.33333333334</v>
      </c>
      <c r="CO386" s="143">
        <f t="shared" si="133"/>
        <v>143333.33333333334</v>
      </c>
      <c r="CP386" s="143">
        <f t="shared" si="133"/>
        <v>143333.33333333334</v>
      </c>
      <c r="CQ386" s="143">
        <f t="shared" si="133"/>
        <v>143333.33333333334</v>
      </c>
      <c r="CR386" s="143">
        <f t="shared" si="133"/>
        <v>143333.33333333334</v>
      </c>
      <c r="CS386" s="143">
        <f t="shared" si="133"/>
        <v>143333.33333333334</v>
      </c>
      <c r="CT386" s="143">
        <f t="shared" si="133"/>
        <v>143333.33333333334</v>
      </c>
      <c r="CU386" s="143">
        <f t="shared" si="133"/>
        <v>143333.33333333334</v>
      </c>
      <c r="CV386" s="143">
        <f t="shared" si="133"/>
        <v>143333.33333333334</v>
      </c>
      <c r="CW386" s="144">
        <f t="shared" si="133"/>
        <v>143333.33333333334</v>
      </c>
      <c r="CX386" s="315">
        <f t="shared" si="133"/>
        <v>178333.33333333334</v>
      </c>
      <c r="CY386" s="318">
        <f t="shared" si="133"/>
        <v>178333.33333333334</v>
      </c>
      <c r="CZ386" s="318">
        <f t="shared" si="133"/>
        <v>178333.33333333334</v>
      </c>
      <c r="DA386" s="318">
        <f t="shared" si="133"/>
        <v>178333.33333333334</v>
      </c>
      <c r="DB386" s="318">
        <f t="shared" si="133"/>
        <v>178333.33333333334</v>
      </c>
      <c r="DC386" s="318">
        <f t="shared" si="133"/>
        <v>178333.33333333334</v>
      </c>
      <c r="DD386" s="318">
        <f t="shared" si="133"/>
        <v>178333.33333333334</v>
      </c>
      <c r="DE386" s="318">
        <f t="shared" si="133"/>
        <v>178333.33333333334</v>
      </c>
      <c r="DF386" s="318">
        <f t="shared" si="133"/>
        <v>178333.33333333334</v>
      </c>
      <c r="DG386" s="318">
        <f t="shared" si="133"/>
        <v>178333.33333333334</v>
      </c>
      <c r="DH386" s="318">
        <f t="shared" si="133"/>
        <v>178333.33333333334</v>
      </c>
      <c r="DI386" s="316">
        <f t="shared" si="133"/>
        <v>178333.33333333334</v>
      </c>
      <c r="DJ386" s="142">
        <f>+DJ387</f>
        <v>187500</v>
      </c>
      <c r="DK386" s="143">
        <f t="shared" ref="DK386:DU386" si="134">+DK387</f>
        <v>187500</v>
      </c>
      <c r="DL386" s="143">
        <f t="shared" si="134"/>
        <v>187500</v>
      </c>
      <c r="DM386" s="143">
        <f t="shared" si="134"/>
        <v>187500</v>
      </c>
      <c r="DN386" s="143">
        <f t="shared" si="134"/>
        <v>187500</v>
      </c>
      <c r="DO386" s="143">
        <f t="shared" si="134"/>
        <v>187500</v>
      </c>
      <c r="DP386" s="143">
        <f t="shared" si="134"/>
        <v>187500</v>
      </c>
      <c r="DQ386" s="143">
        <f t="shared" si="134"/>
        <v>187500</v>
      </c>
      <c r="DR386" s="143">
        <f t="shared" si="134"/>
        <v>187500</v>
      </c>
      <c r="DS386" s="143">
        <f t="shared" si="134"/>
        <v>187500</v>
      </c>
      <c r="DT386" s="143">
        <f t="shared" si="134"/>
        <v>187500</v>
      </c>
      <c r="DU386" s="144">
        <f t="shared" si="134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  <c r="ET386" s="411">
        <v>239583.41666666666</v>
      </c>
      <c r="EU386" s="411">
        <v>239583.41666666666</v>
      </c>
      <c r="EV386" s="411">
        <v>239583.41666666666</v>
      </c>
      <c r="EW386" s="411">
        <v>239583.41666666666</v>
      </c>
      <c r="EX386" s="411">
        <v>239583.41666666666</v>
      </c>
      <c r="EY386" s="411">
        <v>239583.41666666666</v>
      </c>
      <c r="EZ386" s="411">
        <v>239583.41666666666</v>
      </c>
      <c r="FA386" s="411">
        <v>239583.41666666666</v>
      </c>
      <c r="FB386" s="411">
        <v>239583.41666666666</v>
      </c>
      <c r="FC386" s="411">
        <v>239583.41666666666</v>
      </c>
      <c r="FD386" s="411">
        <v>239583.41666666666</v>
      </c>
      <c r="FE386" s="411">
        <v>239583.41666666666</v>
      </c>
      <c r="FF386" s="411">
        <f>SUM(ET386:FE386)</f>
        <v>2875000.9999999995</v>
      </c>
    </row>
    <row r="387" spans="1:162">
      <c r="C387" s="74">
        <v>451</v>
      </c>
      <c r="D387" s="74" t="str">
        <f t="shared" si="113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5">++SUM(CM388:CM392)</f>
        <v>143333.33333333334</v>
      </c>
      <c r="CN387" s="105">
        <f t="shared" si="135"/>
        <v>143333.33333333334</v>
      </c>
      <c r="CO387" s="105">
        <f t="shared" si="135"/>
        <v>143333.33333333334</v>
      </c>
      <c r="CP387" s="105">
        <f t="shared" si="135"/>
        <v>143333.33333333334</v>
      </c>
      <c r="CQ387" s="105">
        <f t="shared" si="135"/>
        <v>143333.33333333334</v>
      </c>
      <c r="CR387" s="105">
        <f t="shared" si="135"/>
        <v>143333.33333333334</v>
      </c>
      <c r="CS387" s="105">
        <f t="shared" si="135"/>
        <v>143333.33333333334</v>
      </c>
      <c r="CT387" s="105">
        <f t="shared" si="135"/>
        <v>143333.33333333334</v>
      </c>
      <c r="CU387" s="105">
        <f t="shared" si="135"/>
        <v>143333.33333333334</v>
      </c>
      <c r="CV387" s="105">
        <f t="shared" si="135"/>
        <v>143333.33333333334</v>
      </c>
      <c r="CW387" s="106">
        <f t="shared" si="135"/>
        <v>143333.33333333334</v>
      </c>
      <c r="CX387" s="314">
        <f t="shared" si="135"/>
        <v>178333.33333333334</v>
      </c>
      <c r="CY387" s="317">
        <f t="shared" si="135"/>
        <v>178333.33333333334</v>
      </c>
      <c r="CZ387" s="317">
        <f t="shared" si="135"/>
        <v>178333.33333333334</v>
      </c>
      <c r="DA387" s="317">
        <f t="shared" si="135"/>
        <v>178333.33333333334</v>
      </c>
      <c r="DB387" s="317">
        <f t="shared" si="135"/>
        <v>178333.33333333334</v>
      </c>
      <c r="DC387" s="317">
        <f t="shared" si="135"/>
        <v>178333.33333333334</v>
      </c>
      <c r="DD387" s="317">
        <f t="shared" si="135"/>
        <v>178333.33333333334</v>
      </c>
      <c r="DE387" s="317">
        <f t="shared" si="135"/>
        <v>178333.33333333334</v>
      </c>
      <c r="DF387" s="317">
        <f t="shared" si="135"/>
        <v>178333.33333333334</v>
      </c>
      <c r="DG387" s="317">
        <f t="shared" si="135"/>
        <v>178333.33333333334</v>
      </c>
      <c r="DH387" s="317">
        <f t="shared" si="135"/>
        <v>178333.33333333334</v>
      </c>
      <c r="DI387" s="313">
        <f t="shared" si="135"/>
        <v>178333.33333333334</v>
      </c>
      <c r="DJ387" s="104">
        <f>+SUM(DJ388:DJ392)</f>
        <v>187500</v>
      </c>
      <c r="DK387" s="105">
        <f t="shared" ref="DK387:DU387" si="136">+SUM(DK388:DK392)</f>
        <v>187500</v>
      </c>
      <c r="DL387" s="105">
        <f t="shared" si="136"/>
        <v>187500</v>
      </c>
      <c r="DM387" s="105">
        <f t="shared" si="136"/>
        <v>187500</v>
      </c>
      <c r="DN387" s="105">
        <f t="shared" si="136"/>
        <v>187500</v>
      </c>
      <c r="DO387" s="105">
        <f t="shared" si="136"/>
        <v>187500</v>
      </c>
      <c r="DP387" s="105">
        <f t="shared" si="136"/>
        <v>187500</v>
      </c>
      <c r="DQ387" s="105">
        <f t="shared" si="136"/>
        <v>187500</v>
      </c>
      <c r="DR387" s="105">
        <f t="shared" si="136"/>
        <v>187500</v>
      </c>
      <c r="DS387" s="105">
        <f t="shared" si="136"/>
        <v>187500</v>
      </c>
      <c r="DT387" s="105">
        <f t="shared" si="136"/>
        <v>187500</v>
      </c>
      <c r="DU387" s="106">
        <f t="shared" si="136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62" ht="30">
      <c r="D388" s="74" t="str">
        <f t="shared" si="113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62" ht="30">
      <c r="D389" s="74" t="str">
        <f t="shared" si="113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62">
      <c r="D390" s="74" t="str">
        <f t="shared" si="113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62" ht="45">
      <c r="D391" s="74" t="str">
        <f t="shared" si="113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62">
      <c r="D392" s="74" t="str">
        <f t="shared" si="113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62" s="9" customFormat="1">
      <c r="A393" s="140" t="s">
        <v>96</v>
      </c>
      <c r="B393" s="140">
        <v>46</v>
      </c>
      <c r="C393" s="140"/>
      <c r="D393" s="140" t="str">
        <f t="shared" si="113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7">+CL394+CL397+CL400</f>
        <v>9889761</v>
      </c>
      <c r="CM393" s="143">
        <f t="shared" si="137"/>
        <v>9889761</v>
      </c>
      <c r="CN393" s="143">
        <f t="shared" si="137"/>
        <v>9889761</v>
      </c>
      <c r="CO393" s="143">
        <f t="shared" si="137"/>
        <v>9889761</v>
      </c>
      <c r="CP393" s="143">
        <f t="shared" si="137"/>
        <v>9889761</v>
      </c>
      <c r="CQ393" s="143">
        <f t="shared" si="137"/>
        <v>9889761</v>
      </c>
      <c r="CR393" s="143">
        <f t="shared" si="137"/>
        <v>9889761</v>
      </c>
      <c r="CS393" s="143">
        <f t="shared" si="137"/>
        <v>9889761</v>
      </c>
      <c r="CT393" s="143">
        <f t="shared" si="137"/>
        <v>9889761</v>
      </c>
      <c r="CU393" s="143">
        <f t="shared" si="137"/>
        <v>9889761</v>
      </c>
      <c r="CV393" s="143">
        <f t="shared" si="137"/>
        <v>9889761</v>
      </c>
      <c r="CW393" s="144">
        <f t="shared" si="137"/>
        <v>9889761</v>
      </c>
      <c r="CX393" s="315">
        <f t="shared" si="137"/>
        <v>14285575.4575</v>
      </c>
      <c r="CY393" s="318">
        <f t="shared" ref="CY393:DI393" si="138">+CY394+CY397+CY400</f>
        <v>14285575.4575</v>
      </c>
      <c r="CZ393" s="318">
        <f t="shared" si="138"/>
        <v>14285575.4575</v>
      </c>
      <c r="DA393" s="318">
        <f t="shared" si="138"/>
        <v>14285575.4575</v>
      </c>
      <c r="DB393" s="318">
        <f t="shared" si="138"/>
        <v>14285575.4575</v>
      </c>
      <c r="DC393" s="318">
        <f t="shared" si="138"/>
        <v>14285575.4575</v>
      </c>
      <c r="DD393" s="318">
        <f t="shared" si="138"/>
        <v>14285575.4575</v>
      </c>
      <c r="DE393" s="318">
        <f t="shared" si="138"/>
        <v>14285575.4575</v>
      </c>
      <c r="DF393" s="318">
        <f t="shared" si="138"/>
        <v>14285575.4575</v>
      </c>
      <c r="DG393" s="318">
        <f t="shared" si="138"/>
        <v>14285575.4575</v>
      </c>
      <c r="DH393" s="318">
        <f t="shared" si="138"/>
        <v>14285575.4575</v>
      </c>
      <c r="DI393" s="316">
        <f t="shared" si="138"/>
        <v>14285575.4575</v>
      </c>
      <c r="DJ393" s="142">
        <f>+DJ394+DJ397+DJ400</f>
        <v>33191007.030833334</v>
      </c>
      <c r="DK393" s="143">
        <f t="shared" ref="DK393:DU393" si="139">+DK394+DK397+DK400</f>
        <v>33191007.030833334</v>
      </c>
      <c r="DL393" s="143">
        <f t="shared" si="139"/>
        <v>33191007.030833334</v>
      </c>
      <c r="DM393" s="143">
        <f t="shared" si="139"/>
        <v>33191007.030833334</v>
      </c>
      <c r="DN393" s="143">
        <f t="shared" si="139"/>
        <v>33191007.030833334</v>
      </c>
      <c r="DO393" s="143">
        <f t="shared" si="139"/>
        <v>33191007.030833334</v>
      </c>
      <c r="DP393" s="143">
        <f t="shared" si="139"/>
        <v>33191007.030833334</v>
      </c>
      <c r="DQ393" s="143">
        <f t="shared" si="139"/>
        <v>33191007.030833334</v>
      </c>
      <c r="DR393" s="143">
        <f t="shared" si="139"/>
        <v>33191007.030833334</v>
      </c>
      <c r="DS393" s="143">
        <f t="shared" si="139"/>
        <v>33191007.030833334</v>
      </c>
      <c r="DT393" s="143">
        <f t="shared" si="139"/>
        <v>33191007.030833334</v>
      </c>
      <c r="DU393" s="143">
        <f t="shared" si="139"/>
        <v>33191007.030833334</v>
      </c>
      <c r="DV393" s="397">
        <f>DV394+DV397+DV400</f>
        <v>32768615.2925</v>
      </c>
      <c r="DW393" s="397">
        <f t="shared" ref="DW393:ES393" si="140">DW394+DW397+DW400</f>
        <v>32768615.2925</v>
      </c>
      <c r="DX393" s="397">
        <f t="shared" si="140"/>
        <v>32768615.2925</v>
      </c>
      <c r="DY393" s="397">
        <f t="shared" si="140"/>
        <v>32768615.2925</v>
      </c>
      <c r="DZ393" s="397">
        <f t="shared" si="140"/>
        <v>32768615.2925</v>
      </c>
      <c r="EA393" s="397">
        <f t="shared" si="140"/>
        <v>32768615.2925</v>
      </c>
      <c r="EB393" s="397">
        <f t="shared" si="140"/>
        <v>32768615.2925</v>
      </c>
      <c r="EC393" s="397">
        <f t="shared" si="140"/>
        <v>32768615.2925</v>
      </c>
      <c r="ED393" s="397">
        <f t="shared" si="140"/>
        <v>32768615.2925</v>
      </c>
      <c r="EE393" s="397">
        <f t="shared" si="140"/>
        <v>32768615.2925</v>
      </c>
      <c r="EF393" s="397">
        <f t="shared" si="140"/>
        <v>32768615.2925</v>
      </c>
      <c r="EG393" s="397">
        <f t="shared" si="140"/>
        <v>32768615.2925</v>
      </c>
      <c r="EH393" s="397">
        <f t="shared" si="140"/>
        <v>4617467.5633333325</v>
      </c>
      <c r="EI393" s="397">
        <f t="shared" si="140"/>
        <v>5248180.4533333331</v>
      </c>
      <c r="EJ393" s="397">
        <f t="shared" si="140"/>
        <v>18465645.143333334</v>
      </c>
      <c r="EK393" s="397">
        <f t="shared" si="140"/>
        <v>67460865.603333324</v>
      </c>
      <c r="EL393" s="397">
        <f t="shared" si="140"/>
        <v>10247541.783333333</v>
      </c>
      <c r="EM393" s="397">
        <f t="shared" si="140"/>
        <v>16046343.563333331</v>
      </c>
      <c r="EN393" s="397">
        <f t="shared" si="140"/>
        <v>23103608.363333337</v>
      </c>
      <c r="EO393" s="397">
        <f t="shared" si="140"/>
        <v>16877006.883333333</v>
      </c>
      <c r="EP393" s="397">
        <f t="shared" si="140"/>
        <v>17318908.093333334</v>
      </c>
      <c r="EQ393" s="397">
        <f t="shared" si="140"/>
        <v>9686739.4033333324</v>
      </c>
      <c r="ER393" s="397">
        <f t="shared" si="140"/>
        <v>11714826.133333333</v>
      </c>
      <c r="ES393" s="397">
        <f t="shared" si="140"/>
        <v>19628370.163333334</v>
      </c>
    </row>
    <row r="394" spans="1:162" s="9" customFormat="1">
      <c r="A394" s="140"/>
      <c r="B394" s="140"/>
      <c r="C394" s="140">
        <v>461</v>
      </c>
      <c r="D394" s="140" t="str">
        <f t="shared" si="113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41">+SUM(CL395:CL396)</f>
        <v>7208333.333333333</v>
      </c>
      <c r="CM394" s="143">
        <f t="shared" si="141"/>
        <v>7208333.333333333</v>
      </c>
      <c r="CN394" s="143">
        <f t="shared" si="141"/>
        <v>7208333.333333333</v>
      </c>
      <c r="CO394" s="143">
        <f t="shared" si="141"/>
        <v>7208333.333333333</v>
      </c>
      <c r="CP394" s="143">
        <f t="shared" si="141"/>
        <v>7208333.333333333</v>
      </c>
      <c r="CQ394" s="143">
        <f t="shared" si="141"/>
        <v>7208333.333333333</v>
      </c>
      <c r="CR394" s="143">
        <f t="shared" si="141"/>
        <v>7208333.333333333</v>
      </c>
      <c r="CS394" s="143">
        <f t="shared" si="141"/>
        <v>7208333.333333333</v>
      </c>
      <c r="CT394" s="143">
        <f t="shared" si="141"/>
        <v>7208333.333333333</v>
      </c>
      <c r="CU394" s="143">
        <f t="shared" si="141"/>
        <v>7208333.333333333</v>
      </c>
      <c r="CV394" s="143">
        <f t="shared" si="141"/>
        <v>7208333.333333333</v>
      </c>
      <c r="CW394" s="144">
        <f t="shared" si="141"/>
        <v>7208333.333333333</v>
      </c>
      <c r="CX394" s="315">
        <f t="shared" si="141"/>
        <v>11507395.460000001</v>
      </c>
      <c r="CY394" s="318">
        <f t="shared" ref="CY394:DI394" si="142">+SUM(CY395:CY396)</f>
        <v>11507395.460000001</v>
      </c>
      <c r="CZ394" s="318">
        <f t="shared" si="142"/>
        <v>11507395.460000001</v>
      </c>
      <c r="DA394" s="318">
        <f t="shared" si="142"/>
        <v>11507395.460000001</v>
      </c>
      <c r="DB394" s="318">
        <f t="shared" si="142"/>
        <v>11507395.460000001</v>
      </c>
      <c r="DC394" s="318">
        <f t="shared" si="142"/>
        <v>11507395.460000001</v>
      </c>
      <c r="DD394" s="318">
        <f t="shared" si="142"/>
        <v>11507395.460000001</v>
      </c>
      <c r="DE394" s="318">
        <f t="shared" si="142"/>
        <v>11507395.460000001</v>
      </c>
      <c r="DF394" s="318">
        <f t="shared" si="142"/>
        <v>11507395.460000001</v>
      </c>
      <c r="DG394" s="318">
        <f t="shared" si="142"/>
        <v>11507395.460000001</v>
      </c>
      <c r="DH394" s="318">
        <f t="shared" si="142"/>
        <v>11507395.460000001</v>
      </c>
      <c r="DI394" s="316">
        <f t="shared" si="142"/>
        <v>11507395.460000001</v>
      </c>
      <c r="DJ394" s="142">
        <f>+SUM(DJ395:DJ396)</f>
        <v>30373417.030833334</v>
      </c>
      <c r="DK394" s="143">
        <f t="shared" ref="DK394:ES394" si="143">+SUM(DK395:DK396)</f>
        <v>30373417.030833334</v>
      </c>
      <c r="DL394" s="143">
        <f t="shared" si="143"/>
        <v>30373417.030833334</v>
      </c>
      <c r="DM394" s="143">
        <f t="shared" si="143"/>
        <v>30373417.030833334</v>
      </c>
      <c r="DN394" s="143">
        <f t="shared" si="143"/>
        <v>30373417.030833334</v>
      </c>
      <c r="DO394" s="143">
        <f t="shared" si="143"/>
        <v>30373417.030833334</v>
      </c>
      <c r="DP394" s="143">
        <f t="shared" si="143"/>
        <v>30373417.030833334</v>
      </c>
      <c r="DQ394" s="143">
        <f t="shared" si="143"/>
        <v>30373417.030833334</v>
      </c>
      <c r="DR394" s="143">
        <f t="shared" si="143"/>
        <v>30373417.030833334</v>
      </c>
      <c r="DS394" s="143">
        <f t="shared" si="143"/>
        <v>30373417.030833334</v>
      </c>
      <c r="DT394" s="143">
        <f t="shared" si="143"/>
        <v>30373417.030833334</v>
      </c>
      <c r="DU394" s="143">
        <f t="shared" si="143"/>
        <v>30373417.030833334</v>
      </c>
      <c r="DV394" s="143">
        <f t="shared" si="143"/>
        <v>29487385.678333335</v>
      </c>
      <c r="DW394" s="143">
        <f t="shared" si="143"/>
        <v>29487385.678333335</v>
      </c>
      <c r="DX394" s="143">
        <f t="shared" si="143"/>
        <v>29487385.678333335</v>
      </c>
      <c r="DY394" s="143">
        <f t="shared" si="143"/>
        <v>29487385.678333335</v>
      </c>
      <c r="DZ394" s="143">
        <f t="shared" si="143"/>
        <v>29487385.678333335</v>
      </c>
      <c r="EA394" s="143">
        <f t="shared" si="143"/>
        <v>29487385.678333335</v>
      </c>
      <c r="EB394" s="143">
        <f t="shared" si="143"/>
        <v>29487385.678333335</v>
      </c>
      <c r="EC394" s="143">
        <f t="shared" si="143"/>
        <v>29487385.678333335</v>
      </c>
      <c r="ED394" s="143">
        <f t="shared" si="143"/>
        <v>29487385.678333335</v>
      </c>
      <c r="EE394" s="143">
        <f>+SUM(EE395:EE396)</f>
        <v>29487385.678333335</v>
      </c>
      <c r="EF394" s="143">
        <f t="shared" si="143"/>
        <v>29487385.678333335</v>
      </c>
      <c r="EG394" s="143">
        <f t="shared" si="143"/>
        <v>29487385.678333335</v>
      </c>
      <c r="EH394" s="143">
        <f t="shared" si="143"/>
        <v>1807759.33</v>
      </c>
      <c r="EI394" s="143">
        <f t="shared" si="143"/>
        <v>2438472.2200000002</v>
      </c>
      <c r="EJ394" s="143">
        <f t="shared" si="143"/>
        <v>15655936.91</v>
      </c>
      <c r="EK394" s="143">
        <f t="shared" si="143"/>
        <v>64651157.369999997</v>
      </c>
      <c r="EL394" s="143">
        <f t="shared" si="143"/>
        <v>7437833.5500000007</v>
      </c>
      <c r="EM394" s="143">
        <f t="shared" si="143"/>
        <v>13236635.329999998</v>
      </c>
      <c r="EN394" s="143">
        <f t="shared" si="143"/>
        <v>20293900.130000003</v>
      </c>
      <c r="EO394" s="143">
        <f t="shared" si="143"/>
        <v>14067298.649999999</v>
      </c>
      <c r="EP394" s="143">
        <f t="shared" si="143"/>
        <v>14509199.859999999</v>
      </c>
      <c r="EQ394" s="143">
        <f t="shared" si="143"/>
        <v>6877031.1699999999</v>
      </c>
      <c r="ER394" s="143">
        <f t="shared" si="143"/>
        <v>8905117.9000000004</v>
      </c>
      <c r="ES394" s="143">
        <f t="shared" si="143"/>
        <v>16818661.93</v>
      </c>
    </row>
    <row r="395" spans="1:162" ht="30">
      <c r="D395" s="74" t="str">
        <f t="shared" si="113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415">
        <v>1983333.3333333333</v>
      </c>
      <c r="CS395" s="415">
        <v>1983333.3333333333</v>
      </c>
      <c r="CT395" s="415">
        <v>1983333.3333333333</v>
      </c>
      <c r="CU395" s="415">
        <v>1983333.3333333333</v>
      </c>
      <c r="CV395" s="415">
        <v>1983333.3333333333</v>
      </c>
      <c r="CW395" s="416">
        <v>1983333.3333333333</v>
      </c>
      <c r="CX395" s="417">
        <v>2500695.4391666665</v>
      </c>
      <c r="CY395" s="418">
        <v>2500695.4391666665</v>
      </c>
      <c r="CZ395" s="418">
        <v>2500695.4391666665</v>
      </c>
      <c r="DA395" s="418">
        <v>2500695.4391666665</v>
      </c>
      <c r="DB395" s="418">
        <v>2500695.4391666665</v>
      </c>
      <c r="DC395" s="418">
        <v>2500695.4391666665</v>
      </c>
      <c r="DD395" s="418">
        <v>2500695.4391666665</v>
      </c>
      <c r="DE395" s="418">
        <v>2500695.4391666665</v>
      </c>
      <c r="DF395" s="418">
        <v>2500695.4391666665</v>
      </c>
      <c r="DG395" s="418">
        <v>2500695.4391666665</v>
      </c>
      <c r="DH395" s="418">
        <v>2500695.4391666665</v>
      </c>
      <c r="DI395" s="419">
        <v>2500695.4391666665</v>
      </c>
      <c r="DJ395" s="420">
        <v>3892510.16</v>
      </c>
      <c r="DK395" s="415">
        <v>3892510.16</v>
      </c>
      <c r="DL395" s="415">
        <v>3892510.16</v>
      </c>
      <c r="DM395" s="415">
        <v>3892510.16</v>
      </c>
      <c r="DN395" s="415">
        <v>3892510.16</v>
      </c>
      <c r="DO395" s="415">
        <v>3892510.16</v>
      </c>
      <c r="DP395" s="415">
        <v>3892510.16</v>
      </c>
      <c r="DQ395" s="415">
        <v>3892510.16</v>
      </c>
      <c r="DR395" s="415">
        <v>3892510.16</v>
      </c>
      <c r="DS395" s="415">
        <v>3892510.16</v>
      </c>
      <c r="DT395" s="415">
        <v>3892510.16</v>
      </c>
      <c r="DU395" s="416">
        <v>3892510.16</v>
      </c>
      <c r="DV395" s="421">
        <v>3722931.8866666667</v>
      </c>
      <c r="DW395" s="421">
        <v>3722931.8866666667</v>
      </c>
      <c r="DX395" s="421">
        <v>3722931.8866666667</v>
      </c>
      <c r="DY395" s="421">
        <v>3722931.8866666667</v>
      </c>
      <c r="DZ395" s="421">
        <v>3722931.8866666667</v>
      </c>
      <c r="EA395" s="421">
        <v>3722931.8866666667</v>
      </c>
      <c r="EB395" s="421">
        <v>3722931.8866666667</v>
      </c>
      <c r="EC395" s="421">
        <v>3722931.8866666667</v>
      </c>
      <c r="ED395" s="421">
        <v>3722931.8866666667</v>
      </c>
      <c r="EE395" s="421">
        <v>3722931.8866666667</v>
      </c>
      <c r="EF395" s="421">
        <v>3722931.8866666667</v>
      </c>
      <c r="EG395" s="421">
        <v>3722931.8866666667</v>
      </c>
      <c r="EH395" s="421">
        <v>174340.51</v>
      </c>
      <c r="EI395" s="421">
        <v>177326.85</v>
      </c>
      <c r="EJ395" s="421">
        <v>7687779.1100000003</v>
      </c>
      <c r="EK395" s="421">
        <v>191127.48</v>
      </c>
      <c r="EL395" s="421">
        <v>949797.77</v>
      </c>
      <c r="EM395" s="421">
        <v>2019268.13</v>
      </c>
      <c r="EN395" s="421">
        <v>10660481.32</v>
      </c>
      <c r="EO395" s="421">
        <v>11526152.189999999</v>
      </c>
      <c r="EP395" s="421">
        <v>10016017.119999999</v>
      </c>
      <c r="EQ395" s="421">
        <v>1834828.67</v>
      </c>
      <c r="ER395" s="421">
        <v>2345417.37</v>
      </c>
      <c r="ES395" s="421">
        <v>4329305.63</v>
      </c>
      <c r="ET395" s="421">
        <v>116701.86</v>
      </c>
      <c r="EU395" s="422">
        <v>867332.36</v>
      </c>
      <c r="EV395" s="422">
        <v>7801367.0199999996</v>
      </c>
      <c r="EW395" s="422">
        <v>4481623.79</v>
      </c>
      <c r="EX395" s="422">
        <v>2831467.37</v>
      </c>
      <c r="EY395" s="422">
        <v>7170000.0800000001</v>
      </c>
      <c r="EZ395" s="422">
        <v>82322.3</v>
      </c>
      <c r="FA395" s="422">
        <v>10832753.109999999</v>
      </c>
      <c r="FB395" s="422">
        <v>1958366.01</v>
      </c>
      <c r="FC395" s="422">
        <v>1510132.11</v>
      </c>
      <c r="FD395" s="422">
        <v>834059.15</v>
      </c>
      <c r="FE395" s="422">
        <v>12202154.65</v>
      </c>
    </row>
    <row r="396" spans="1:162" ht="30">
      <c r="D396" s="74" t="str">
        <f t="shared" si="113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421">
        <v>2071825.5645770216</v>
      </c>
      <c r="EU396" s="422">
        <v>2862393.2253735214</v>
      </c>
      <c r="EV396" s="422">
        <v>12467636.918240691</v>
      </c>
      <c r="EW396" s="422">
        <v>17326274.372907523</v>
      </c>
      <c r="EX396" s="422">
        <v>15150457.606090657</v>
      </c>
      <c r="EY396" s="422">
        <v>8947929.7645770218</v>
      </c>
      <c r="EZ396" s="422">
        <v>2071825.5545770216</v>
      </c>
      <c r="FA396" s="422">
        <v>2989936.9753735219</v>
      </c>
      <c r="FB396" s="422">
        <v>16625761.232895471</v>
      </c>
      <c r="FC396" s="422">
        <v>4165314.0029075216</v>
      </c>
      <c r="FD396" s="422">
        <v>6972714.957903021</v>
      </c>
      <c r="FE396" s="422">
        <v>8947929.8245770223</v>
      </c>
    </row>
    <row r="397" spans="1:162" s="9" customFormat="1">
      <c r="A397" s="140"/>
      <c r="B397" s="140"/>
      <c r="C397" s="140">
        <v>462</v>
      </c>
      <c r="D397" s="140" t="str">
        <f t="shared" si="113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4">+SUM(CL398:CL399)</f>
        <v>0</v>
      </c>
      <c r="CM397" s="143">
        <f t="shared" si="144"/>
        <v>0</v>
      </c>
      <c r="CN397" s="143">
        <f t="shared" si="144"/>
        <v>0</v>
      </c>
      <c r="CO397" s="143">
        <f t="shared" si="144"/>
        <v>0</v>
      </c>
      <c r="CP397" s="143">
        <f t="shared" si="144"/>
        <v>0</v>
      </c>
      <c r="CQ397" s="143">
        <f t="shared" si="144"/>
        <v>0</v>
      </c>
      <c r="CR397" s="143">
        <f t="shared" si="144"/>
        <v>0</v>
      </c>
      <c r="CS397" s="143">
        <f t="shared" si="144"/>
        <v>0</v>
      </c>
      <c r="CT397" s="143">
        <f t="shared" si="144"/>
        <v>0</v>
      </c>
      <c r="CU397" s="143">
        <f t="shared" si="144"/>
        <v>0</v>
      </c>
      <c r="CV397" s="143">
        <f t="shared" si="144"/>
        <v>0</v>
      </c>
      <c r="CW397" s="144">
        <f t="shared" si="144"/>
        <v>0</v>
      </c>
      <c r="CX397" s="315">
        <f t="shared" si="144"/>
        <v>0</v>
      </c>
      <c r="CY397" s="318">
        <f t="shared" ref="CY397:DI397" si="145">+SUM(CY398:CY399)</f>
        <v>0</v>
      </c>
      <c r="CZ397" s="318">
        <f t="shared" si="145"/>
        <v>0</v>
      </c>
      <c r="DA397" s="318">
        <f t="shared" si="145"/>
        <v>0</v>
      </c>
      <c r="DB397" s="318">
        <f t="shared" si="145"/>
        <v>0</v>
      </c>
      <c r="DC397" s="318">
        <f t="shared" si="145"/>
        <v>0</v>
      </c>
      <c r="DD397" s="318">
        <f t="shared" si="145"/>
        <v>0</v>
      </c>
      <c r="DE397" s="318">
        <f t="shared" si="145"/>
        <v>0</v>
      </c>
      <c r="DF397" s="318">
        <f t="shared" si="145"/>
        <v>0</v>
      </c>
      <c r="DG397" s="318">
        <f t="shared" si="145"/>
        <v>0</v>
      </c>
      <c r="DH397" s="318">
        <f t="shared" si="145"/>
        <v>0</v>
      </c>
      <c r="DI397" s="316">
        <f t="shared" si="145"/>
        <v>0</v>
      </c>
      <c r="DJ397" s="142">
        <f>+SUM(DJ398:DJ399)</f>
        <v>0</v>
      </c>
      <c r="DK397" s="143">
        <f t="shared" ref="DK397:DU397" si="146">+SUM(DK398:DK399)</f>
        <v>0</v>
      </c>
      <c r="DL397" s="143">
        <f t="shared" si="146"/>
        <v>0</v>
      </c>
      <c r="DM397" s="143">
        <f t="shared" si="146"/>
        <v>0</v>
      </c>
      <c r="DN397" s="143">
        <f t="shared" si="146"/>
        <v>0</v>
      </c>
      <c r="DO397" s="143">
        <f t="shared" si="146"/>
        <v>0</v>
      </c>
      <c r="DP397" s="143">
        <f t="shared" si="146"/>
        <v>0</v>
      </c>
      <c r="DQ397" s="143">
        <f t="shared" si="146"/>
        <v>0</v>
      </c>
      <c r="DR397" s="143">
        <f t="shared" si="146"/>
        <v>0</v>
      </c>
      <c r="DS397" s="143">
        <f t="shared" si="146"/>
        <v>0</v>
      </c>
      <c r="DT397" s="143">
        <f t="shared" si="146"/>
        <v>0</v>
      </c>
      <c r="DU397" s="144">
        <f t="shared" si="146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62">
      <c r="D398" s="74" t="str">
        <f t="shared" si="113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62">
      <c r="D399" s="74" t="str">
        <f t="shared" si="113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62" s="9" customFormat="1" ht="30">
      <c r="A400" s="140"/>
      <c r="B400" s="140"/>
      <c r="C400" s="140">
        <v>463</v>
      </c>
      <c r="D400" s="140" t="str">
        <f t="shared" si="113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411">
        <v>2681427.6666666665</v>
      </c>
      <c r="CS400" s="411">
        <v>2681427.6666666665</v>
      </c>
      <c r="CT400" s="411">
        <v>2681427.6666666665</v>
      </c>
      <c r="CU400" s="411">
        <v>2681427.6666666665</v>
      </c>
      <c r="CV400" s="411">
        <v>2681427.6666666665</v>
      </c>
      <c r="CW400" s="411">
        <v>2681427.6666666665</v>
      </c>
      <c r="CX400" s="411">
        <v>2778179.9974999996</v>
      </c>
      <c r="CY400" s="411">
        <v>2778179.9974999996</v>
      </c>
      <c r="CZ400" s="411">
        <v>2778179.9974999996</v>
      </c>
      <c r="DA400" s="411">
        <v>2778179.9974999996</v>
      </c>
      <c r="DB400" s="411">
        <v>2778179.9974999996</v>
      </c>
      <c r="DC400" s="411">
        <v>2778179.9974999996</v>
      </c>
      <c r="DD400" s="411">
        <v>2778179.9974999996</v>
      </c>
      <c r="DE400" s="411">
        <v>2778179.9974999996</v>
      </c>
      <c r="DF400" s="411">
        <v>2778179.9974999996</v>
      </c>
      <c r="DG400" s="411">
        <v>2778179.9974999996</v>
      </c>
      <c r="DH400" s="411">
        <v>2778179.9974999996</v>
      </c>
      <c r="DI400" s="411">
        <v>2778179.9974999996</v>
      </c>
      <c r="DJ400" s="411">
        <v>2817590</v>
      </c>
      <c r="DK400" s="411">
        <v>2817590</v>
      </c>
      <c r="DL400" s="411">
        <v>2817590</v>
      </c>
      <c r="DM400" s="411">
        <v>2817590</v>
      </c>
      <c r="DN400" s="411">
        <v>2817590</v>
      </c>
      <c r="DO400" s="411">
        <v>2817590</v>
      </c>
      <c r="DP400" s="411">
        <v>2817590</v>
      </c>
      <c r="DQ400" s="411">
        <v>2817590</v>
      </c>
      <c r="DR400" s="411">
        <v>2817590</v>
      </c>
      <c r="DS400" s="411">
        <v>2817590</v>
      </c>
      <c r="DT400" s="411">
        <v>2817590</v>
      </c>
      <c r="DU400" s="411">
        <v>2817590</v>
      </c>
      <c r="DV400" s="411">
        <v>3281229.6141666663</v>
      </c>
      <c r="DW400" s="411">
        <v>3281229.6141666663</v>
      </c>
      <c r="DX400" s="411">
        <v>3281229.6141666663</v>
      </c>
      <c r="DY400" s="411">
        <v>3281229.6141666663</v>
      </c>
      <c r="DZ400" s="411">
        <v>3281229.6141666663</v>
      </c>
      <c r="EA400" s="411">
        <v>3281229.6141666663</v>
      </c>
      <c r="EB400" s="411">
        <v>3281229.6141666663</v>
      </c>
      <c r="EC400" s="411">
        <v>3281229.6141666663</v>
      </c>
      <c r="ED400" s="411">
        <v>3281229.6141666663</v>
      </c>
      <c r="EE400" s="411">
        <v>3281229.6141666663</v>
      </c>
      <c r="EF400" s="411">
        <v>3281229.6141666663</v>
      </c>
      <c r="EG400" s="411">
        <v>3281229.6141666663</v>
      </c>
      <c r="EH400" s="411">
        <v>2809708.2333333329</v>
      </c>
      <c r="EI400" s="411">
        <v>2809708.2333333329</v>
      </c>
      <c r="EJ400" s="411">
        <v>2809708.2333333329</v>
      </c>
      <c r="EK400" s="411">
        <v>2809708.2333333329</v>
      </c>
      <c r="EL400" s="411">
        <v>2809708.2333333329</v>
      </c>
      <c r="EM400" s="411">
        <v>2809708.2333333329</v>
      </c>
      <c r="EN400" s="411">
        <v>2809708.2333333329</v>
      </c>
      <c r="EO400" s="411">
        <v>2809708.2333333329</v>
      </c>
      <c r="EP400" s="411">
        <v>2809708.2333333329</v>
      </c>
      <c r="EQ400" s="411">
        <v>2809708.2333333329</v>
      </c>
      <c r="ER400" s="411">
        <v>2809708.2333333329</v>
      </c>
      <c r="ES400" s="411">
        <v>2809708.2333333329</v>
      </c>
      <c r="ET400" s="411">
        <v>1807457.9166666667</v>
      </c>
      <c r="EU400" s="411">
        <v>1882457.9166666667</v>
      </c>
      <c r="EV400" s="411">
        <v>1937457.9166666667</v>
      </c>
      <c r="EW400" s="411">
        <v>1912457.9166666667</v>
      </c>
      <c r="EX400" s="411">
        <v>1967457.9166666667</v>
      </c>
      <c r="EY400" s="411">
        <v>1907457.9166666667</v>
      </c>
      <c r="EZ400" s="411">
        <v>3852457.9166666665</v>
      </c>
      <c r="FA400" s="411">
        <v>3337457.9166666665</v>
      </c>
      <c r="FB400" s="411">
        <v>2757457.9166666665</v>
      </c>
      <c r="FC400" s="411">
        <v>2852457.9166666665</v>
      </c>
      <c r="FD400" s="411">
        <v>2847457.9166666665</v>
      </c>
      <c r="FE400" s="411">
        <v>3402457.9166666665</v>
      </c>
      <c r="FF400" s="411">
        <f>SUM(ET400:FE400)</f>
        <v>30464495.000000004</v>
      </c>
    </row>
    <row r="401" spans="1:162" s="9" customFormat="1">
      <c r="A401" s="140" t="s">
        <v>96</v>
      </c>
      <c r="B401" s="140">
        <v>47</v>
      </c>
      <c r="C401" s="140"/>
      <c r="D401" s="140" t="str">
        <f t="shared" si="113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7">+SUM(CL402:CL404)</f>
        <v>613005.79833333334</v>
      </c>
      <c r="CM401" s="143">
        <f t="shared" si="147"/>
        <v>613005.79833333334</v>
      </c>
      <c r="CN401" s="143">
        <f t="shared" si="147"/>
        <v>613005.79833333334</v>
      </c>
      <c r="CO401" s="143">
        <f t="shared" si="147"/>
        <v>613005.79833333334</v>
      </c>
      <c r="CP401" s="143">
        <f t="shared" si="147"/>
        <v>613005.79833333334</v>
      </c>
      <c r="CQ401" s="143">
        <f t="shared" si="147"/>
        <v>613005.79833333334</v>
      </c>
      <c r="CR401" s="143">
        <f t="shared" si="147"/>
        <v>613005.79833333334</v>
      </c>
      <c r="CS401" s="143">
        <f t="shared" si="147"/>
        <v>613005.79833333334</v>
      </c>
      <c r="CT401" s="143">
        <f t="shared" si="147"/>
        <v>613005.79833333334</v>
      </c>
      <c r="CU401" s="143">
        <f t="shared" si="147"/>
        <v>613005.79833333334</v>
      </c>
      <c r="CV401" s="143">
        <f t="shared" si="147"/>
        <v>613005.79833333334</v>
      </c>
      <c r="CW401" s="144">
        <f t="shared" si="147"/>
        <v>613005.79833333334</v>
      </c>
      <c r="CX401" s="315">
        <f t="shared" si="147"/>
        <v>737887.48083333333</v>
      </c>
      <c r="CY401" s="318">
        <f t="shared" ref="CY401:DI401" si="148">+SUM(CY402:CY404)</f>
        <v>737887.48083333333</v>
      </c>
      <c r="CZ401" s="318">
        <f t="shared" si="148"/>
        <v>737887.48083333333</v>
      </c>
      <c r="DA401" s="318">
        <f t="shared" si="148"/>
        <v>737887.48083333333</v>
      </c>
      <c r="DB401" s="318">
        <f t="shared" si="148"/>
        <v>737887.48083333333</v>
      </c>
      <c r="DC401" s="318">
        <f t="shared" si="148"/>
        <v>737887.48083333333</v>
      </c>
      <c r="DD401" s="318">
        <f t="shared" si="148"/>
        <v>737887.48083333333</v>
      </c>
      <c r="DE401" s="318">
        <f t="shared" si="148"/>
        <v>737887.48083333333</v>
      </c>
      <c r="DF401" s="318">
        <f t="shared" si="148"/>
        <v>737887.48083333333</v>
      </c>
      <c r="DG401" s="318">
        <f t="shared" si="148"/>
        <v>737887.48083333333</v>
      </c>
      <c r="DH401" s="318">
        <f t="shared" si="148"/>
        <v>737887.48083333333</v>
      </c>
      <c r="DI401" s="316">
        <f t="shared" si="148"/>
        <v>737887.48083333333</v>
      </c>
      <c r="DJ401" s="142">
        <f>+SUM(DJ402:DJ404)</f>
        <v>1087930.2858333334</v>
      </c>
      <c r="DK401" s="143">
        <f t="shared" ref="DK401:DU401" si="149">+SUM(DK402:DK404)</f>
        <v>1087930.2858333334</v>
      </c>
      <c r="DL401" s="143">
        <f t="shared" si="149"/>
        <v>1087930.2858333334</v>
      </c>
      <c r="DM401" s="143">
        <f t="shared" si="149"/>
        <v>1087930.2858333334</v>
      </c>
      <c r="DN401" s="143">
        <f t="shared" si="149"/>
        <v>1087930.2858333334</v>
      </c>
      <c r="DO401" s="143">
        <f t="shared" si="149"/>
        <v>1087930.2858333334</v>
      </c>
      <c r="DP401" s="143">
        <f t="shared" si="149"/>
        <v>1087930.2858333334</v>
      </c>
      <c r="DQ401" s="143">
        <f t="shared" si="149"/>
        <v>1087930.2858333334</v>
      </c>
      <c r="DR401" s="143">
        <f t="shared" si="149"/>
        <v>1087930.2858333334</v>
      </c>
      <c r="DS401" s="143">
        <f t="shared" si="149"/>
        <v>1087930.2858333334</v>
      </c>
      <c r="DT401" s="143">
        <f t="shared" si="149"/>
        <v>1087930.2858333334</v>
      </c>
      <c r="DU401" s="144">
        <f t="shared" si="149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  <c r="ET401" s="411">
        <f>+ET402+ET403</f>
        <v>830846.24800000002</v>
      </c>
      <c r="EU401" s="411">
        <f t="shared" ref="EU401:FE401" si="150">+EU402+EU403</f>
        <v>830846.24800000002</v>
      </c>
      <c r="EV401" s="411">
        <f t="shared" si="150"/>
        <v>830846.24800000002</v>
      </c>
      <c r="EW401" s="411">
        <f t="shared" si="150"/>
        <v>949846.13199999998</v>
      </c>
      <c r="EX401" s="411">
        <f t="shared" si="150"/>
        <v>1306845.784</v>
      </c>
      <c r="EY401" s="411">
        <f t="shared" si="150"/>
        <v>830846.24800000002</v>
      </c>
      <c r="EZ401" s="411">
        <f t="shared" si="150"/>
        <v>1246269.3720000002</v>
      </c>
      <c r="FA401" s="411">
        <f t="shared" si="150"/>
        <v>1246269.3720000002</v>
      </c>
      <c r="FB401" s="411">
        <f t="shared" si="150"/>
        <v>1246269.3720000002</v>
      </c>
      <c r="FC401" s="411">
        <f t="shared" si="150"/>
        <v>1246269.3720000002</v>
      </c>
      <c r="FD401" s="411">
        <f t="shared" si="150"/>
        <v>1246269.3720000002</v>
      </c>
      <c r="FE401" s="411">
        <f t="shared" si="150"/>
        <v>1246269.3720000002</v>
      </c>
      <c r="FF401" s="411">
        <f>SUM(ET401:FE401)</f>
        <v>13057693.139999999</v>
      </c>
    </row>
    <row r="402" spans="1:162">
      <c r="A402" s="74" t="s">
        <v>96</v>
      </c>
      <c r="B402" s="74" t="s">
        <v>96</v>
      </c>
      <c r="C402" s="74">
        <v>471</v>
      </c>
      <c r="D402" s="74" t="str">
        <f t="shared" si="113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  <c r="ET402" s="411">
        <v>830846.24800000002</v>
      </c>
      <c r="EU402" s="411">
        <v>830846.24800000002</v>
      </c>
      <c r="EV402" s="411">
        <v>830846.24800000002</v>
      </c>
      <c r="EW402" s="411">
        <v>830846.24800000002</v>
      </c>
      <c r="EX402" s="411">
        <v>830846.24800000002</v>
      </c>
      <c r="EY402" s="411">
        <v>830846.24800000002</v>
      </c>
      <c r="EZ402" s="411">
        <v>1246269.3720000002</v>
      </c>
      <c r="FA402" s="411">
        <v>1246269.3720000002</v>
      </c>
      <c r="FB402" s="411">
        <v>1246269.3720000002</v>
      </c>
      <c r="FC402" s="411">
        <v>1246269.3720000002</v>
      </c>
      <c r="FD402" s="411">
        <v>1246269.3720000002</v>
      </c>
      <c r="FE402" s="411">
        <v>1246269.3720000002</v>
      </c>
      <c r="FF402" s="411">
        <f>SUM(ET402:FE402)</f>
        <v>12462693.719999999</v>
      </c>
    </row>
    <row r="403" spans="1:162">
      <c r="C403" s="74">
        <v>472</v>
      </c>
      <c r="D403" s="74" t="str">
        <f t="shared" si="113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  <c r="ET403" s="411">
        <v>0</v>
      </c>
      <c r="EU403" s="411">
        <v>0</v>
      </c>
      <c r="EV403" s="411">
        <v>0</v>
      </c>
      <c r="EW403" s="411">
        <v>118999.88400000001</v>
      </c>
      <c r="EX403" s="411">
        <v>475999.53600000002</v>
      </c>
      <c r="EY403" s="411">
        <v>0</v>
      </c>
      <c r="EZ403" s="411">
        <v>0</v>
      </c>
      <c r="FA403" s="411">
        <v>0</v>
      </c>
      <c r="FB403" s="411">
        <v>0</v>
      </c>
      <c r="FC403" s="411">
        <v>0</v>
      </c>
      <c r="FD403" s="411">
        <v>0</v>
      </c>
      <c r="FE403" s="411">
        <v>0</v>
      </c>
      <c r="FF403" s="411">
        <f>SUM(ET403:FE403)</f>
        <v>594999.42000000004</v>
      </c>
    </row>
    <row r="404" spans="1:162">
      <c r="C404" s="74">
        <v>473</v>
      </c>
      <c r="D404" s="74" t="str">
        <f t="shared" si="113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62">
      <c r="D405" s="74">
        <v>1005</v>
      </c>
      <c r="E405" s="78" t="s">
        <v>701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62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  <row r="407" spans="1:162">
      <c r="FF407" s="414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6:E217"/>
    <mergeCell ref="F216:Q216"/>
    <mergeCell ref="R216:AC216"/>
    <mergeCell ref="AD216:AO216"/>
    <mergeCell ref="CX216:DI216"/>
    <mergeCell ref="DJ216:DU216"/>
    <mergeCell ref="AP216:BA216"/>
    <mergeCell ref="BB216:BM216"/>
    <mergeCell ref="BN216:BY216"/>
    <mergeCell ref="BZ216:CK216"/>
    <mergeCell ref="CL216:CW216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G20" sqref="G20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2</v>
      </c>
      <c r="C2" s="56" t="s">
        <v>0</v>
      </c>
    </row>
    <row r="3" spans="2:7" ht="15.75" thickBot="1">
      <c r="B3" s="306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6">
        <v>2018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Montly Data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Montly Data 2016</v>
      </c>
    </row>
    <row r="13" spans="2:7">
      <c r="E13" s="11" t="s">
        <v>705</v>
      </c>
      <c r="F13" s="12" t="s">
        <v>706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758</v>
      </c>
      <c r="F16" s="12" t="s">
        <v>759</v>
      </c>
      <c r="G16" s="52" t="str">
        <f t="shared" si="0"/>
        <v>Montly Data 2012</v>
      </c>
    </row>
    <row r="17" spans="2:7">
      <c r="E17" s="11" t="s">
        <v>760</v>
      </c>
      <c r="F17" s="12" t="s">
        <v>761</v>
      </c>
      <c r="G17" s="52" t="str">
        <f t="shared" si="0"/>
        <v>Montly Data 2011</v>
      </c>
    </row>
    <row r="18" spans="2:7">
      <c r="E18" s="11" t="s">
        <v>18</v>
      </c>
      <c r="F18" s="12" t="s">
        <v>410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Execution</v>
      </c>
    </row>
    <row r="22" spans="2:7">
      <c r="D22" s="43"/>
      <c r="E22" s="33" t="s">
        <v>421</v>
      </c>
      <c r="F22" s="34" t="s">
        <v>422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Repayments of Arrears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January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February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March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May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June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July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August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September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October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November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January</v>
      </c>
    </row>
    <row r="243" spans="4:7">
      <c r="D243" s="49"/>
      <c r="E243" s="9"/>
      <c r="F243" s="10"/>
      <c r="G243" s="52" t="str">
        <f>+CONCATENATE("Jan - ",LEFT(G242,3))</f>
        <v>Jan - Jan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Budget Execution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January</v>
      </c>
      <c r="F251" s="10" t="str">
        <f>+CONCATENATE("Analytics for period ",G242)</f>
        <v>Analytics for period January</v>
      </c>
      <c r="G251" s="52" t="str">
        <f>+IF(ISBLANK(IF($B$2=1,E251,F251)),"",IF($B$2=1,E251,F251))</f>
        <v>Analytics for period January</v>
      </c>
    </row>
    <row r="252" spans="4:7">
      <c r="D252" s="46"/>
      <c r="E252" s="9" t="str">
        <f>+CONCATENATE("Analitika za period ",G243)</f>
        <v>Analitika za period Jan - Jan</v>
      </c>
      <c r="F252" s="10" t="str">
        <f>+CONCATENATE("Analytics for period ",G243)</f>
        <v>Analytics for period Jan - Jan</v>
      </c>
      <c r="G252" s="52" t="str">
        <f>+IF(ISBLANK(IF($B$2=1,E252,F252)),"",IF($B$2=1,E252,F252))</f>
        <v>Analytics for period Jan - Jan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Execution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Revenues for January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Expenditures for January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Deficit for January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Revenues for period January - January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Expenditures for period January - January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for period January - January</v>
      </c>
    </row>
    <row r="275" spans="5:7">
      <c r="E275" s="9" t="s">
        <v>416</v>
      </c>
      <c r="F275" s="10" t="s">
        <v>417</v>
      </c>
      <c r="G275" s="52" t="str">
        <f t="shared" si="3"/>
        <v>Public debt (% GDP)</v>
      </c>
    </row>
    <row r="277" spans="5:7">
      <c r="E277" s="9" t="s">
        <v>414</v>
      </c>
      <c r="F277" s="10" t="s">
        <v>415</v>
      </c>
      <c r="G277" s="52" t="str">
        <f t="shared" si="3"/>
        <v>Breakdown</v>
      </c>
    </row>
    <row r="279" spans="5:7" ht="60">
      <c r="E279" s="302" t="s">
        <v>703</v>
      </c>
      <c r="F279" s="60" t="s">
        <v>704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O34" sqref="O34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Montenegro</v>
      </c>
      <c r="I2" s="152"/>
    </row>
    <row r="3" spans="3:11" s="149" customFormat="1">
      <c r="E3" s="152" t="str">
        <f>+Master!G7</f>
        <v>Ministry of Finance</v>
      </c>
    </row>
    <row r="4" spans="3:11" s="149" customFormat="1">
      <c r="E4" s="152" t="str">
        <f>+Master!G8</f>
        <v>Direcorate for Economic Policy and Developement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Revenues for January</v>
      </c>
      <c r="E11" s="158"/>
      <c r="F11" s="158"/>
      <c r="G11" s="158"/>
      <c r="H11" s="319" t="str">
        <f>+Master!G271</f>
        <v>Revenues for period January - January</v>
      </c>
      <c r="I11" s="320"/>
      <c r="J11" s="308"/>
      <c r="K11" s="159"/>
    </row>
    <row r="12" spans="3:11">
      <c r="C12" s="157"/>
      <c r="D12" s="161">
        <f>+'Analytics - 2018'!N10</f>
        <v>81544844.829999998</v>
      </c>
      <c r="E12" s="162">
        <f>+D12/'2018'!T7</f>
        <v>1.8542612008549925E-2</v>
      </c>
      <c r="F12" s="158"/>
      <c r="G12" s="158"/>
      <c r="H12" s="321">
        <f>+'Analytics - 2018'!G10</f>
        <v>81544844.829999998</v>
      </c>
      <c r="I12" s="322">
        <f>+H12/'2018'!T7</f>
        <v>1.8542612008549925E-2</v>
      </c>
      <c r="J12" s="308"/>
      <c r="K12" s="159"/>
    </row>
    <row r="13" spans="3:11">
      <c r="C13" s="157"/>
      <c r="D13" s="163" t="s">
        <v>428</v>
      </c>
      <c r="E13" s="163" t="str">
        <f>+Master!G247</f>
        <v>% GDP</v>
      </c>
      <c r="F13" s="158"/>
      <c r="G13" s="158"/>
      <c r="H13" s="323" t="str">
        <f>+D13</f>
        <v>mil. €</v>
      </c>
      <c r="I13" s="323" t="str">
        <f>+E13</f>
        <v>% GDP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Expenditures for January</v>
      </c>
      <c r="E15" s="158"/>
      <c r="F15" s="158"/>
      <c r="G15" s="158"/>
      <c r="H15" s="319" t="str">
        <f>+Master!G272</f>
        <v>Expenditures for period January - January</v>
      </c>
      <c r="I15" s="320"/>
      <c r="J15" s="308"/>
      <c r="K15" s="159"/>
    </row>
    <row r="16" spans="3:11">
      <c r="C16" s="157"/>
      <c r="D16" s="161">
        <f>+'Analytics - 2018'!N29</f>
        <v>106101103.53</v>
      </c>
      <c r="E16" s="162">
        <f>+D16/'2018'!T7</f>
        <v>2.4126498744798417E-2</v>
      </c>
      <c r="F16" s="158"/>
      <c r="G16" s="158"/>
      <c r="H16" s="321">
        <f>+'Analytics - 2018'!G29</f>
        <v>106101103.53</v>
      </c>
      <c r="I16" s="322">
        <f>+H16/'2018'!T7</f>
        <v>2.4126498744798417E-2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GDP</v>
      </c>
      <c r="F17" s="158"/>
      <c r="G17" s="158"/>
      <c r="H17" s="323" t="str">
        <f>+D13</f>
        <v>mil. €</v>
      </c>
      <c r="I17" s="323" t="str">
        <f>+E13</f>
        <v>% GDP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Deficit for January</v>
      </c>
      <c r="E19" s="158"/>
      <c r="F19" s="158"/>
      <c r="G19" s="158"/>
      <c r="H19" s="319" t="str">
        <f>+Master!G273</f>
        <v>Deficit for period January - January</v>
      </c>
      <c r="I19" s="320"/>
      <c r="J19" s="308"/>
      <c r="K19" s="159"/>
    </row>
    <row r="20" spans="3:11">
      <c r="C20" s="157"/>
      <c r="D20" s="161">
        <f>+'Analytics - 2018'!N55</f>
        <v>-24556258.700000003</v>
      </c>
      <c r="E20" s="162">
        <f>+D20/'2018'!T7</f>
        <v>-5.5838867362484942E-3</v>
      </c>
      <c r="F20" s="158"/>
      <c r="G20" s="158"/>
      <c r="H20" s="321">
        <f>+'Analytics - 2018'!G55</f>
        <v>-24556258.700000003</v>
      </c>
      <c r="I20" s="322">
        <f>+H20/'2018'!T7</f>
        <v>-5.5838867362484942E-3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GDP</v>
      </c>
      <c r="F21" s="158"/>
      <c r="G21" s="158"/>
      <c r="H21" s="309" t="str">
        <f>+D13</f>
        <v>mil. €</v>
      </c>
      <c r="I21" s="309" t="str">
        <f>+E13</f>
        <v>% GDP</v>
      </c>
      <c r="J21" s="308"/>
      <c r="K21" s="159"/>
    </row>
    <row r="22" spans="3:11">
      <c r="C22" s="157"/>
      <c r="D22" s="478" t="str">
        <f>+Master!G275</f>
        <v>Public debt (% GDP)</v>
      </c>
      <c r="E22" s="479"/>
      <c r="F22" s="479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69"/>
  <sheetViews>
    <sheetView zoomScale="112" zoomScaleNormal="112" workbookViewId="0">
      <pane ySplit="5" topLeftCell="A36" activePane="bottomLeft" state="frozen"/>
      <selection activeCell="DK219" sqref="DK219"/>
      <selection pane="bottomLeft" activeCell="B16" sqref="B16:F16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hidden="1" customWidth="1"/>
    <col min="10" max="10" width="12.7109375" style="5" hidden="1" customWidth="1"/>
    <col min="11" max="13" width="12.42578125" style="5" hidden="1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2018-01</v>
      </c>
      <c r="O6" s="169" t="str">
        <f>+CONCATENATE(N6,"p")</f>
        <v>2018-01p</v>
      </c>
      <c r="P6" s="153"/>
      <c r="Q6" s="153"/>
      <c r="R6" s="169" t="str">
        <f>+IF(Master!B3-10&gt;=0,CONCATENATE(Master!B4-1,"-",Master!B3),CONCATENATE(Master!B4-1,"-0",Master!B3))</f>
        <v>2017-01</v>
      </c>
      <c r="S6" s="153"/>
      <c r="T6" s="153"/>
    </row>
    <row r="7" spans="1:20">
      <c r="A7" s="170"/>
      <c r="B7" s="432" t="str">
        <f>+Master!G251</f>
        <v>Analytics for period January</v>
      </c>
      <c r="C7" s="433"/>
      <c r="D7" s="433"/>
      <c r="E7" s="433"/>
      <c r="F7" s="433"/>
      <c r="G7" s="441" t="str">
        <f>+Master!G243</f>
        <v>Jan - Jan</v>
      </c>
      <c r="H7" s="442"/>
      <c r="I7" s="442"/>
      <c r="J7" s="442"/>
      <c r="K7" s="442"/>
      <c r="L7" s="442"/>
      <c r="M7" s="443"/>
      <c r="N7" s="444" t="str">
        <f>+Master!G242</f>
        <v>January</v>
      </c>
      <c r="O7" s="442"/>
      <c r="P7" s="442"/>
      <c r="Q7" s="442"/>
      <c r="R7" s="442"/>
      <c r="S7" s="442"/>
      <c r="T7" s="445"/>
    </row>
    <row r="8" spans="1:20">
      <c r="A8" s="170"/>
      <c r="B8" s="434"/>
      <c r="C8" s="435"/>
      <c r="D8" s="435"/>
      <c r="E8" s="435"/>
      <c r="F8" s="436"/>
      <c r="G8" s="171" t="str">
        <f>+Master!G21</f>
        <v>Execution</v>
      </c>
      <c r="H8" s="171" t="str">
        <f>+Master!G20</f>
        <v>Plan</v>
      </c>
      <c r="I8" s="428" t="str">
        <f>+Master!G258</f>
        <v>Deviation</v>
      </c>
      <c r="J8" s="428"/>
      <c r="K8" s="171" t="str">
        <f>+CONCATENATE(Master!G243," ",Master!B4-1)</f>
        <v>Jan - Jan 2017</v>
      </c>
      <c r="L8" s="428" t="str">
        <f>+I8</f>
        <v>Deviation</v>
      </c>
      <c r="M8" s="440"/>
      <c r="N8" s="172" t="str">
        <f>+G8</f>
        <v>Execution</v>
      </c>
      <c r="O8" s="171" t="str">
        <f>+H8</f>
        <v>Plan</v>
      </c>
      <c r="P8" s="428" t="str">
        <f>+I8</f>
        <v>Deviation</v>
      </c>
      <c r="Q8" s="428"/>
      <c r="R8" s="171" t="str">
        <f>+CONCATENATE(Master!G242," ",Master!B4-1)</f>
        <v>January 2017</v>
      </c>
      <c r="S8" s="428" t="str">
        <f>+P8</f>
        <v>Deviation</v>
      </c>
      <c r="T8" s="429"/>
    </row>
    <row r="9" spans="1:20" ht="15.7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>+SUMPRODUCT(('2018'!$G10:$R10)*('2018'!$G$5:$R$5&lt;=Master!$B$3)*($A10='2018'!$A$10:$A$65))</f>
        <v>81544844.829999998</v>
      </c>
      <c r="H10" s="177">
        <f>+SUMPRODUCT(('2018'!$G104:$R104)*('2018'!$G$5:$R$5&lt;=Master!$B$3))</f>
        <v>80524770.855568931</v>
      </c>
      <c r="I10" s="178">
        <f>+G10-H10</f>
        <v>1020073.9744310677</v>
      </c>
      <c r="J10" s="179">
        <f>+IF(ISNUMBER(G10/H10-1),G10/H10-1,"…")</f>
        <v>1.2667828341426768E-2</v>
      </c>
      <c r="K10" s="177">
        <f>+SUMPRODUCT(('2016'!$G10:$R10)*('2016'!$G$5:$R$5&lt;=Master!$B$3))</f>
        <v>67415694.690000013</v>
      </c>
      <c r="L10" s="178">
        <f>+G10-K10</f>
        <v>14129150.139999986</v>
      </c>
      <c r="M10" s="180">
        <f>+IF(ISNUMBER(G10/K10-1),G10/K10-1,"…")</f>
        <v>0.20958250456322602</v>
      </c>
      <c r="N10" s="177">
        <f>SUMPRODUCT(('2018'!$G10:$R10)*('2018'!$G$5:$R$5&lt;=Master!$B$3)*($A10='2018'!$A$10:$A$65))</f>
        <v>81544844.829999998</v>
      </c>
      <c r="O10" s="177">
        <f>+INDEX('2018'!$1:$1048576,MATCH(CONCATENATE('Analytics - 2018'!$A10,"p"),'2018'!$A:$A,0),MATCH('Analytics - 2018'!$O$6,'2018'!$100:$100,0))</f>
        <v>80524770.855568931</v>
      </c>
      <c r="P10" s="178">
        <f>+N10-O10</f>
        <v>1020073.9744310677</v>
      </c>
      <c r="Q10" s="179">
        <f>+IF(ISNUMBER(N10/O10-1),N10/O10-1,"…")</f>
        <v>1.2667828341426768E-2</v>
      </c>
      <c r="R10" s="177">
        <f>+SUMPRODUCT(('2017'!$G10:$R10)*('2017'!$G$5:$R$5&lt;=Master!$B$3))</f>
        <v>73679382.079999998</v>
      </c>
      <c r="S10" s="178">
        <f>+N10-R10</f>
        <v>7865462.75</v>
      </c>
      <c r="T10" s="180">
        <f>+IF(ISNUMBER(N10/R10-1),N10/R10-1,"…")</f>
        <v>0.1067525612722946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>+SUMPRODUCT(('2018'!$G11:$R11)*('2018'!$G$5:$R$5&lt;=Master!$B$3)*($A11='2018'!$A$10:$A$65))</f>
        <v>60295851.510000005</v>
      </c>
      <c r="H11" s="342">
        <f>+SUMPRODUCT(('2018'!$G105:$R105)*('2018'!$G$5:$R$5&lt;=Master!$B$3))</f>
        <v>60109816.050396062</v>
      </c>
      <c r="I11" s="184">
        <f t="shared" ref="I11:I66" si="0">+G11-H11</f>
        <v>186035.45960394293</v>
      </c>
      <c r="J11" s="185">
        <f t="shared" ref="J11:J65" si="1">+IF(ISNUMBER(G11/H11-1),G11/H11-1,"…")</f>
        <v>3.0949264500821361E-3</v>
      </c>
      <c r="K11" s="183">
        <f>+SUMPRODUCT(('2015'!$G11:$R11)*('2015'!$G$5:$R$5&lt;=Master!$B$3))</f>
        <v>48650345.919999994</v>
      </c>
      <c r="L11" s="184">
        <f>+G11-K11</f>
        <v>11645505.590000011</v>
      </c>
      <c r="M11" s="186">
        <f t="shared" ref="M11:M66" si="2">+IF(ISNUMBER(G11/K11-1),G11/K11-1,"…")</f>
        <v>0.23937148585026979</v>
      </c>
      <c r="N11" s="183">
        <f>+INDEX('2018'!$1:$1048576,MATCH('Analytics - 2018'!$A11,'2018'!$A:$A,0),MATCH('Analytics - 2018'!$N$6,'2018'!$6:$6,0))</f>
        <v>60295851.510000005</v>
      </c>
      <c r="O11" s="342">
        <f>+INDEX('2018'!$1:$1048576,MATCH(CONCATENATE('Analytics - 2018'!$A11,"p"),'2018'!$A:$A,0),MATCH('Analytics - 2018'!$O$6,'2018'!$100:$100,0))</f>
        <v>60109816.050396062</v>
      </c>
      <c r="P11" s="184">
        <f t="shared" ref="P11:P66" si="3">+N11-O11</f>
        <v>186035.45960394293</v>
      </c>
      <c r="Q11" s="185">
        <f t="shared" ref="Q11:Q66" si="4">+IF(ISNUMBER(N11/O11-1),N11/O11-1,"…")</f>
        <v>3.0949264500821361E-3</v>
      </c>
      <c r="R11" s="183">
        <f>+SUMPRODUCT(('2017'!$G11:$R11)*('2017'!$G$5:$R$5&lt;=Master!$B$3))</f>
        <v>53512170.450000003</v>
      </c>
      <c r="S11" s="184">
        <f t="shared" ref="S11:S66" si="5">+N11-R11</f>
        <v>6783681.0600000024</v>
      </c>
      <c r="T11" s="186">
        <f t="shared" ref="T11:T66" si="6">+IF(ISNUMBER(N11/R11-1),N11/R11-1,"…")</f>
        <v>0.12676893878446682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f>+SUMPRODUCT(('2018'!$G12:$R12)*('2018'!$G$5:$R$5&lt;=Master!$B$3)*($A12='2018'!$A$10:$A$65))</f>
        <v>3496624.83</v>
      </c>
      <c r="H12" s="189">
        <f>+SUMPRODUCT(('2018'!$G106:$R106)*('2018'!$G$5:$R$5&lt;=Master!$B$3))</f>
        <v>4618143.9894055836</v>
      </c>
      <c r="I12" s="190">
        <f t="shared" si="0"/>
        <v>-1121519.1594055835</v>
      </c>
      <c r="J12" s="191">
        <f t="shared" si="1"/>
        <v>-0.24285062613431807</v>
      </c>
      <c r="K12" s="189">
        <f>+SUMPRODUCT(('2016'!$G12:$R12)*('2016'!$G$5:$R$5&lt;=Master!$B$3))</f>
        <v>3378459.01</v>
      </c>
      <c r="L12" s="190">
        <f>+G12-K12</f>
        <v>118165.8200000003</v>
      </c>
      <c r="M12" s="192">
        <f t="shared" si="2"/>
        <v>3.4976247943289573E-2</v>
      </c>
      <c r="N12" s="189">
        <f>+INDEX('2018'!$1:$1048576,MATCH('Analytics - 2018'!$A12,'2018'!$A:$A,0),MATCH('Analytics - 2018'!$N$6,'2018'!$6:$6,0))</f>
        <v>3496624.83</v>
      </c>
      <c r="O12" s="189">
        <f>+INDEX('2018'!$1:$1048576,MATCH(CONCATENATE('Analytics - 2018'!$A12,"p"),'2018'!$A:$A,0),MATCH('Analytics - 2018'!$O$6,'2018'!$100:$100,0))</f>
        <v>4618143.9894055836</v>
      </c>
      <c r="P12" s="190">
        <f t="shared" si="3"/>
        <v>-1121519.1594055835</v>
      </c>
      <c r="Q12" s="191">
        <f t="shared" si="4"/>
        <v>-0.24285062613431807</v>
      </c>
      <c r="R12" s="189">
        <f>+SUMPRODUCT(('2017'!$G12:$R12)*('2017'!$G$5:$R$5&lt;=Master!$B$3))</f>
        <v>3855468.97</v>
      </c>
      <c r="S12" s="190">
        <f t="shared" si="5"/>
        <v>-358844.14000000013</v>
      </c>
      <c r="T12" s="192">
        <f t="shared" si="6"/>
        <v>-9.3074057343535022E-2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f>+SUMPRODUCT(('2018'!$G13:$R13)*('2018'!$G$5:$R$5&lt;=Master!$B$3)*($A13='2018'!$A$10:$A$65))</f>
        <v>475602.8</v>
      </c>
      <c r="H13" s="189">
        <f>+SUMPRODUCT(('2018'!$G107:$R107)*('2018'!$G$5:$R$5&lt;=Master!$B$3))</f>
        <v>640697.66654902068</v>
      </c>
      <c r="I13" s="190">
        <f t="shared" si="0"/>
        <v>-165094.86654902069</v>
      </c>
      <c r="J13" s="191">
        <f t="shared" si="1"/>
        <v>-0.25767983117258486</v>
      </c>
      <c r="K13" s="189">
        <f>+SUMPRODUCT(('2016'!$G13:$R13)*('2016'!$G$5:$R$5&lt;=Master!$B$3))</f>
        <v>308497.07000000007</v>
      </c>
      <c r="L13" s="190">
        <f t="shared" ref="L13:L66" si="7">+G13-K13</f>
        <v>167105.72999999992</v>
      </c>
      <c r="M13" s="192">
        <f t="shared" si="2"/>
        <v>0.54167687881119875</v>
      </c>
      <c r="N13" s="189">
        <f>+INDEX('2018'!$1:$1048576,MATCH('Analytics - 2018'!$A13,'2018'!$A:$A,0),MATCH('Analytics - 2018'!$N$6,'2018'!$6:$6,0))</f>
        <v>475602.8</v>
      </c>
      <c r="O13" s="189">
        <f>+INDEX('2018'!$1:$1048576,MATCH(CONCATENATE('Analytics - 2018'!$A13,"p"),'2018'!$A:$A,0),MATCH('Analytics - 2018'!$O$6,'2018'!$100:$100,0))</f>
        <v>640697.66654902068</v>
      </c>
      <c r="P13" s="190">
        <f t="shared" si="3"/>
        <v>-165094.86654902069</v>
      </c>
      <c r="Q13" s="191">
        <f t="shared" si="4"/>
        <v>-0.25767983117258486</v>
      </c>
      <c r="R13" s="189">
        <f>+SUMPRODUCT(('2017'!$G13:$R13)*('2017'!$G$5:$R$5&lt;=Master!$B$3))</f>
        <v>632316.18999999994</v>
      </c>
      <c r="S13" s="190">
        <f t="shared" si="5"/>
        <v>-156713.38999999996</v>
      </c>
      <c r="T13" s="192">
        <f t="shared" si="6"/>
        <v>-0.24784023005958455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f>+SUMPRODUCT(('2018'!$G14:$R14)*('2018'!$G$5:$R$5&lt;=Master!$B$3)*($A14='2018'!$A$10:$A$65))</f>
        <v>93380.49</v>
      </c>
      <c r="H14" s="189">
        <f>+SUMPRODUCT(('2018'!$G108:$R108)*('2018'!$G$5:$R$5&lt;=Master!$B$3))</f>
        <v>131310.10512390421</v>
      </c>
      <c r="I14" s="190">
        <f t="shared" si="0"/>
        <v>-37929.615123904208</v>
      </c>
      <c r="J14" s="191">
        <f t="shared" si="1"/>
        <v>-0.28885526432344122</v>
      </c>
      <c r="K14" s="189">
        <f>+SUMPRODUCT(('2016'!$G14:$R14)*('2016'!$G$5:$R$5&lt;=Master!$B$3))</f>
        <v>84789.680000000008</v>
      </c>
      <c r="L14" s="190">
        <f t="shared" si="7"/>
        <v>8590.8099999999977</v>
      </c>
      <c r="M14" s="192">
        <f t="shared" si="2"/>
        <v>0.10131905203557778</v>
      </c>
      <c r="N14" s="189">
        <f>+INDEX('2018'!$1:$1048576,MATCH('Analytics - 2018'!$A14,'2018'!$A:$A,0),MATCH('Analytics - 2018'!$N$6,'2018'!$6:$6,0))</f>
        <v>93380.49</v>
      </c>
      <c r="O14" s="189">
        <f>+INDEX('2018'!$1:$1048576,MATCH(CONCATENATE('Analytics - 2018'!$A14,"p"),'2018'!$A:$A,0),MATCH('Analytics - 2018'!$O$6,'2018'!$100:$100,0))</f>
        <v>131310.10512390421</v>
      </c>
      <c r="P14" s="190">
        <f t="shared" si="3"/>
        <v>-37929.615123904208</v>
      </c>
      <c r="Q14" s="191">
        <f t="shared" si="4"/>
        <v>-0.28885526432344122</v>
      </c>
      <c r="R14" s="189">
        <f>+SUMPRODUCT(('2017'!$G14:$R14)*('2017'!$G$5:$R$5&lt;=Master!$B$3))</f>
        <v>58790.3</v>
      </c>
      <c r="S14" s="190">
        <f t="shared" si="5"/>
        <v>34590.19</v>
      </c>
      <c r="T14" s="192">
        <f t="shared" si="6"/>
        <v>0.58836559772615549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f>+SUMPRODUCT(('2018'!$G15:$R15)*('2018'!$G$5:$R$5&lt;=Master!$B$3)*($A15='2018'!$A$10:$A$65))</f>
        <v>40926868.810000002</v>
      </c>
      <c r="H15" s="189">
        <f>+SUMPRODUCT(('2018'!$G109:$R109)*('2018'!$G$5:$R$5&lt;=Master!$B$3))</f>
        <v>37523468.66235248</v>
      </c>
      <c r="I15" s="190">
        <f t="shared" si="0"/>
        <v>3403400.1476475224</v>
      </c>
      <c r="J15" s="191">
        <f t="shared" si="1"/>
        <v>9.0700574040005311E-2</v>
      </c>
      <c r="K15" s="189">
        <f>+SUMPRODUCT(('2016'!$G15:$R15)*('2016'!$G$5:$R$5&lt;=Master!$B$3))</f>
        <v>33402847.570000004</v>
      </c>
      <c r="L15" s="190">
        <f t="shared" si="7"/>
        <v>7524021.2399999984</v>
      </c>
      <c r="M15" s="192">
        <f t="shared" si="2"/>
        <v>0.22525089288368116</v>
      </c>
      <c r="N15" s="189">
        <f>+INDEX('2018'!$1:$1048576,MATCH('Analytics - 2018'!$A15,'2018'!$A:$A,0),MATCH('Analytics - 2018'!$N$6,'2018'!$6:$6,0))</f>
        <v>40926868.810000002</v>
      </c>
      <c r="O15" s="189">
        <f>+INDEX('2018'!$1:$1048576,MATCH(CONCATENATE('Analytics - 2018'!$A15,"p"),'2018'!$A:$A,0),MATCH('Analytics - 2018'!$O$6,'2018'!$100:$100,0))</f>
        <v>37523468.66235248</v>
      </c>
      <c r="P15" s="190">
        <f t="shared" si="3"/>
        <v>3403400.1476475224</v>
      </c>
      <c r="Q15" s="191">
        <f t="shared" si="4"/>
        <v>9.0700574040005311E-2</v>
      </c>
      <c r="R15" s="189">
        <f>+SUMPRODUCT(('2017'!$G15:$R15)*('2017'!$G$5:$R$5&lt;=Master!$B$3))</f>
        <v>33352018.879999999</v>
      </c>
      <c r="S15" s="190">
        <f t="shared" si="5"/>
        <v>7574849.9300000034</v>
      </c>
      <c r="T15" s="192">
        <f t="shared" si="6"/>
        <v>0.22711818307773779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f>+SUMPRODUCT(('2018'!$G16:$R16)*('2018'!$G$5:$R$5&lt;=Master!$B$3)*($A16='2018'!$A$10:$A$65))</f>
        <v>13370061.67</v>
      </c>
      <c r="H16" s="189">
        <f>+SUMPRODUCT(('2018'!$G110:$R110)*('2018'!$G$5:$R$5&lt;=Master!$B$3))</f>
        <v>15514613.247426104</v>
      </c>
      <c r="I16" s="190">
        <f t="shared" si="0"/>
        <v>-2144551.5774261039</v>
      </c>
      <c r="J16" s="191">
        <f t="shared" si="1"/>
        <v>-0.13822784643258113</v>
      </c>
      <c r="K16" s="189">
        <f>+SUMPRODUCT(('2016'!$G16:$R16)*('2016'!$G$5:$R$5&lt;=Master!$B$3))</f>
        <v>11189049.660000002</v>
      </c>
      <c r="L16" s="190">
        <f t="shared" si="7"/>
        <v>2181012.0099999979</v>
      </c>
      <c r="M16" s="192">
        <f t="shared" si="2"/>
        <v>0.19492379391227033</v>
      </c>
      <c r="N16" s="189">
        <f>+INDEX('2018'!$1:$1048576,MATCH('Analytics - 2018'!$A16,'2018'!$A:$A,0),MATCH('Analytics - 2018'!$N$6,'2018'!$6:$6,0))</f>
        <v>13370061.67</v>
      </c>
      <c r="O16" s="189">
        <f>+INDEX('2018'!$1:$1048576,MATCH(CONCATENATE('Analytics - 2018'!$A16,"p"),'2018'!$A:$A,0),MATCH('Analytics - 2018'!$O$6,'2018'!$100:$100,0))</f>
        <v>15514613.247426104</v>
      </c>
      <c r="P16" s="190">
        <f t="shared" si="3"/>
        <v>-2144551.5774261039</v>
      </c>
      <c r="Q16" s="191">
        <f t="shared" si="4"/>
        <v>-0.13822784643258113</v>
      </c>
      <c r="R16" s="189">
        <f>+SUMPRODUCT(('2017'!$G16:$R16)*('2017'!$G$5:$R$5&lt;=Master!$B$3))</f>
        <v>13972593.029999999</v>
      </c>
      <c r="S16" s="190">
        <f t="shared" si="5"/>
        <v>-602531.3599999994</v>
      </c>
      <c r="T16" s="192">
        <f t="shared" si="6"/>
        <v>-4.3122372397616404E-2</v>
      </c>
    </row>
    <row r="17" spans="1:20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f>+SUMPRODUCT(('2018'!$G17:$R17)*('2018'!$G$5:$R$5&lt;=Master!$B$3)*($A17='2018'!$A$10:$A$65))</f>
        <v>1218936.71</v>
      </c>
      <c r="H17" s="189">
        <f>+SUMPRODUCT(('2018'!$G111:$R111)*('2018'!$G$5:$R$5&lt;=Master!$B$3))</f>
        <v>1059328.2399936907</v>
      </c>
      <c r="I17" s="190">
        <f t="shared" si="0"/>
        <v>159608.47000630922</v>
      </c>
      <c r="J17" s="191">
        <f t="shared" si="1"/>
        <v>0.15066951298047138</v>
      </c>
      <c r="K17" s="189">
        <f>+SUMPRODUCT(('2016'!$G17:$R17)*('2016'!$G$5:$R$5&lt;=Master!$B$3))</f>
        <v>1014140.8600000003</v>
      </c>
      <c r="L17" s="190">
        <f t="shared" si="7"/>
        <v>204795.84999999963</v>
      </c>
      <c r="M17" s="192">
        <f t="shared" si="2"/>
        <v>0.20194024131913935</v>
      </c>
      <c r="N17" s="189">
        <f>+INDEX('2018'!$1:$1048576,MATCH('Analytics - 2018'!$A17,'2018'!$A:$A,0),MATCH('Analytics - 2018'!$N$6,'2018'!$6:$6,0))</f>
        <v>1218936.71</v>
      </c>
      <c r="O17" s="189">
        <f>+INDEX('2018'!$1:$1048576,MATCH(CONCATENATE('Analytics - 2018'!$A17,"p"),'2018'!$A:$A,0),MATCH('Analytics - 2018'!$O$6,'2018'!$100:$100,0))</f>
        <v>1059328.2399936907</v>
      </c>
      <c r="P17" s="190">
        <f t="shared" si="3"/>
        <v>159608.47000630922</v>
      </c>
      <c r="Q17" s="191">
        <f t="shared" si="4"/>
        <v>0.15066951298047138</v>
      </c>
      <c r="R17" s="189">
        <f>+SUMPRODUCT(('2017'!$G17:$R17)*('2017'!$G$5:$R$5&lt;=Master!$B$3))</f>
        <v>1071292.49</v>
      </c>
      <c r="S17" s="190">
        <f t="shared" si="5"/>
        <v>147644.21999999997</v>
      </c>
      <c r="T17" s="192">
        <f t="shared" si="6"/>
        <v>0.13781877627089489</v>
      </c>
    </row>
    <row r="18" spans="1:20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f>+SUMPRODUCT(('2018'!$G18:$R18)*('2018'!$G$5:$R$5&lt;=Master!$B$3)*($A18='2018'!$A$10:$A$65))</f>
        <v>714376.2</v>
      </c>
      <c r="H18" s="189">
        <f>+SUMPRODUCT(('2018'!$G112:$R112)*('2018'!$G$5:$R$5&lt;=Master!$B$3))</f>
        <v>622254.13954528561</v>
      </c>
      <c r="I18" s="190">
        <f t="shared" si="0"/>
        <v>92122.060454714345</v>
      </c>
      <c r="J18" s="191">
        <f t="shared" si="1"/>
        <v>0.14804571733670246</v>
      </c>
      <c r="K18" s="189">
        <f>+SUMPRODUCT(('2016'!$G18:$R18)*('2016'!$G$5:$R$5&lt;=Master!$B$3))</f>
        <v>495325.63000000006</v>
      </c>
      <c r="L18" s="190">
        <f t="shared" si="7"/>
        <v>219050.56999999989</v>
      </c>
      <c r="M18" s="192">
        <f t="shared" si="2"/>
        <v>0.44223548456396222</v>
      </c>
      <c r="N18" s="189">
        <f>+INDEX('2018'!$1:$1048576,MATCH('Analytics - 2018'!$A18,'2018'!$A:$A,0),MATCH('Analytics - 2018'!$N$6,'2018'!$6:$6,0))</f>
        <v>714376.2</v>
      </c>
      <c r="O18" s="189">
        <f>+INDEX('2018'!$1:$1048576,MATCH(CONCATENATE('Analytics - 2018'!$A18,"p"),'2018'!$A:$A,0),MATCH('Analytics - 2018'!$O$6,'2018'!$100:$100,0))</f>
        <v>622254.13954528561</v>
      </c>
      <c r="P18" s="190">
        <f t="shared" si="3"/>
        <v>92122.060454714345</v>
      </c>
      <c r="Q18" s="191">
        <f t="shared" si="4"/>
        <v>0.14804571733670246</v>
      </c>
      <c r="R18" s="189">
        <f>+SUMPRODUCT(('2017'!$G18:$R18)*('2017'!$G$5:$R$5&lt;=Master!$B$3))</f>
        <v>569690.59</v>
      </c>
      <c r="S18" s="190">
        <f t="shared" si="5"/>
        <v>144685.60999999999</v>
      </c>
      <c r="T18" s="192">
        <f t="shared" si="6"/>
        <v>0.25397226589261379</v>
      </c>
    </row>
    <row r="19" spans="1:20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+SUMPRODUCT(('2018'!$G19:$R19)*('2018'!$G$5:$R$5&lt;=Master!$B$3)*($A19='2018'!$A$10:$A$65))</f>
        <v>14572676.99</v>
      </c>
      <c r="H19" s="195">
        <f>+SUMPRODUCT(('2018'!$G113:$R113)*('2018'!$G$5:$R$5&lt;=Master!$B$3))</f>
        <v>16036024.793189028</v>
      </c>
      <c r="I19" s="196">
        <f t="shared" si="0"/>
        <v>-1463347.8031890281</v>
      </c>
      <c r="J19" s="197">
        <f t="shared" si="1"/>
        <v>-9.1253775300382145E-2</v>
      </c>
      <c r="K19" s="195">
        <f>+SUMPRODUCT(('2016'!$G19:$R19)*('2016'!$G$5:$R$5&lt;=Master!$B$3))</f>
        <v>13982919.930000003</v>
      </c>
      <c r="L19" s="196">
        <f t="shared" si="7"/>
        <v>589757.0599999968</v>
      </c>
      <c r="M19" s="198">
        <f t="shared" si="2"/>
        <v>4.2176960388272455E-2</v>
      </c>
      <c r="N19" s="195">
        <f>+INDEX('2018'!$1:$1048576,MATCH('Analytics - 2018'!$A19,'2018'!$A:$A,0),MATCH('Analytics - 2018'!$N$6,'2018'!$6:$6,0))</f>
        <v>14572676.99</v>
      </c>
      <c r="O19" s="195">
        <f>+INDEX('2018'!$1:$1048576,MATCH(CONCATENATE('Analytics - 2018'!$A19,"p"),'2018'!$A:$A,0),MATCH('Analytics - 2018'!$O$6,'2018'!$100:$100,0))</f>
        <v>16036024.793189028</v>
      </c>
      <c r="P19" s="196">
        <f t="shared" si="3"/>
        <v>-1463347.8031890281</v>
      </c>
      <c r="Q19" s="197">
        <f t="shared" si="4"/>
        <v>-9.1253775300382145E-2</v>
      </c>
      <c r="R19" s="195">
        <f>+SUMPRODUCT(('2017'!$G19:$R19)*('2017'!$G$5:$R$5&lt;=Master!$B$3))</f>
        <v>15942566.910000002</v>
      </c>
      <c r="S19" s="196">
        <f t="shared" si="5"/>
        <v>-1369889.9200000018</v>
      </c>
      <c r="T19" s="198">
        <f t="shared" si="6"/>
        <v>-8.5926559238132194E-2</v>
      </c>
    </row>
    <row r="20" spans="1:20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f>+SUMPRODUCT(('2018'!$G20:$R20)*('2018'!$G$5:$R$5&lt;=Master!$B$3)*($A20='2018'!$A$10:$A$65))</f>
        <v>8994145.9900000002</v>
      </c>
      <c r="H20" s="189">
        <f>+SUMPRODUCT(('2018'!$G114:$R114)*('2018'!$G$5:$R$5&lt;=Master!$B$3))</f>
        <v>9626465.1714532841</v>
      </c>
      <c r="I20" s="190">
        <f t="shared" si="0"/>
        <v>-632319.18145328388</v>
      </c>
      <c r="J20" s="191">
        <f t="shared" si="1"/>
        <v>-6.5685500356703064E-2</v>
      </c>
      <c r="K20" s="189">
        <f>+SUMPRODUCT(('2016'!$G20:$R20)*('2016'!$G$5:$R$5&lt;=Master!$B$3))</f>
        <v>8441766.75</v>
      </c>
      <c r="L20" s="190">
        <f t="shared" si="7"/>
        <v>552379.24000000022</v>
      </c>
      <c r="M20" s="192">
        <f t="shared" si="2"/>
        <v>6.5434079898026187E-2</v>
      </c>
      <c r="N20" s="189">
        <f>+INDEX('2018'!$1:$1048576,MATCH('Analytics - 2018'!$A20,'2018'!$A:$A,0),MATCH('Analytics - 2018'!$N$6,'2018'!$6:$6,0))</f>
        <v>8994145.9900000002</v>
      </c>
      <c r="O20" s="189">
        <f>+INDEX('2018'!$1:$1048576,MATCH(CONCATENATE('Analytics - 2018'!$A20,"p"),'2018'!$A:$A,0),MATCH('Analytics - 2018'!$O$6,'2018'!$100:$100,0))</f>
        <v>9626465.1714532841</v>
      </c>
      <c r="P20" s="190">
        <f t="shared" si="3"/>
        <v>-632319.18145328388</v>
      </c>
      <c r="Q20" s="191">
        <f t="shared" si="4"/>
        <v>-6.5685500356703064E-2</v>
      </c>
      <c r="R20" s="189">
        <f>+SUMPRODUCT(('2017'!$G20:$R20)*('2017'!$G$5:$R$5&lt;=Master!$B$3))</f>
        <v>9612063.3000000007</v>
      </c>
      <c r="S20" s="190">
        <f t="shared" si="5"/>
        <v>-617917.31000000052</v>
      </c>
      <c r="T20" s="192">
        <f t="shared" si="6"/>
        <v>-6.428560556816143E-2</v>
      </c>
    </row>
    <row r="21" spans="1:20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f>+SUMPRODUCT(('2018'!$G21:$R21)*('2018'!$G$5:$R$5&lt;=Master!$B$3)*($A21='2018'!$A$10:$A$65))</f>
        <v>4907250.76</v>
      </c>
      <c r="H21" s="189">
        <f>+SUMPRODUCT(('2018'!$G115:$R115)*('2018'!$G$5:$R$5&lt;=Master!$B$3))</f>
        <v>5931594.0843413193</v>
      </c>
      <c r="I21" s="190">
        <f t="shared" si="0"/>
        <v>-1024343.3243413195</v>
      </c>
      <c r="J21" s="191">
        <f t="shared" si="1"/>
        <v>-0.17269275506317272</v>
      </c>
      <c r="K21" s="189">
        <f>+SUMPRODUCT(('2016'!$G21:$R21)*('2016'!$G$5:$R$5&lt;=Master!$B$3))</f>
        <v>4800329.5000000028</v>
      </c>
      <c r="L21" s="190">
        <f t="shared" si="7"/>
        <v>106921.25999999698</v>
      </c>
      <c r="M21" s="192">
        <f t="shared" si="2"/>
        <v>2.2273733501001702E-2</v>
      </c>
      <c r="N21" s="189">
        <f>+INDEX('2018'!$1:$1048576,MATCH('Analytics - 2018'!$A21,'2018'!$A:$A,0),MATCH('Analytics - 2018'!$N$6,'2018'!$6:$6,0))</f>
        <v>4907250.76</v>
      </c>
      <c r="O21" s="189">
        <f>+INDEX('2018'!$1:$1048576,MATCH(CONCATENATE('Analytics - 2018'!$A21,"p"),'2018'!$A:$A,0),MATCH('Analytics - 2018'!$O$6,'2018'!$100:$100,0))</f>
        <v>5931594.0843413193</v>
      </c>
      <c r="P21" s="190">
        <f t="shared" si="3"/>
        <v>-1024343.3243413195</v>
      </c>
      <c r="Q21" s="191">
        <f t="shared" si="4"/>
        <v>-0.17269275506317272</v>
      </c>
      <c r="R21" s="189">
        <f>+SUMPRODUCT(('2017'!$G21:$R21)*('2017'!$G$5:$R$5&lt;=Master!$B$3))</f>
        <v>5487815.8700000001</v>
      </c>
      <c r="S21" s="190">
        <f t="shared" si="5"/>
        <v>-580565.11000000034</v>
      </c>
      <c r="T21" s="192">
        <f t="shared" si="6"/>
        <v>-0.10579165259055978</v>
      </c>
    </row>
    <row r="22" spans="1:20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f>+SUMPRODUCT(('2018'!$G22:$R22)*('2018'!$G$5:$R$5&lt;=Master!$B$3)*($A22='2018'!$A$10:$A$65))</f>
        <v>365962.97</v>
      </c>
      <c r="H22" s="189">
        <f>+SUMPRODUCT(('2018'!$G116:$R116)*('2018'!$G$5:$R$5&lt;=Master!$B$3))</f>
        <v>41461.016125474722</v>
      </c>
      <c r="I22" s="190">
        <f t="shared" si="0"/>
        <v>324501.95387452526</v>
      </c>
      <c r="J22" s="191">
        <f t="shared" si="1"/>
        <v>7.8266763383819438</v>
      </c>
      <c r="K22" s="189">
        <f>+SUMPRODUCT(('2016'!$G22:$R22)*('2016'!$G$5:$R$5&lt;=Master!$B$3))</f>
        <v>384995.72999999992</v>
      </c>
      <c r="L22" s="190">
        <f t="shared" si="7"/>
        <v>-19032.759999999951</v>
      </c>
      <c r="M22" s="192">
        <f t="shared" si="2"/>
        <v>-4.9436288553122321E-2</v>
      </c>
      <c r="N22" s="189">
        <f>+INDEX('2018'!$1:$1048576,MATCH('Analytics - 2018'!$A22,'2018'!$A:$A,0),MATCH('Analytics - 2018'!$N$6,'2018'!$6:$6,0))</f>
        <v>365962.97</v>
      </c>
      <c r="O22" s="189">
        <f>+INDEX('2018'!$1:$1048576,MATCH(CONCATENATE('Analytics - 2018'!$A22,"p"),'2018'!$A:$A,0),MATCH('Analytics - 2018'!$O$6,'2018'!$100:$100,0))</f>
        <v>41461.016125474722</v>
      </c>
      <c r="P22" s="190">
        <f t="shared" si="3"/>
        <v>324501.95387452526</v>
      </c>
      <c r="Q22" s="191">
        <f t="shared" si="4"/>
        <v>7.8266763383819438</v>
      </c>
      <c r="R22" s="189">
        <f>+SUMPRODUCT(('2017'!$G22:$R22)*('2017'!$G$5:$R$5&lt;=Master!$B$3))</f>
        <v>436423.06</v>
      </c>
      <c r="S22" s="190">
        <f t="shared" si="5"/>
        <v>-70460.090000000026</v>
      </c>
      <c r="T22" s="192">
        <f t="shared" si="6"/>
        <v>-0.16144905358575701</v>
      </c>
    </row>
    <row r="23" spans="1:20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f>+SUMPRODUCT(('2018'!$G23:$R23)*('2018'!$G$5:$R$5&lt;=Master!$B$3)*($A23='2018'!$A$10:$A$65))</f>
        <v>305317.27</v>
      </c>
      <c r="H23" s="189">
        <f>+SUMPRODUCT(('2018'!$G117:$R117)*('2018'!$G$5:$R$5&lt;=Master!$B$3))</f>
        <v>436504.52126895066</v>
      </c>
      <c r="I23" s="190">
        <f t="shared" si="0"/>
        <v>-131187.25126895064</v>
      </c>
      <c r="J23" s="191">
        <f t="shared" si="1"/>
        <v>-0.30054041797225761</v>
      </c>
      <c r="K23" s="189">
        <f>+SUMPRODUCT(('2016'!$G23:$R23)*('2016'!$G$5:$R$5&lt;=Master!$B$3))</f>
        <v>355827.94999999995</v>
      </c>
      <c r="L23" s="190">
        <f t="shared" si="7"/>
        <v>-50510.679999999935</v>
      </c>
      <c r="M23" s="192">
        <f t="shared" si="2"/>
        <v>-0.14195253633111149</v>
      </c>
      <c r="N23" s="189">
        <f>+INDEX('2018'!$1:$1048576,MATCH('Analytics - 2018'!$A23,'2018'!$A:$A,0),MATCH('Analytics - 2018'!$N$6,'2018'!$6:$6,0))</f>
        <v>305317.27</v>
      </c>
      <c r="O23" s="189">
        <f>+INDEX('2018'!$1:$1048576,MATCH(CONCATENATE('Analytics - 2018'!$A23,"p"),'2018'!$A:$A,0),MATCH('Analytics - 2018'!$O$6,'2018'!$100:$100,0))</f>
        <v>436504.52126895066</v>
      </c>
      <c r="P23" s="190">
        <f t="shared" si="3"/>
        <v>-131187.25126895064</v>
      </c>
      <c r="Q23" s="191">
        <f t="shared" si="4"/>
        <v>-0.30054041797225761</v>
      </c>
      <c r="R23" s="189">
        <f>+SUMPRODUCT(('2017'!$G23:$R23)*('2017'!$G$5:$R$5&lt;=Master!$B$3))</f>
        <v>406264.68</v>
      </c>
      <c r="S23" s="190">
        <f t="shared" si="5"/>
        <v>-100947.40999999997</v>
      </c>
      <c r="T23" s="192">
        <f t="shared" si="6"/>
        <v>-0.24847695349740961</v>
      </c>
    </row>
    <row r="24" spans="1:20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f>+SUMPRODUCT(('2018'!$G24:$R24)*('2018'!$G$5:$R$5&lt;=Master!$B$3)*($A24='2018'!$A$10:$A$65))</f>
        <v>725562.24</v>
      </c>
      <c r="H24" s="201">
        <f>+SUMPRODUCT(('2018'!$G118:$R118)*('2018'!$G$5:$R$5&lt;=Master!$B$3))</f>
        <v>822573.87303189654</v>
      </c>
      <c r="I24" s="202">
        <f t="shared" si="0"/>
        <v>-97011.633031896548</v>
      </c>
      <c r="J24" s="203">
        <f t="shared" si="1"/>
        <v>-0.11793668169197347</v>
      </c>
      <c r="K24" s="201">
        <f>+SUMPRODUCT(('2016'!$G24:$R24)*('2016'!$G$5:$R$5&lt;=Master!$B$3))</f>
        <v>567280.62</v>
      </c>
      <c r="L24" s="202">
        <f t="shared" si="7"/>
        <v>158281.62</v>
      </c>
      <c r="M24" s="204">
        <f t="shared" si="2"/>
        <v>0.27901820442940561</v>
      </c>
      <c r="N24" s="201">
        <f>+INDEX('2018'!$1:$1048576,MATCH('Analytics - 2018'!$A24,'2018'!$A:$A,0),MATCH('Analytics - 2018'!$N$6,'2018'!$6:$6,0))</f>
        <v>725562.24</v>
      </c>
      <c r="O24" s="201">
        <f>+INDEX('2018'!$1:$1048576,MATCH(CONCATENATE('Analytics - 2018'!$A24,"p"),'2018'!$A:$A,0),MATCH('Analytics - 2018'!$O$6,'2018'!$100:$100,0))</f>
        <v>822573.87303189654</v>
      </c>
      <c r="P24" s="202">
        <f t="shared" si="3"/>
        <v>-97011.633031896548</v>
      </c>
      <c r="Q24" s="203">
        <f t="shared" si="4"/>
        <v>-0.11793668169197347</v>
      </c>
      <c r="R24" s="201">
        <f>+SUMPRODUCT(('2017'!$G24:$R24)*('2017'!$G$5:$R$5&lt;=Master!$B$3))</f>
        <v>579949.69999999995</v>
      </c>
      <c r="S24" s="202">
        <f t="shared" si="5"/>
        <v>145612.54000000004</v>
      </c>
      <c r="T24" s="204">
        <f t="shared" si="6"/>
        <v>0.25107787796079561</v>
      </c>
    </row>
    <row r="25" spans="1:20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f>+SUMPRODUCT(('2018'!$G25:$R25)*('2018'!$G$5:$R$5&lt;=Master!$B$3)*($A25='2018'!$A$10:$A$65))</f>
        <v>1774503.57</v>
      </c>
      <c r="H25" s="201">
        <f>+SUMPRODUCT(('2018'!$G119:$R119)*('2018'!$G$5:$R$5&lt;=Master!$B$3))</f>
        <v>1628645.8771561999</v>
      </c>
      <c r="I25" s="202">
        <f t="shared" si="0"/>
        <v>145857.69284380018</v>
      </c>
      <c r="J25" s="203">
        <f t="shared" si="1"/>
        <v>8.9557647177718192E-2</v>
      </c>
      <c r="K25" s="201">
        <f>+SUMPRODUCT(('2016'!$G25:$R25)*('2016'!$G$5:$R$5&lt;=Master!$B$3))</f>
        <v>1625009.9700000002</v>
      </c>
      <c r="L25" s="202">
        <f t="shared" si="7"/>
        <v>149493.59999999986</v>
      </c>
      <c r="M25" s="204">
        <f t="shared" si="2"/>
        <v>9.1995497110703761E-2</v>
      </c>
      <c r="N25" s="201">
        <f>+INDEX('2018'!$1:$1048576,MATCH('Analytics - 2018'!$A25,'2018'!$A:$A,0),MATCH('Analytics - 2018'!$N$6,'2018'!$6:$6,0))</f>
        <v>1774503.57</v>
      </c>
      <c r="O25" s="201">
        <f>+INDEX('2018'!$1:$1048576,MATCH(CONCATENATE('Analytics - 2018'!$A25,"p"),'2018'!$A:$A,0),MATCH('Analytics - 2018'!$O$6,'2018'!$100:$100,0))</f>
        <v>1628645.8771561999</v>
      </c>
      <c r="P25" s="202">
        <f t="shared" si="3"/>
        <v>145857.69284380018</v>
      </c>
      <c r="Q25" s="203">
        <f t="shared" si="4"/>
        <v>8.9557647177718192E-2</v>
      </c>
      <c r="R25" s="201">
        <f>+SUMPRODUCT(('2017'!$G25:$R25)*('2017'!$G$5:$R$5&lt;=Master!$B$3))</f>
        <v>1745843.13</v>
      </c>
      <c r="S25" s="202">
        <f t="shared" si="5"/>
        <v>28660.440000000177</v>
      </c>
      <c r="T25" s="204">
        <f t="shared" si="6"/>
        <v>1.6416389025742717E-2</v>
      </c>
    </row>
    <row r="26" spans="1:20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f>+SUMPRODUCT(('2018'!$G26:$R26)*('2018'!$G$5:$R$5&lt;=Master!$B$3)*($A26='2018'!$A$10:$A$65))</f>
        <v>2486753.54</v>
      </c>
      <c r="H26" s="201">
        <f>+SUMPRODUCT(('2018'!$G120:$R120)*('2018'!$G$5:$R$5&lt;=Master!$B$3))</f>
        <v>1619178.9062074635</v>
      </c>
      <c r="I26" s="202">
        <f t="shared" si="0"/>
        <v>867574.63379253657</v>
      </c>
      <c r="J26" s="203">
        <f t="shared" si="1"/>
        <v>0.535811472386718</v>
      </c>
      <c r="K26" s="201">
        <f>+SUMPRODUCT(('2016'!$G26:$R26)*('2016'!$G$5:$R$5&lt;=Master!$B$3))</f>
        <v>1022331.6999999993</v>
      </c>
      <c r="L26" s="202">
        <f t="shared" si="7"/>
        <v>1464421.8400000008</v>
      </c>
      <c r="M26" s="204">
        <f t="shared" si="2"/>
        <v>1.4324331721299477</v>
      </c>
      <c r="N26" s="201">
        <f>+INDEX('2018'!$1:$1048576,MATCH('Analytics - 2018'!$A26,'2018'!$A:$A,0),MATCH('Analytics - 2018'!$N$6,'2018'!$6:$6,0))</f>
        <v>2486753.54</v>
      </c>
      <c r="O26" s="201">
        <f>+INDEX('2018'!$1:$1048576,MATCH(CONCATENATE('Analytics - 2018'!$A26,"p"),'2018'!$A:$A,0),MATCH('Analytics - 2018'!$O$6,'2018'!$100:$100,0))</f>
        <v>1619178.9062074635</v>
      </c>
      <c r="P26" s="202">
        <f t="shared" si="3"/>
        <v>867574.63379253657</v>
      </c>
      <c r="Q26" s="203">
        <f t="shared" si="4"/>
        <v>0.535811472386718</v>
      </c>
      <c r="R26" s="201">
        <f>+SUMPRODUCT(('2017'!$G26:$R26)*('2017'!$G$5:$R$5&lt;=Master!$B$3))</f>
        <v>1549598.76</v>
      </c>
      <c r="S26" s="202">
        <f t="shared" si="5"/>
        <v>937154.78</v>
      </c>
      <c r="T26" s="204">
        <f t="shared" si="6"/>
        <v>0.60477254124803248</v>
      </c>
    </row>
    <row r="27" spans="1:20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f>+SUMPRODUCT(('2018'!$G27:$R27)*('2018'!$G$5:$R$5&lt;=Master!$B$3)*($A27='2018'!$A$10:$A$65))</f>
        <v>170875.32</v>
      </c>
      <c r="H27" s="201">
        <f>+SUMPRODUCT(('2018'!$G121:$R121)*('2018'!$G$5:$R$5&lt;=Master!$B$3))</f>
        <v>115670.29223974149</v>
      </c>
      <c r="I27" s="202">
        <f t="shared" si="0"/>
        <v>55205.027760258512</v>
      </c>
      <c r="J27" s="203">
        <f t="shared" si="1"/>
        <v>0.47726193728151922</v>
      </c>
      <c r="K27" s="201">
        <f>+SUMPRODUCT(('2016'!$G27:$R27)*('2016'!$G$5:$R$5&lt;=Master!$B$3))</f>
        <v>148151.22999999998</v>
      </c>
      <c r="L27" s="202">
        <f t="shared" si="7"/>
        <v>22724.090000000026</v>
      </c>
      <c r="M27" s="204">
        <f t="shared" si="2"/>
        <v>0.15338441672067127</v>
      </c>
      <c r="N27" s="201">
        <f>+INDEX('2018'!$1:$1048576,MATCH('Analytics - 2018'!$A27,'2018'!$A:$A,0),MATCH('Analytics - 2018'!$N$6,'2018'!$6:$6,0))</f>
        <v>170875.32</v>
      </c>
      <c r="O27" s="201">
        <f>+INDEX('2018'!$1:$1048576,MATCH(CONCATENATE('Analytics - 2018'!$A27,"p"),'2018'!$A:$A,0),MATCH('Analytics - 2018'!$O$6,'2018'!$100:$100,0))</f>
        <v>115670.29223974149</v>
      </c>
      <c r="P27" s="202">
        <f t="shared" si="3"/>
        <v>55205.027760258512</v>
      </c>
      <c r="Q27" s="203">
        <f t="shared" si="4"/>
        <v>0.47726193728151922</v>
      </c>
      <c r="R27" s="201">
        <f>+SUMPRODUCT(('2017'!$G27:$R27)*('2017'!$G$5:$R$5&lt;=Master!$B$3))</f>
        <v>150350.67000000001</v>
      </c>
      <c r="S27" s="202">
        <f t="shared" si="5"/>
        <v>20524.649999999994</v>
      </c>
      <c r="T27" s="204">
        <f t="shared" si="6"/>
        <v>0.1365118625676891</v>
      </c>
    </row>
    <row r="28" spans="1:20" ht="15.7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f>+SUMPRODUCT(('2018'!$G28:$R28)*('2018'!$G$5:$R$5&lt;=Master!$B$3)*($A28='2018'!$A$10:$A$65))</f>
        <v>1518621.66</v>
      </c>
      <c r="H28" s="201">
        <f>+SUMPRODUCT(('2018'!$G122:$R122)*('2018'!$G$5:$R$5&lt;=Master!$B$3))</f>
        <v>192861.06334854156</v>
      </c>
      <c r="I28" s="202">
        <f t="shared" si="0"/>
        <v>1325760.5966514584</v>
      </c>
      <c r="J28" s="203">
        <f t="shared" si="1"/>
        <v>6.8741744633831185</v>
      </c>
      <c r="K28" s="201">
        <f>+SUMPRODUCT(('2016'!$G28:$R28)*('2016'!$G$5:$R$5&lt;=Master!$B$3))</f>
        <v>196891.75999999998</v>
      </c>
      <c r="L28" s="202">
        <f t="shared" si="7"/>
        <v>1321729.8999999999</v>
      </c>
      <c r="M28" s="204">
        <f t="shared" si="2"/>
        <v>6.7129772215962724</v>
      </c>
      <c r="N28" s="201">
        <f>+INDEX('2018'!$1:$1048576,MATCH('Analytics - 2018'!$A28,'2018'!$A:$A,0),MATCH('Analytics - 2018'!$N$6,'2018'!$6:$6,0))</f>
        <v>1518621.66</v>
      </c>
      <c r="O28" s="201">
        <f>+INDEX('2018'!$1:$1048576,MATCH(CONCATENATE('Analytics - 2018'!$A28,"p"),'2018'!$A:$A,0),MATCH('Analytics - 2018'!$O$6,'2018'!$100:$100,0))</f>
        <v>192861.06334854156</v>
      </c>
      <c r="P28" s="202">
        <f t="shared" si="3"/>
        <v>1325760.5966514584</v>
      </c>
      <c r="Q28" s="203">
        <f t="shared" si="4"/>
        <v>6.8741744633831185</v>
      </c>
      <c r="R28" s="201">
        <f>+SUMPRODUCT(('2017'!$G28:$R28)*('2017'!$G$5:$R$5&lt;=Master!$B$3))</f>
        <v>198902.46</v>
      </c>
      <c r="S28" s="202">
        <f t="shared" si="5"/>
        <v>1319719.2</v>
      </c>
      <c r="T28" s="204">
        <f t="shared" si="6"/>
        <v>6.6350069275161303</v>
      </c>
    </row>
    <row r="29" spans="1:20" ht="15.7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>+SUMPRODUCT(('2018'!$G29:$R29)*('2018'!$G$5:$R$5&lt;=Master!$B$3)*($A29='2018'!$A$10:$A$65))</f>
        <v>106101103.53</v>
      </c>
      <c r="H29" s="177">
        <f>+SUMPRODUCT(('2018'!$G123:$R123)*('2018'!$G$5:$R$5&lt;=Master!$B$3))</f>
        <v>145769475.38066667</v>
      </c>
      <c r="I29" s="178">
        <f t="shared" si="0"/>
        <v>-39668371.850666672</v>
      </c>
      <c r="J29" s="179">
        <f t="shared" si="1"/>
        <v>-0.2721308541934141</v>
      </c>
      <c r="K29" s="177">
        <f>+SUMPRODUCT(('2016'!$G29:$R29)*('2016'!$G$5:$R$5&lt;=Master!$B$3))</f>
        <v>87890386.810000017</v>
      </c>
      <c r="L29" s="178">
        <f t="shared" si="7"/>
        <v>18210716.719999984</v>
      </c>
      <c r="M29" s="180">
        <f t="shared" si="2"/>
        <v>0.2071980495360386</v>
      </c>
      <c r="N29" s="177">
        <f>+INDEX('2018'!$1:$1048576,MATCH('Analytics - 2018'!$A29,'2018'!$A:$A,0),MATCH('Analytics - 2018'!$N$6,'2018'!$6:$6,0))</f>
        <v>106101103.53</v>
      </c>
      <c r="O29" s="177">
        <f>+INDEX('2018'!$1:$1048576,MATCH(CONCATENATE('Analytics - 2018'!$A29,"p"),'2018'!$A:$A,0),MATCH('Analytics - 2018'!$O$6,'2018'!$100:$100,0))</f>
        <v>145769475.38066667</v>
      </c>
      <c r="P29" s="178">
        <f t="shared" si="3"/>
        <v>-39668371.850666672</v>
      </c>
      <c r="Q29" s="179">
        <f t="shared" si="4"/>
        <v>-0.2721308541934141</v>
      </c>
      <c r="R29" s="177">
        <f>+SUMPRODUCT(('2017'!$G29:$R29)*('2017'!$G$5:$R$5&lt;=Master!$B$3))</f>
        <v>95209293.459999979</v>
      </c>
      <c r="S29" s="178">
        <f t="shared" si="5"/>
        <v>10891810.070000023</v>
      </c>
      <c r="T29" s="180">
        <f t="shared" si="6"/>
        <v>0.11439860200806939</v>
      </c>
    </row>
    <row r="30" spans="1:20" ht="15.7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390">
        <f>+SUMPRODUCT(('2018'!$G30:$R30)*('2018'!$G$5:$R$5&lt;=Master!$B$3)*($A30='2018'!$A$10:$A$65))</f>
        <v>104040529.26000001</v>
      </c>
      <c r="H30" s="343">
        <f>+SUMPRODUCT(('2018'!$G124:$R124)*('2018'!$G$5:$R$5&lt;=Master!$B$3))</f>
        <v>124297392.04733334</v>
      </c>
      <c r="I30" s="208">
        <f t="shared" si="0"/>
        <v>-20256862.787333339</v>
      </c>
      <c r="J30" s="209">
        <f t="shared" si="1"/>
        <v>-0.16297093972510202</v>
      </c>
      <c r="K30" s="343">
        <f>+SUMPRODUCT(('2016'!$G30:$R30)*('2016'!$G$5:$R$5&lt;=Master!$B$3))</f>
        <v>87539928.38000001</v>
      </c>
      <c r="L30" s="208">
        <f t="shared" si="7"/>
        <v>16500600.879999995</v>
      </c>
      <c r="M30" s="210">
        <f t="shared" si="2"/>
        <v>0.18849228215464064</v>
      </c>
      <c r="N30" s="390">
        <f>+INDEX('2018'!$1:$1048576,MATCH('Analytics - 2018'!$A30,'2018'!$A:$A,0),MATCH('Analytics - 2018'!$N$6,'2018'!$6:$6,0))</f>
        <v>104040529.26000001</v>
      </c>
      <c r="O30" s="343">
        <f>+INDEX('2018'!$1:$1048576,MATCH(CONCATENATE('Analytics - 2018'!$A30,"p"),'2018'!$A:$A,0),MATCH('Analytics - 2018'!$O$6,'2018'!$100:$100,0))</f>
        <v>124297392.04733334</v>
      </c>
      <c r="P30" s="208">
        <f t="shared" si="3"/>
        <v>-20256862.787333339</v>
      </c>
      <c r="Q30" s="209">
        <f t="shared" si="4"/>
        <v>-0.16297093972510202</v>
      </c>
      <c r="R30" s="390">
        <f>+SUMPRODUCT(('2017'!$G30:$R30)*('2017'!$G$5:$R$5&lt;=Master!$B$3))</f>
        <v>95099649.019999981</v>
      </c>
      <c r="S30" s="208">
        <f t="shared" si="5"/>
        <v>8940880.2400000244</v>
      </c>
      <c r="T30" s="210">
        <f t="shared" si="6"/>
        <v>9.4015912068400098E-2</v>
      </c>
    </row>
    <row r="31" spans="1:20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391">
        <f>+SUMPRODUCT(('2018'!$G31:$R31)*('2018'!$G$5:$R$5&lt;=Master!$B$3)*($A31='2018'!$A$10:$A$65))</f>
        <v>48892361.900000006</v>
      </c>
      <c r="H31" s="392">
        <f>+SUMPRODUCT(('2018'!$G125:$R125)*('2018'!$G$5:$R$5&lt;=Master!$B$3))</f>
        <v>61981026.661833338</v>
      </c>
      <c r="I31" s="214">
        <f t="shared" si="0"/>
        <v>-13088664.761833332</v>
      </c>
      <c r="J31" s="215">
        <f t="shared" si="1"/>
        <v>-0.21117211938493219</v>
      </c>
      <c r="K31" s="392">
        <f>+SUMPRODUCT(('2016'!$G31:$R31)*('2016'!$G$5:$R$5&lt;=Master!$B$3))</f>
        <v>40743417.210000008</v>
      </c>
      <c r="L31" s="214">
        <f t="shared" si="7"/>
        <v>8148944.6899999976</v>
      </c>
      <c r="M31" s="216">
        <f t="shared" si="2"/>
        <v>0.20000641202966962</v>
      </c>
      <c r="N31" s="391">
        <f>+INDEX('2018'!$1:$1048576,MATCH('Analytics - 2018'!$A31,'2018'!$A:$A,0),MATCH('Analytics - 2018'!$N$6,'2018'!$6:$6,0))</f>
        <v>48892361.900000006</v>
      </c>
      <c r="O31" s="392">
        <f>+INDEX('2018'!$1:$1048576,MATCH(CONCATENATE('Analytics - 2018'!$A31,"p"),'2018'!$A:$A,0),MATCH('Analytics - 2018'!$O$6,'2018'!$100:$100,0))</f>
        <v>61981026.661833338</v>
      </c>
      <c r="P31" s="214">
        <f t="shared" si="3"/>
        <v>-13088664.761833332</v>
      </c>
      <c r="Q31" s="215">
        <f t="shared" si="4"/>
        <v>-0.21117211938493219</v>
      </c>
      <c r="R31" s="391">
        <f>+SUMPRODUCT(('2017'!$G31:$R31)*('2017'!$G$5:$R$5&lt;=Master!$B$3))</f>
        <v>43689604.280000001</v>
      </c>
      <c r="S31" s="214">
        <f t="shared" si="5"/>
        <v>5202757.6200000048</v>
      </c>
      <c r="T31" s="216">
        <f t="shared" si="6"/>
        <v>0.1190845672727161</v>
      </c>
    </row>
    <row r="32" spans="1:20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f>+SUMPRODUCT(('2018'!$G32:$R32)*('2018'!$G$5:$R$5&lt;=Master!$B$3)*($A32='2018'!$A$10:$A$65))</f>
        <v>37313745.240000002</v>
      </c>
      <c r="H32" s="189">
        <f>+SUMPRODUCT(('2018'!$G126:$R126)*('2018'!$G$5:$R$5&lt;=Master!$B$3))</f>
        <v>36581480.009166665</v>
      </c>
      <c r="I32" s="190">
        <f t="shared" si="0"/>
        <v>732265.23083333671</v>
      </c>
      <c r="J32" s="191">
        <f t="shared" si="1"/>
        <v>2.0017375749965316E-2</v>
      </c>
      <c r="K32" s="189">
        <f>+SUMPRODUCT(('2016'!$G32:$R32)*('2016'!$G$5:$R$5&lt;=Master!$B$3))</f>
        <v>31820224.66</v>
      </c>
      <c r="L32" s="190">
        <f t="shared" si="7"/>
        <v>5493520.5800000019</v>
      </c>
      <c r="M32" s="192">
        <f t="shared" si="2"/>
        <v>0.1726424196780012</v>
      </c>
      <c r="N32" s="189">
        <f>+INDEX('2018'!$1:$1048576,MATCH('Analytics - 2018'!$A32,'2018'!$A:$A,0),MATCH('Analytics - 2018'!$N$6,'2018'!$6:$6,0))</f>
        <v>37313745.240000002</v>
      </c>
      <c r="O32" s="189">
        <f>+INDEX('2018'!$1:$1048576,MATCH(CONCATENATE('Analytics - 2018'!$A32,"p"),'2018'!$A:$A,0),MATCH('Analytics - 2018'!$O$6,'2018'!$100:$100,0))</f>
        <v>36581480.009166665</v>
      </c>
      <c r="P32" s="190">
        <f t="shared" si="3"/>
        <v>732265.23083333671</v>
      </c>
      <c r="Q32" s="191">
        <f t="shared" si="4"/>
        <v>2.0017375749965316E-2</v>
      </c>
      <c r="R32" s="189">
        <f>+SUMPRODUCT(('2017'!$G32:$R32)*('2017'!$G$5:$R$5&lt;=Master!$B$3))</f>
        <v>36341017.520000003</v>
      </c>
      <c r="S32" s="190">
        <f t="shared" si="5"/>
        <v>972727.71999999881</v>
      </c>
      <c r="T32" s="192">
        <f t="shared" si="6"/>
        <v>2.6766661650699852E-2</v>
      </c>
    </row>
    <row r="33" spans="1:20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f>+SUMPRODUCT(('2018'!$G33:$R33)*('2018'!$G$5:$R$5&lt;=Master!$B$3)*($A33='2018'!$A$10:$A$65))</f>
        <v>363127.64</v>
      </c>
      <c r="H33" s="189">
        <f>+SUMPRODUCT(('2018'!$G127:$R127)*('2018'!$G$5:$R$5&lt;=Master!$B$3))</f>
        <v>1045765.8483333333</v>
      </c>
      <c r="I33" s="190">
        <f t="shared" si="0"/>
        <v>-682638.20833333326</v>
      </c>
      <c r="J33" s="191">
        <f t="shared" si="1"/>
        <v>-0.65276391404564715</v>
      </c>
      <c r="K33" s="189">
        <f>+SUMPRODUCT(('2016'!$G33:$R33)*('2016'!$G$5:$R$5&lt;=Master!$B$3))</f>
        <v>373398.5</v>
      </c>
      <c r="L33" s="190">
        <f t="shared" si="7"/>
        <v>-10270.859999999986</v>
      </c>
      <c r="M33" s="192">
        <f t="shared" si="2"/>
        <v>-2.7506430797124226E-2</v>
      </c>
      <c r="N33" s="189">
        <f>+INDEX('2018'!$1:$1048576,MATCH('Analytics - 2018'!$A33,'2018'!$A:$A,0),MATCH('Analytics - 2018'!$N$6,'2018'!$6:$6,0))</f>
        <v>363127.64</v>
      </c>
      <c r="O33" s="189">
        <f>+INDEX('2018'!$1:$1048576,MATCH(CONCATENATE('Analytics - 2018'!$A33,"p"),'2018'!$A:$A,0),MATCH('Analytics - 2018'!$O$6,'2018'!$100:$100,0))</f>
        <v>1045765.8483333333</v>
      </c>
      <c r="P33" s="190">
        <f t="shared" si="3"/>
        <v>-682638.20833333326</v>
      </c>
      <c r="Q33" s="191">
        <f t="shared" si="4"/>
        <v>-0.65276391404564715</v>
      </c>
      <c r="R33" s="189">
        <f>+SUMPRODUCT(('2017'!$G33:$R33)*('2017'!$G$5:$R$5&lt;=Master!$B$3))</f>
        <v>70065.570000000007</v>
      </c>
      <c r="S33" s="190">
        <f t="shared" si="5"/>
        <v>293062.07</v>
      </c>
      <c r="T33" s="192">
        <f t="shared" si="6"/>
        <v>4.1826830210615569</v>
      </c>
    </row>
    <row r="34" spans="1:20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f>+SUMPRODUCT(('2018'!$G34:$R34)*('2018'!$G$5:$R$5&lt;=Master!$B$3)*($A34='2018'!$A$10:$A$65))</f>
        <v>1027061</v>
      </c>
      <c r="H34" s="189">
        <f>+SUMPRODUCT(('2018'!$G128:$R128)*('2018'!$G$5:$R$5&lt;=Master!$B$3))</f>
        <v>2429373.3213333334</v>
      </c>
      <c r="I34" s="190">
        <f t="shared" si="0"/>
        <v>-1402312.3213333334</v>
      </c>
      <c r="J34" s="191">
        <f t="shared" si="1"/>
        <v>-0.5772321236176623</v>
      </c>
      <c r="K34" s="189">
        <f>+SUMPRODUCT(('2016'!$G34:$R34)*('2016'!$G$5:$R$5&lt;=Master!$B$3))</f>
        <v>787381.81</v>
      </c>
      <c r="L34" s="190">
        <f t="shared" si="7"/>
        <v>239679.18999999994</v>
      </c>
      <c r="M34" s="192">
        <f t="shared" si="2"/>
        <v>0.30440021214104496</v>
      </c>
      <c r="N34" s="189">
        <f>+INDEX('2018'!$1:$1048576,MATCH('Analytics - 2018'!$A34,'2018'!$A:$A,0),MATCH('Analytics - 2018'!$N$6,'2018'!$6:$6,0))</f>
        <v>1027061</v>
      </c>
      <c r="O34" s="189">
        <f>+INDEX('2018'!$1:$1048576,MATCH(CONCATENATE('Analytics - 2018'!$A34,"p"),'2018'!$A:$A,0),MATCH('Analytics - 2018'!$O$6,'2018'!$100:$100,0))</f>
        <v>2429373.3213333334</v>
      </c>
      <c r="P34" s="190">
        <f t="shared" si="3"/>
        <v>-1402312.3213333334</v>
      </c>
      <c r="Q34" s="191">
        <f t="shared" si="4"/>
        <v>-0.5772321236176623</v>
      </c>
      <c r="R34" s="189">
        <f>+SUMPRODUCT(('2017'!$G34:$R34)*('2017'!$G$5:$R$5&lt;=Master!$B$3))</f>
        <v>964375.48</v>
      </c>
      <c r="S34" s="190">
        <f t="shared" si="5"/>
        <v>62685.520000000019</v>
      </c>
      <c r="T34" s="192">
        <f t="shared" si="6"/>
        <v>6.5001154944337669E-2</v>
      </c>
    </row>
    <row r="35" spans="1:20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f>+SUMPRODUCT(('2018'!$G35:$R35)*('2018'!$G$5:$R$5&lt;=Master!$B$3)*($A35='2018'!$A$10:$A$65))</f>
        <v>1697968.93</v>
      </c>
      <c r="H35" s="189">
        <f>+SUMPRODUCT(('2018'!$G129:$R129)*('2018'!$G$5:$R$5&lt;=Master!$B$3))</f>
        <v>3986420.5893333331</v>
      </c>
      <c r="I35" s="190">
        <f t="shared" si="0"/>
        <v>-2288451.6593333334</v>
      </c>
      <c r="J35" s="191">
        <f t="shared" si="1"/>
        <v>-0.57406176996392677</v>
      </c>
      <c r="K35" s="189">
        <f>+SUMPRODUCT(('2016'!$G35:$R35)*('2016'!$G$5:$R$5&lt;=Master!$B$3))</f>
        <v>1540449.49</v>
      </c>
      <c r="L35" s="190">
        <f t="shared" si="7"/>
        <v>157519.43999999994</v>
      </c>
      <c r="M35" s="192">
        <f t="shared" si="2"/>
        <v>0.10225550465792943</v>
      </c>
      <c r="N35" s="189">
        <f>+INDEX('2018'!$1:$1048576,MATCH('Analytics - 2018'!$A35,'2018'!$A:$A,0),MATCH('Analytics - 2018'!$N$6,'2018'!$6:$6,0))</f>
        <v>1697968.93</v>
      </c>
      <c r="O35" s="189">
        <f>+INDEX('2018'!$1:$1048576,MATCH(CONCATENATE('Analytics - 2018'!$A35,"p"),'2018'!$A:$A,0),MATCH('Analytics - 2018'!$O$6,'2018'!$100:$100,0))</f>
        <v>3986420.5893333331</v>
      </c>
      <c r="P35" s="190">
        <f t="shared" si="3"/>
        <v>-2288451.6593333334</v>
      </c>
      <c r="Q35" s="191">
        <f t="shared" si="4"/>
        <v>-0.57406176996392677</v>
      </c>
      <c r="R35" s="189">
        <f>+SUMPRODUCT(('2017'!$G35:$R35)*('2017'!$G$5:$R$5&lt;=Master!$B$3))</f>
        <v>1445443.93</v>
      </c>
      <c r="S35" s="190">
        <f t="shared" si="5"/>
        <v>252525</v>
      </c>
      <c r="T35" s="192">
        <f t="shared" si="6"/>
        <v>0.17470411322008172</v>
      </c>
    </row>
    <row r="36" spans="1:20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f>+SUMPRODUCT(('2018'!$G36:$R36)*('2018'!$G$5:$R$5&lt;=Master!$B$3)*($A36='2018'!$A$10:$A$65))</f>
        <v>106817.18</v>
      </c>
      <c r="H36" s="189">
        <f>+SUMPRODUCT(('2018'!$G130:$R130)*('2018'!$G$5:$R$5&lt;=Master!$B$3))</f>
        <v>1860319.3983333334</v>
      </c>
      <c r="I36" s="190">
        <f t="shared" si="0"/>
        <v>-1753502.2183333335</v>
      </c>
      <c r="J36" s="191">
        <f t="shared" si="1"/>
        <v>-0.94258126851996604</v>
      </c>
      <c r="K36" s="189">
        <f>+SUMPRODUCT(('2016'!$G36:$R36)*('2016'!$G$5:$R$5&lt;=Master!$B$3))</f>
        <v>94021.83</v>
      </c>
      <c r="L36" s="190">
        <f t="shared" si="7"/>
        <v>12795.349999999991</v>
      </c>
      <c r="M36" s="192">
        <f t="shared" si="2"/>
        <v>0.13608914014968643</v>
      </c>
      <c r="N36" s="189">
        <f>+INDEX('2018'!$1:$1048576,MATCH('Analytics - 2018'!$A36,'2018'!$A:$A,0),MATCH('Analytics - 2018'!$N$6,'2018'!$6:$6,0))</f>
        <v>106817.18</v>
      </c>
      <c r="O36" s="189">
        <f>+INDEX('2018'!$1:$1048576,MATCH(CONCATENATE('Analytics - 2018'!$A36,"p"),'2018'!$A:$A,0),MATCH('Analytics - 2018'!$O$6,'2018'!$100:$100,0))</f>
        <v>1860319.3983333334</v>
      </c>
      <c r="P36" s="190">
        <f t="shared" si="3"/>
        <v>-1753502.2183333335</v>
      </c>
      <c r="Q36" s="191">
        <f t="shared" si="4"/>
        <v>-0.94258126851996604</v>
      </c>
      <c r="R36" s="189">
        <f>+SUMPRODUCT(('2017'!$G36:$R36)*('2017'!$G$5:$R$5&lt;=Master!$B$3))</f>
        <v>133702.59</v>
      </c>
      <c r="S36" s="190">
        <f t="shared" si="5"/>
        <v>-26885.410000000003</v>
      </c>
      <c r="T36" s="192">
        <f t="shared" si="6"/>
        <v>-0.20108368880513083</v>
      </c>
    </row>
    <row r="37" spans="1:20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f>+SUMPRODUCT(('2018'!$G37:$R37)*('2018'!$G$5:$R$5&lt;=Master!$B$3)*($A37='2018'!$A$10:$A$65))</f>
        <v>4324077.55</v>
      </c>
      <c r="H37" s="189">
        <f>+SUMPRODUCT(('2018'!$G131:$R131)*('2018'!$G$5:$R$5&lt;=Master!$B$3))</f>
        <v>7122725</v>
      </c>
      <c r="I37" s="190">
        <f t="shared" si="0"/>
        <v>-2798647.45</v>
      </c>
      <c r="J37" s="191">
        <f t="shared" si="1"/>
        <v>-0.39291808261585282</v>
      </c>
      <c r="K37" s="189">
        <f>+SUMPRODUCT(('2016'!$G37:$R37)*('2016'!$G$5:$R$5&lt;=Master!$B$3))</f>
        <v>3853176.02</v>
      </c>
      <c r="L37" s="190">
        <f t="shared" si="7"/>
        <v>470901.5299999998</v>
      </c>
      <c r="M37" s="192">
        <f t="shared" si="2"/>
        <v>0.12221126871852572</v>
      </c>
      <c r="N37" s="189">
        <f>+INDEX('2018'!$1:$1048576,MATCH('Analytics - 2018'!$A37,'2018'!$A:$A,0),MATCH('Analytics - 2018'!$N$6,'2018'!$6:$6,0))</f>
        <v>4324077.55</v>
      </c>
      <c r="O37" s="189">
        <f>+INDEX('2018'!$1:$1048576,MATCH(CONCATENATE('Analytics - 2018'!$A37,"p"),'2018'!$A:$A,0),MATCH('Analytics - 2018'!$O$6,'2018'!$100:$100,0))</f>
        <v>7122725</v>
      </c>
      <c r="P37" s="190">
        <f t="shared" si="3"/>
        <v>-2798647.45</v>
      </c>
      <c r="Q37" s="191">
        <f t="shared" si="4"/>
        <v>-0.39291808261585282</v>
      </c>
      <c r="R37" s="189">
        <f>+SUMPRODUCT(('2017'!$G37:$R37)*('2017'!$G$5:$R$5&lt;=Master!$B$3))</f>
        <v>3229720.9</v>
      </c>
      <c r="S37" s="190">
        <f t="shared" si="5"/>
        <v>1094356.6499999999</v>
      </c>
      <c r="T37" s="192">
        <f t="shared" si="6"/>
        <v>0.33883938701947902</v>
      </c>
    </row>
    <row r="38" spans="1:20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f>+SUMPRODUCT(('2018'!$G38:$R38)*('2018'!$G$5:$R$5&lt;=Master!$B$3)*($A38='2018'!$A$10:$A$65))</f>
        <v>175603.34</v>
      </c>
      <c r="H38" s="189">
        <f>+SUMPRODUCT(('2018'!$G132:$R132)*('2018'!$G$5:$R$5&lt;=Master!$B$3))</f>
        <v>800010.93333333347</v>
      </c>
      <c r="I38" s="190">
        <f t="shared" si="0"/>
        <v>-624407.5933333335</v>
      </c>
      <c r="J38" s="191">
        <f t="shared" si="1"/>
        <v>-0.78049882484939381</v>
      </c>
      <c r="K38" s="189">
        <f>+SUMPRODUCT(('2016'!$G38:$R38)*('2016'!$G$5:$R$5&lt;=Master!$B$3))</f>
        <v>732339.00999999978</v>
      </c>
      <c r="L38" s="190">
        <f t="shared" si="7"/>
        <v>-556735.66999999981</v>
      </c>
      <c r="M38" s="192">
        <f t="shared" si="2"/>
        <v>-0.7602157776628613</v>
      </c>
      <c r="N38" s="189">
        <f>+INDEX('2018'!$1:$1048576,MATCH('Analytics - 2018'!$A38,'2018'!$A:$A,0),MATCH('Analytics - 2018'!$N$6,'2018'!$6:$6,0))</f>
        <v>175603.34</v>
      </c>
      <c r="O38" s="189">
        <f>+INDEX('2018'!$1:$1048576,MATCH(CONCATENATE('Analytics - 2018'!$A38,"p"),'2018'!$A:$A,0),MATCH('Analytics - 2018'!$O$6,'2018'!$100:$100,0))</f>
        <v>800010.93333333347</v>
      </c>
      <c r="P38" s="190">
        <f t="shared" si="3"/>
        <v>-624407.5933333335</v>
      </c>
      <c r="Q38" s="191">
        <f t="shared" si="4"/>
        <v>-0.78049882484939381</v>
      </c>
      <c r="R38" s="189">
        <f>+SUMPRODUCT(('2017'!$G38:$R38)*('2017'!$G$5:$R$5&lt;=Master!$B$3))</f>
        <v>576439.54</v>
      </c>
      <c r="S38" s="190">
        <f t="shared" si="5"/>
        <v>-400836.20000000007</v>
      </c>
      <c r="T38" s="192">
        <f t="shared" si="6"/>
        <v>-0.69536555386190202</v>
      </c>
    </row>
    <row r="39" spans="1:20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f>+SUMPRODUCT(('2018'!$G39:$R39)*('2018'!$G$5:$R$5&lt;=Master!$B$3)*($A39='2018'!$A$10:$A$65))</f>
        <v>31033.66</v>
      </c>
      <c r="H39" s="189">
        <f>+SUMPRODUCT(('2018'!$G133:$R133)*('2018'!$G$5:$R$5&lt;=Master!$B$3))</f>
        <v>2250983.3333333335</v>
      </c>
      <c r="I39" s="190">
        <f t="shared" si="0"/>
        <v>-2219949.6733333333</v>
      </c>
      <c r="J39" s="191">
        <f t="shared" si="1"/>
        <v>-0.98621328752619231</v>
      </c>
      <c r="K39" s="189">
        <f>+SUMPRODUCT(('2016'!$G39:$R39)*('2016'!$G$5:$R$5&lt;=Master!$B$3))</f>
        <v>10079.34</v>
      </c>
      <c r="L39" s="190">
        <f t="shared" si="7"/>
        <v>20954.32</v>
      </c>
      <c r="M39" s="192">
        <f t="shared" si="2"/>
        <v>2.0789377082229592</v>
      </c>
      <c r="N39" s="189">
        <f>+INDEX('2018'!$1:$1048576,MATCH('Analytics - 2018'!$A39,'2018'!$A:$A,0),MATCH('Analytics - 2018'!$N$6,'2018'!$6:$6,0))</f>
        <v>31033.66</v>
      </c>
      <c r="O39" s="189">
        <f>+INDEX('2018'!$1:$1048576,MATCH(CONCATENATE('Analytics - 2018'!$A39,"p"),'2018'!$A:$A,0),MATCH('Analytics - 2018'!$O$6,'2018'!$100:$100,0))</f>
        <v>2250983.3333333335</v>
      </c>
      <c r="P39" s="190">
        <f t="shared" si="3"/>
        <v>-2219949.6733333333</v>
      </c>
      <c r="Q39" s="191">
        <f t="shared" si="4"/>
        <v>-0.98621328752619231</v>
      </c>
      <c r="R39" s="189">
        <f>+SUMPRODUCT(('2017'!$G39:$R39)*('2017'!$G$5:$R$5&lt;=Master!$B$3))</f>
        <v>1010</v>
      </c>
      <c r="S39" s="190">
        <f t="shared" si="5"/>
        <v>30023.66</v>
      </c>
      <c r="T39" s="192">
        <f t="shared" si="6"/>
        <v>29.726396039603959</v>
      </c>
    </row>
    <row r="40" spans="1:20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f>+SUMPRODUCT(('2018'!$G40:$R40)*('2018'!$G$5:$R$5&lt;=Master!$B$3)*($A40='2018'!$A$10:$A$65))</f>
        <v>585935.19999999995</v>
      </c>
      <c r="H40" s="189">
        <f>+SUMPRODUCT(('2018'!$G134:$R134)*('2018'!$G$5:$R$5&lt;=Master!$B$3))</f>
        <v>2581823.9339999999</v>
      </c>
      <c r="I40" s="190">
        <f t="shared" si="0"/>
        <v>-1995888.7339999999</v>
      </c>
      <c r="J40" s="191">
        <f t="shared" si="1"/>
        <v>-0.77305377323223778</v>
      </c>
      <c r="K40" s="189">
        <f>+SUMPRODUCT(('2016'!$G40:$R40)*('2016'!$G$5:$R$5&lt;=Master!$B$3))</f>
        <v>957980.63</v>
      </c>
      <c r="L40" s="190">
        <f t="shared" si="7"/>
        <v>-372045.43000000005</v>
      </c>
      <c r="M40" s="192">
        <f t="shared" si="2"/>
        <v>-0.38836425116445206</v>
      </c>
      <c r="N40" s="189">
        <f>+INDEX('2018'!$1:$1048576,MATCH('Analytics - 2018'!$A40,'2018'!$A:$A,0),MATCH('Analytics - 2018'!$N$6,'2018'!$6:$6,0))</f>
        <v>585935.19999999995</v>
      </c>
      <c r="O40" s="189">
        <f>+INDEX('2018'!$1:$1048576,MATCH(CONCATENATE('Analytics - 2018'!$A40,"p"),'2018'!$A:$A,0),MATCH('Analytics - 2018'!$O$6,'2018'!$100:$100,0))</f>
        <v>2581823.9339999999</v>
      </c>
      <c r="P40" s="190">
        <f t="shared" si="3"/>
        <v>-1995888.7339999999</v>
      </c>
      <c r="Q40" s="191">
        <f t="shared" si="4"/>
        <v>-0.77305377323223778</v>
      </c>
      <c r="R40" s="189">
        <f>+SUMPRODUCT(('2017'!$G40:$R40)*('2017'!$G$5:$R$5&lt;=Master!$B$3))</f>
        <v>641900.81999999995</v>
      </c>
      <c r="S40" s="190">
        <f t="shared" si="5"/>
        <v>-55965.619999999995</v>
      </c>
      <c r="T40" s="192">
        <f t="shared" si="6"/>
        <v>-8.718733214891361E-2</v>
      </c>
    </row>
    <row r="41" spans="1:20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f>+SUMPRODUCT(('2018'!$G41:$R41)*('2018'!$G$5:$R$5&lt;=Master!$B$3)*($A41='2018'!$A$10:$A$65))</f>
        <v>3266992.16</v>
      </c>
      <c r="H41" s="189">
        <f>+SUMPRODUCT(('2018'!$G135:$R135)*('2018'!$G$5:$R$5&lt;=Master!$B$3))</f>
        <v>3322124.294666667</v>
      </c>
      <c r="I41" s="190">
        <f t="shared" si="0"/>
        <v>-55132.134666666854</v>
      </c>
      <c r="J41" s="191">
        <f t="shared" si="1"/>
        <v>-1.6595446099104683E-2</v>
      </c>
      <c r="K41" s="189">
        <f>+SUMPRODUCT(('2016'!$G41:$R41)*('2016'!$G$5:$R$5&lt;=Master!$B$3))</f>
        <v>574365.92000000016</v>
      </c>
      <c r="L41" s="190">
        <f t="shared" si="7"/>
        <v>2692626.24</v>
      </c>
      <c r="M41" s="192">
        <f t="shared" si="2"/>
        <v>4.6879979229965443</v>
      </c>
      <c r="N41" s="189">
        <f>+INDEX('2018'!$1:$1048576,MATCH('Analytics - 2018'!$A41,'2018'!$A:$A,0),MATCH('Analytics - 2018'!$N$6,'2018'!$6:$6,0))</f>
        <v>3266992.16</v>
      </c>
      <c r="O41" s="189">
        <f>+INDEX('2018'!$1:$1048576,MATCH(CONCATENATE('Analytics - 2018'!$A41,"p"),'2018'!$A:$A,0),MATCH('Analytics - 2018'!$O$6,'2018'!$100:$100,0))</f>
        <v>3322124.294666667</v>
      </c>
      <c r="P41" s="190">
        <f t="shared" si="3"/>
        <v>-55132.134666666854</v>
      </c>
      <c r="Q41" s="191">
        <f t="shared" si="4"/>
        <v>-1.6595446099104683E-2</v>
      </c>
      <c r="R41" s="189">
        <f>+SUMPRODUCT(('2017'!$G41:$R41)*('2017'!$G$5:$R$5&lt;=Master!$B$3))</f>
        <v>285927.93</v>
      </c>
      <c r="S41" s="190">
        <f t="shared" si="5"/>
        <v>2981064.23</v>
      </c>
      <c r="T41" s="192">
        <f t="shared" si="6"/>
        <v>10.4259287646366</v>
      </c>
    </row>
    <row r="42" spans="1:20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01">
        <f>+SUMPRODUCT(('2018'!$G42:$R42)*('2018'!$G$5:$R$5&lt;=Master!$B$3)*($A42='2018'!$A$10:$A$65))</f>
        <v>42244817.569999993</v>
      </c>
      <c r="H42" s="201">
        <f>+SUMPRODUCT(('2018'!$G136:$R136)*('2018'!$G$5:$R$5&lt;=Master!$B$3))</f>
        <v>45950724.162500009</v>
      </c>
      <c r="I42" s="220">
        <f t="shared" si="0"/>
        <v>-3705906.5925000161</v>
      </c>
      <c r="J42" s="221">
        <f t="shared" si="1"/>
        <v>-8.0649579740995181E-2</v>
      </c>
      <c r="K42" s="201">
        <f>+SUMPRODUCT(('2016'!$G42:$R42)*('2016'!$G$5:$R$5&lt;=Master!$B$3))</f>
        <v>39736214.529999994</v>
      </c>
      <c r="L42" s="220">
        <f t="shared" si="7"/>
        <v>2508603.0399999991</v>
      </c>
      <c r="M42" s="222">
        <f t="shared" si="2"/>
        <v>6.3131404681391112E-2</v>
      </c>
      <c r="N42" s="201">
        <f>+INDEX('2018'!$1:$1048576,MATCH('Analytics - 2018'!$A42,'2018'!$A:$A,0),MATCH('Analytics - 2018'!$N$6,'2018'!$6:$6,0))</f>
        <v>42244817.569999993</v>
      </c>
      <c r="O42" s="201">
        <f>+INDEX('2018'!$1:$1048576,MATCH(CONCATENATE('Analytics - 2018'!$A42,"p"),'2018'!$A:$A,0),MATCH('Analytics - 2018'!$O$6,'2018'!$100:$100,0))</f>
        <v>45950724.162500009</v>
      </c>
      <c r="P42" s="220">
        <f t="shared" si="3"/>
        <v>-3705906.5925000161</v>
      </c>
      <c r="Q42" s="221">
        <f t="shared" si="4"/>
        <v>-8.0649579740995181E-2</v>
      </c>
      <c r="R42" s="201">
        <f>+SUMPRODUCT(('2017'!$G42:$R42)*('2017'!$G$5:$R$5&lt;=Master!$B$3))</f>
        <v>43853641.199999996</v>
      </c>
      <c r="S42" s="220">
        <f t="shared" si="5"/>
        <v>-1608823.6300000027</v>
      </c>
      <c r="T42" s="222">
        <f t="shared" si="6"/>
        <v>-3.6686204063711925E-2</v>
      </c>
    </row>
    <row r="43" spans="1:20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+SUMPRODUCT(('2018'!$G43:$R43)*('2018'!$G$5:$R$5&lt;=Master!$B$3)*($A43='2018'!$A$10:$A$65))</f>
        <v>6003212.1200000001</v>
      </c>
      <c r="H43" s="189">
        <f>+SUMPRODUCT(('2018'!$G137:$R137)*('2018'!$G$5:$R$5&lt;=Master!$B$3))</f>
        <v>6651000</v>
      </c>
      <c r="I43" s="190">
        <f t="shared" si="0"/>
        <v>-647787.87999999989</v>
      </c>
      <c r="J43" s="191">
        <f t="shared" si="1"/>
        <v>-9.7397065102992064E-2</v>
      </c>
      <c r="K43" s="189">
        <f>+SUMPRODUCT(('2016'!$G43:$R43)*('2016'!$G$5:$R$5&lt;=Master!$B$3))</f>
        <v>4897395.42</v>
      </c>
      <c r="L43" s="190">
        <f t="shared" si="7"/>
        <v>1105816.7000000002</v>
      </c>
      <c r="M43" s="192">
        <f t="shared" si="2"/>
        <v>0.22579689920157597</v>
      </c>
      <c r="N43" s="189">
        <f>+INDEX('2018'!$1:$1048576,MATCH('Analytics - 2018'!$A43,'2018'!$A:$A,0),MATCH('Analytics - 2018'!$N$6,'2018'!$6:$6,0))</f>
        <v>6003212.1200000001</v>
      </c>
      <c r="O43" s="189">
        <f>+INDEX('2018'!$1:$1048576,MATCH(CONCATENATE('Analytics - 2018'!$A43,"p"),'2018'!$A:$A,0),MATCH('Analytics - 2018'!$O$6,'2018'!$100:$100,0))</f>
        <v>6651000</v>
      </c>
      <c r="P43" s="190">
        <f t="shared" si="3"/>
        <v>-647787.87999999989</v>
      </c>
      <c r="Q43" s="191">
        <f t="shared" si="4"/>
        <v>-9.7397065102992064E-2</v>
      </c>
      <c r="R43" s="189">
        <f>+SUMPRODUCT(('2017'!$G43:$R43)*('2017'!$G$5:$R$5&lt;=Master!$B$3))</f>
        <v>10235148.66</v>
      </c>
      <c r="S43" s="190">
        <f t="shared" si="5"/>
        <v>-4231936.54</v>
      </c>
      <c r="T43" s="192">
        <f t="shared" si="6"/>
        <v>-0.41347094024523923</v>
      </c>
    </row>
    <row r="44" spans="1:20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+SUMPRODUCT(('2018'!$G44:$R44)*('2018'!$G$5:$R$5&lt;=Master!$B$3)*($A44='2018'!$A$10:$A$65))</f>
        <v>110952</v>
      </c>
      <c r="H44" s="189">
        <f>+SUMPRODUCT(('2018'!$G138:$R138)*('2018'!$G$5:$R$5&lt;=Master!$B$3))</f>
        <v>1699899.96</v>
      </c>
      <c r="I44" s="190">
        <f t="shared" si="0"/>
        <v>-1588947.96</v>
      </c>
      <c r="J44" s="191">
        <f t="shared" si="1"/>
        <v>-0.93473027671581332</v>
      </c>
      <c r="K44" s="189">
        <f>+SUMPRODUCT(('2016'!$G44:$R44)*('2016'!$G$5:$R$5&lt;=Master!$B$3))</f>
        <v>743628.17999999993</v>
      </c>
      <c r="L44" s="190">
        <f t="shared" si="7"/>
        <v>-632676.17999999993</v>
      </c>
      <c r="M44" s="192">
        <f t="shared" si="2"/>
        <v>-0.85079640204060047</v>
      </c>
      <c r="N44" s="189">
        <f>+INDEX('2018'!$1:$1048576,MATCH('Analytics - 2018'!$A44,'2018'!$A:$A,0),MATCH('Analytics - 2018'!$N$6,'2018'!$6:$6,0))</f>
        <v>110952</v>
      </c>
      <c r="O44" s="189">
        <f>+INDEX('2018'!$1:$1048576,MATCH(CONCATENATE('Analytics - 2018'!$A44,"p"),'2018'!$A:$A,0),MATCH('Analytics - 2018'!$O$6,'2018'!$100:$100,0))</f>
        <v>1699899.96</v>
      </c>
      <c r="P44" s="190">
        <f t="shared" si="3"/>
        <v>-1588947.96</v>
      </c>
      <c r="Q44" s="191">
        <f t="shared" si="4"/>
        <v>-0.93473027671581332</v>
      </c>
      <c r="R44" s="189">
        <f>+SUMPRODUCT(('2017'!$G44:$R44)*('2017'!$G$5:$R$5&lt;=Master!$B$3))</f>
        <v>173100.67</v>
      </c>
      <c r="S44" s="190">
        <f t="shared" si="5"/>
        <v>-62148.670000000013</v>
      </c>
      <c r="T44" s="192">
        <f t="shared" si="6"/>
        <v>-0.35903194366607594</v>
      </c>
    </row>
    <row r="45" spans="1:20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+SUMPRODUCT(('2018'!$G45:$R45)*('2018'!$G$5:$R$5&lt;=Master!$B$3)*($A45='2018'!$A$10:$A$65))</f>
        <v>34029606.390000001</v>
      </c>
      <c r="H45" s="189">
        <f>+SUMPRODUCT(('2018'!$G139:$R139)*('2018'!$G$5:$R$5&lt;=Master!$B$3))</f>
        <v>35472732.535833336</v>
      </c>
      <c r="I45" s="190">
        <f t="shared" si="0"/>
        <v>-1443126.1458333358</v>
      </c>
      <c r="J45" s="191">
        <f t="shared" si="1"/>
        <v>-4.0682689002758399E-2</v>
      </c>
      <c r="K45" s="189">
        <f>+SUMPRODUCT(('2016'!$G45:$R45)*('2016'!$G$5:$R$5&lt;=Master!$B$3))</f>
        <v>32292499.949999999</v>
      </c>
      <c r="L45" s="190">
        <f t="shared" si="7"/>
        <v>1737106.4400000013</v>
      </c>
      <c r="M45" s="192">
        <f t="shared" si="2"/>
        <v>5.3792875828432063E-2</v>
      </c>
      <c r="N45" s="189">
        <f>+INDEX('2018'!$1:$1048576,MATCH('Analytics - 2018'!$A45,'2018'!$A:$A,0),MATCH('Analytics - 2018'!$N$6,'2018'!$6:$6,0))</f>
        <v>34029606.390000001</v>
      </c>
      <c r="O45" s="189">
        <f>+INDEX('2018'!$1:$1048576,MATCH(CONCATENATE('Analytics - 2018'!$A45,"p"),'2018'!$A:$A,0),MATCH('Analytics - 2018'!$O$6,'2018'!$100:$100,0))</f>
        <v>35472732.535833336</v>
      </c>
      <c r="P45" s="190">
        <f t="shared" si="3"/>
        <v>-1443126.1458333358</v>
      </c>
      <c r="Q45" s="191">
        <f t="shared" si="4"/>
        <v>-4.0682689002758399E-2</v>
      </c>
      <c r="R45" s="189">
        <f>+SUMPRODUCT(('2017'!$G45:$R45)*('2017'!$G$5:$R$5&lt;=Master!$B$3))</f>
        <v>32976338.859999999</v>
      </c>
      <c r="S45" s="190">
        <f t="shared" si="5"/>
        <v>1053267.5300000012</v>
      </c>
      <c r="T45" s="192">
        <f t="shared" si="6"/>
        <v>3.1940099065321137E-2</v>
      </c>
    </row>
    <row r="46" spans="1:20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+SUMPRODUCT(('2018'!$G46:$R46)*('2018'!$G$5:$R$5&lt;=Master!$B$3)*($A46='2018'!$A$10:$A$65))</f>
        <v>1365364.87</v>
      </c>
      <c r="H46" s="189">
        <f>+SUMPRODUCT(('2018'!$G140:$R140)*('2018'!$G$5:$R$5&lt;=Master!$B$3))</f>
        <v>1375008.3333333333</v>
      </c>
      <c r="I46" s="190">
        <f t="shared" si="0"/>
        <v>-9643.463333333144</v>
      </c>
      <c r="J46" s="191">
        <f t="shared" si="1"/>
        <v>-7.0133853734218876E-3</v>
      </c>
      <c r="K46" s="189">
        <f>+SUMPRODUCT(('2016'!$G46:$R46)*('2016'!$G$5:$R$5&lt;=Master!$B$3))</f>
        <v>1150369.68</v>
      </c>
      <c r="L46" s="190">
        <f t="shared" si="7"/>
        <v>214995.19000000018</v>
      </c>
      <c r="M46" s="192">
        <f t="shared" si="2"/>
        <v>0.18689226058183328</v>
      </c>
      <c r="N46" s="189">
        <f>+INDEX('2018'!$1:$1048576,MATCH('Analytics - 2018'!$A46,'2018'!$A:$A,0),MATCH('Analytics - 2018'!$N$6,'2018'!$6:$6,0))</f>
        <v>1365364.87</v>
      </c>
      <c r="O46" s="189">
        <f>+INDEX('2018'!$1:$1048576,MATCH(CONCATENATE('Analytics - 2018'!$A46,"p"),'2018'!$A:$A,0),MATCH('Analytics - 2018'!$O$6,'2018'!$100:$100,0))</f>
        <v>1375008.3333333333</v>
      </c>
      <c r="P46" s="190">
        <f t="shared" si="3"/>
        <v>-9643.463333333144</v>
      </c>
      <c r="Q46" s="191">
        <f t="shared" si="4"/>
        <v>-7.0133853734218876E-3</v>
      </c>
      <c r="R46" s="189">
        <f>+SUMPRODUCT(('2017'!$G46:$R46)*('2017'!$G$5:$R$5&lt;=Master!$B$3))</f>
        <v>202511.01</v>
      </c>
      <c r="S46" s="190">
        <f t="shared" si="5"/>
        <v>1162853.8600000001</v>
      </c>
      <c r="T46" s="192">
        <f t="shared" si="6"/>
        <v>5.7421759932953771</v>
      </c>
    </row>
    <row r="47" spans="1:20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+SUMPRODUCT(('2018'!$G47:$R47)*('2018'!$G$5:$R$5&lt;=Master!$B$3)*($A47='2018'!$A$10:$A$65))</f>
        <v>735682.19</v>
      </c>
      <c r="H47" s="189">
        <f>+SUMPRODUCT(('2018'!$G141:$R141)*('2018'!$G$5:$R$5&lt;=Master!$B$3))</f>
        <v>752083.33333333337</v>
      </c>
      <c r="I47" s="190">
        <f t="shared" si="0"/>
        <v>-16401.143333333428</v>
      </c>
      <c r="J47" s="191">
        <f t="shared" si="1"/>
        <v>-2.1807614404432241E-2</v>
      </c>
      <c r="K47" s="189">
        <f>+SUMPRODUCT(('2016'!$G47:$R47)*('2016'!$G$5:$R$5&lt;=Master!$B$3))</f>
        <v>652321.29999999981</v>
      </c>
      <c r="L47" s="190">
        <f t="shared" si="7"/>
        <v>83360.89000000013</v>
      </c>
      <c r="M47" s="192">
        <f t="shared" si="2"/>
        <v>0.12779115138506159</v>
      </c>
      <c r="N47" s="189">
        <f>+INDEX('2018'!$1:$1048576,MATCH('Analytics - 2018'!$A47,'2018'!$A:$A,0),MATCH('Analytics - 2018'!$N$6,'2018'!$6:$6,0))</f>
        <v>735682.19</v>
      </c>
      <c r="O47" s="189">
        <f>+INDEX('2018'!$1:$1048576,MATCH(CONCATENATE('Analytics - 2018'!$A47,"p"),'2018'!$A:$A,0),MATCH('Analytics - 2018'!$O$6,'2018'!$100:$100,0))</f>
        <v>752083.33333333337</v>
      </c>
      <c r="P47" s="190">
        <f t="shared" si="3"/>
        <v>-16401.143333333428</v>
      </c>
      <c r="Q47" s="191">
        <f t="shared" si="4"/>
        <v>-2.1807614404432241E-2</v>
      </c>
      <c r="R47" s="189">
        <f>+SUMPRODUCT(('2017'!$G47:$R47)*('2017'!$G$5:$R$5&lt;=Master!$B$3))</f>
        <v>266542</v>
      </c>
      <c r="S47" s="190">
        <f t="shared" si="5"/>
        <v>469140.18999999994</v>
      </c>
      <c r="T47" s="192">
        <f t="shared" si="6"/>
        <v>1.760098558576134</v>
      </c>
    </row>
    <row r="48" spans="1:20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f>+SUMPRODUCT(('2018'!$G48:$R48)*('2018'!$G$5:$R$5&lt;=Master!$B$3)*($A48='2018'!$A$10:$A$65))</f>
        <v>11036841.98</v>
      </c>
      <c r="H48" s="201">
        <f>+SUMPRODUCT(('2018'!$G142:$R142)*('2018'!$G$5:$R$5&lt;=Master!$B$3))</f>
        <v>15295211.558333334</v>
      </c>
      <c r="I48" s="202">
        <f t="shared" si="0"/>
        <v>-4258369.5783333331</v>
      </c>
      <c r="J48" s="203">
        <f t="shared" si="1"/>
        <v>-0.27841194363952637</v>
      </c>
      <c r="K48" s="201">
        <f>+SUMPRODUCT(('2016'!$G48:$R48)*('2016'!$G$5:$R$5&lt;=Master!$B$3))</f>
        <v>5182408.62</v>
      </c>
      <c r="L48" s="202">
        <f t="shared" si="7"/>
        <v>5854433.3600000003</v>
      </c>
      <c r="M48" s="204">
        <f t="shared" si="2"/>
        <v>1.1296742092868781</v>
      </c>
      <c r="N48" s="201">
        <f>+INDEX('2018'!$1:$1048576,MATCH('Analytics - 2018'!$A48,'2018'!$A:$A,0),MATCH('Analytics - 2018'!$N$6,'2018'!$6:$6,0))</f>
        <v>11036841.98</v>
      </c>
      <c r="O48" s="201">
        <f>+INDEX('2018'!$1:$1048576,MATCH(CONCATENATE('Analytics - 2018'!$A48,"p"),'2018'!$A:$A,0),MATCH('Analytics - 2018'!$O$6,'2018'!$100:$100,0))</f>
        <v>15295211.558333334</v>
      </c>
      <c r="P48" s="202">
        <f t="shared" si="3"/>
        <v>-4258369.5783333331</v>
      </c>
      <c r="Q48" s="203">
        <f t="shared" si="4"/>
        <v>-0.27841194363952637</v>
      </c>
      <c r="R48" s="201">
        <f>+SUMPRODUCT(('2017'!$G48:$R48)*('2017'!$G$5:$R$5&lt;=Master!$B$3))</f>
        <v>5367351.82</v>
      </c>
      <c r="S48" s="202">
        <f t="shared" si="5"/>
        <v>5669490.1600000001</v>
      </c>
      <c r="T48" s="204">
        <f t="shared" si="6"/>
        <v>1.0562918828749335</v>
      </c>
    </row>
    <row r="49" spans="1:20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402">
        <f>+SUMPRODUCT(('2018'!$G49:$R49)*('2018'!$G$5:$R$5&lt;=Master!$B$3)*($A49='2018'!$A$10:$A$65))</f>
        <v>2060574.27</v>
      </c>
      <c r="H49" s="201">
        <f>+SUMPRODUCT(('2018'!$G143:$R143)*('2018'!$G$5:$R$5&lt;=Master!$B$3))</f>
        <v>21472083.333333332</v>
      </c>
      <c r="I49" s="202">
        <f t="shared" si="0"/>
        <v>-19411509.063333333</v>
      </c>
      <c r="J49" s="203">
        <f t="shared" si="1"/>
        <v>-0.90403473021170899</v>
      </c>
      <c r="K49" s="201">
        <f>+SUMPRODUCT(('2016'!$G49:$R49)*('2016'!$G$5:$R$5&lt;=Master!$B$3))</f>
        <v>350458.43</v>
      </c>
      <c r="L49" s="202">
        <f t="shared" si="7"/>
        <v>1710115.8400000001</v>
      </c>
      <c r="M49" s="204">
        <f t="shared" si="2"/>
        <v>4.8796538864823429</v>
      </c>
      <c r="N49" s="402">
        <f>+INDEX('2018'!$1:$1048576,MATCH('Analytics - 2018'!$A49,'2018'!$A:$A,0),MATCH('Analytics - 2018'!$N$6,'2018'!$6:$6,0))</f>
        <v>2060574.27</v>
      </c>
      <c r="O49" s="201">
        <f>+INDEX('2018'!$1:$1048576,MATCH(CONCATENATE('Analytics - 2018'!$A49,"p"),'2018'!$A:$A,0),MATCH('Analytics - 2018'!$O$6,'2018'!$100:$100,0))</f>
        <v>21472083.333333332</v>
      </c>
      <c r="P49" s="202">
        <f t="shared" si="3"/>
        <v>-19411509.063333333</v>
      </c>
      <c r="Q49" s="203">
        <f t="shared" si="4"/>
        <v>-0.90403473021170899</v>
      </c>
      <c r="R49" s="402">
        <f>+SUMPRODUCT(('2017'!$G49:$R49)*('2017'!$G$5:$R$5&lt;=Master!$B$3))</f>
        <v>109644.44</v>
      </c>
      <c r="S49" s="202">
        <f t="shared" si="5"/>
        <v>1950929.83</v>
      </c>
      <c r="T49" s="204">
        <f t="shared" si="6"/>
        <v>17.793239949057153</v>
      </c>
    </row>
    <row r="50" spans="1:20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f>+SUMPRODUCT(('2018'!$G50:$R50)*('2018'!$G$5:$R$5&lt;=Master!$B$3)*($A50='2018'!$A$10:$A$65))</f>
        <v>5000</v>
      </c>
      <c r="H50" s="189">
        <f>+SUMPRODUCT(('2018'!$G144:$R144)*('2018'!$G$5:$R$5&lt;=Master!$B$3))</f>
        <v>239583.41666666666</v>
      </c>
      <c r="I50" s="190">
        <f>G50-H50</f>
        <v>-234583.41666666666</v>
      </c>
      <c r="J50" s="344">
        <f t="shared" si="1"/>
        <v>-0.97913044204158539</v>
      </c>
      <c r="K50" s="189">
        <f>+SUMPRODUCT(('2016'!$G50:$R50)*('2016'!$G$5:$R$5&lt;=Master!$B$3))</f>
        <v>138166.66999999998</v>
      </c>
      <c r="L50" s="350">
        <f t="shared" si="7"/>
        <v>-133166.66999999998</v>
      </c>
      <c r="M50" s="353">
        <f t="shared" si="2"/>
        <v>-0.96381182234470875</v>
      </c>
      <c r="N50" s="189">
        <f>+INDEX('2018'!$1:$1048576,MATCH('Analytics - 2018'!$A50,'2018'!$A:$A,0),MATCH('Analytics - 2018'!$N$6,'2018'!$6:$6,0))</f>
        <v>5000</v>
      </c>
      <c r="O50" s="189">
        <f>+INDEX('2018'!$1:$1048576,MATCH(CONCATENATE('Analytics - 2018'!$A50,"p"),'2018'!$A:$A,0),MATCH('Analytics - 2018'!$O$6,'2018'!$100:$100,0))</f>
        <v>239583.41666666666</v>
      </c>
      <c r="P50" s="190">
        <f t="shared" si="3"/>
        <v>-234583.41666666666</v>
      </c>
      <c r="Q50" s="344">
        <f t="shared" si="4"/>
        <v>-0.97913044204158539</v>
      </c>
      <c r="R50" s="189">
        <f>+SUMPRODUCT(('2017'!$G50:$R50)*('2017'!$G$5:$R$5&lt;=Master!$B$3))</f>
        <v>0</v>
      </c>
      <c r="S50" s="350">
        <f t="shared" si="5"/>
        <v>5000</v>
      </c>
      <c r="T50" s="353" t="str">
        <f t="shared" si="6"/>
        <v>…</v>
      </c>
    </row>
    <row r="51" spans="1:20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f>+SUMPRODUCT(('2018'!$G51:$R51)*('2018'!$G$5:$R$5&lt;=Master!$B$3)*($A51='2018'!$A$10:$A$65))</f>
        <v>190000</v>
      </c>
      <c r="H51" s="189">
        <f>+SUMPRODUCT(('2018'!$G145:$R145)*('2018'!$G$5:$R$5&lt;=Master!$B$3))</f>
        <v>830846.24800000002</v>
      </c>
      <c r="I51" s="190">
        <f t="shared" ref="I51:I52" si="8">G51-H51</f>
        <v>-640846.24800000002</v>
      </c>
      <c r="J51" s="345">
        <f t="shared" si="1"/>
        <v>-0.77131749651952453</v>
      </c>
      <c r="K51" s="189">
        <f>+SUMPRODUCT(('2016'!$G51:$R51)*('2016'!$G$5:$R$5&lt;=Master!$B$3))</f>
        <v>130000</v>
      </c>
      <c r="L51" s="351">
        <f t="shared" si="7"/>
        <v>60000</v>
      </c>
      <c r="M51" s="354">
        <f t="shared" si="2"/>
        <v>0.46153846153846145</v>
      </c>
      <c r="N51" s="189">
        <f>+INDEX('2018'!$1:$1048576,MATCH('Analytics - 2018'!$A51,'2018'!$A:$A,0),MATCH('Analytics - 2018'!$N$6,'2018'!$6:$6,0))</f>
        <v>190000</v>
      </c>
      <c r="O51" s="189">
        <f>+INDEX('2018'!$1:$1048576,MATCH(CONCATENATE('Analytics - 2018'!$A51,"p"),'2018'!$A:$A,0),MATCH('Analytics - 2018'!$O$6,'2018'!$100:$100,0))</f>
        <v>830846.24800000002</v>
      </c>
      <c r="P51" s="190">
        <f t="shared" si="3"/>
        <v>-640846.24800000002</v>
      </c>
      <c r="Q51" s="345">
        <f t="shared" si="4"/>
        <v>-0.77131749651952453</v>
      </c>
      <c r="R51" s="189">
        <f>+SUMPRODUCT(('2017'!$G51:$R51)*('2017'!$G$5:$R$5&lt;=Master!$B$3))</f>
        <v>5000</v>
      </c>
      <c r="S51" s="351">
        <f t="shared" si="5"/>
        <v>185000</v>
      </c>
      <c r="T51" s="354">
        <f t="shared" si="6"/>
        <v>37</v>
      </c>
    </row>
    <row r="52" spans="1:20" ht="15.7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189">
        <f>+SUMPRODUCT(('2018'!$G52:$R52)*('2018'!$G$5:$R$5&lt;=Master!$B$3)*($A52='2018'!$A$10:$A$65))</f>
        <v>0</v>
      </c>
      <c r="H52" s="189">
        <f>+SUMPRODUCT(('2018'!$G146:$R146)*('2018'!$G$5:$R$5&lt;=Master!$B$3))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+SUMPRODUCT(('2016'!$G52:$R52)*('2016'!$G$5:$R$5&lt;=Master!$B$3))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+INDEX('2018'!$1:$1048576,MATCH('Analytics - 2018'!$A52,'2018'!$A:$A,0),MATCH('Analytics - 2018'!$N$6,'2018'!$6:$6,0))</f>
        <v>0</v>
      </c>
      <c r="O52" s="189">
        <f>+INDEX('2018'!$1:$1048576,MATCH(CONCATENATE('Analytics - 2018'!$A52,"p"),'2018'!$A:$A,0),MATCH('Analytics - 2018'!$O$6,'2018'!$100:$100,0))</f>
        <v>0</v>
      </c>
      <c r="P52" s="190">
        <f t="shared" si="3"/>
        <v>0</v>
      </c>
      <c r="Q52" s="346" t="str">
        <f t="shared" si="4"/>
        <v>…</v>
      </c>
      <c r="R52" s="189">
        <f>+SUMPRODUCT(('2017'!$G52:$R52)*('2017'!$G$5:$R$5&lt;=Master!$B$3))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48" t="str">
        <f>+VLOOKUP($A53,Master!$D$25:$G$223,4,FALSE)</f>
        <v>Repayments of Arrears</v>
      </c>
      <c r="C53" s="449"/>
      <c r="D53" s="449"/>
      <c r="E53" s="449"/>
      <c r="F53" s="449"/>
      <c r="G53" s="393">
        <f>+SUMPRODUCT(('2018'!$G53:$R53)*('2018'!$G$5:$R$5&lt;=Master!$B$3)*($A53='2018'!$A$10:$A$65))</f>
        <v>1671507.81</v>
      </c>
      <c r="H53" s="393">
        <f>+SUMPRODUCT(('2018'!$G53:$R53)*('2018'!$G$5:$R$5&lt;=Master!$B$3)*($A53='2018'!$A$10:$A$65))</f>
        <v>1671507.81</v>
      </c>
      <c r="I53" s="352">
        <f>G53-H53</f>
        <v>0</v>
      </c>
      <c r="J53" s="347">
        <f t="shared" si="1"/>
        <v>0</v>
      </c>
      <c r="K53" s="393">
        <f>+SUMPRODUCT(('2016'!$G53:$R53)*('2016'!$G$5:$R$5&lt;=Master!$B$3))</f>
        <v>1609721.35</v>
      </c>
      <c r="L53" s="358">
        <f t="shared" si="7"/>
        <v>61786.459999999963</v>
      </c>
      <c r="M53" s="356">
        <f t="shared" si="2"/>
        <v>3.8383326406151053E-2</v>
      </c>
      <c r="N53" s="393">
        <f>+INDEX('2018'!$1:$1048576,MATCH('Analytics - 2018'!$A53,'2018'!$A:$A,0),MATCH('Analytics - 2018'!$N$6,'2018'!$6:$6,0))</f>
        <v>1671507.81</v>
      </c>
      <c r="O53" s="393">
        <v>0</v>
      </c>
      <c r="P53" s="352">
        <f>N53-O53</f>
        <v>1671507.81</v>
      </c>
      <c r="Q53" s="347" t="str">
        <f t="shared" si="4"/>
        <v>…</v>
      </c>
      <c r="R53" s="393">
        <f>+SUMPRODUCT(('2017'!$G53:$R53)*('2017'!$G$5:$R$5&lt;=Master!$B$3))</f>
        <v>2184051.7200000002</v>
      </c>
      <c r="S53" s="358">
        <f>+N53-R53</f>
        <v>-512543.91000000015</v>
      </c>
      <c r="T53" s="356">
        <f>+IF(ISNUMBER(N53/R53-1),N53/R53-1,"…")</f>
        <v>-0.23467572004201442</v>
      </c>
    </row>
    <row r="54" spans="1:20" ht="15.75" thickBot="1">
      <c r="A54" s="170">
        <v>1005</v>
      </c>
      <c r="B54" s="448" t="str">
        <f>+VLOOKUP($A54,Master!$D$25:$G$225,4,FALSE)</f>
        <v>Net increase of liabilities</v>
      </c>
      <c r="C54" s="449"/>
      <c r="D54" s="449"/>
      <c r="E54" s="449"/>
      <c r="F54" s="449"/>
      <c r="G54" s="189">
        <f>+SUMPRODUCT(('2018'!$G54:$R54)*('2018'!$G$5:$R$5&lt;=Master!$B$3)*($A54='2018'!$A$10:$A$65))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+SUMPRODUCT(('2016'!$G54:$R54)*('2016'!$G$5:$R$5&lt;=Master!$B$3))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+INDEX('2018'!$1:$1048576,MATCH('Analytics - 2018'!$A54,'2018'!$A:$A,0),MATCH('Analytics - 2018'!$N$6,'2018'!$6:$6,0))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+SUMPRODUCT(('2017'!$G54:$R54)*('2017'!$G$5:$R$5&lt;=Master!$B$3))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54" t="str">
        <f>+VLOOKUP($A55,Master!$D$25:$G$223,4,FALSE)</f>
        <v>Surplus / deficit</v>
      </c>
      <c r="C55" s="455"/>
      <c r="D55" s="455"/>
      <c r="E55" s="455"/>
      <c r="F55" s="455"/>
      <c r="G55" s="177">
        <f>+SUMPRODUCT(('2018'!$G55:$R55)*('2018'!$G$5:$R$5&lt;=Master!$B$3)*($A55='2018'!$A$10:$A$65))</f>
        <v>-24556258.700000003</v>
      </c>
      <c r="H55" s="177">
        <f>+SUMPRODUCT(('2018'!$G149:$R149)*('2018'!$G$5:$R$5&lt;=Master!$B$3))</f>
        <v>-58121979.525097743</v>
      </c>
      <c r="I55" s="405">
        <f>+G55-H55</f>
        <v>33565720.82509774</v>
      </c>
      <c r="J55" s="349">
        <f t="shared" si="1"/>
        <v>-0.5775047770113142</v>
      </c>
      <c r="K55" s="177">
        <f>+SUMPRODUCT(('2016'!$G55:$R55)*('2016'!$G$5:$R$5&lt;=Master!$B$3))</f>
        <v>-20474692.120000005</v>
      </c>
      <c r="L55" s="359">
        <f t="shared" si="7"/>
        <v>-4081566.5799999982</v>
      </c>
      <c r="M55" s="357">
        <f t="shared" si="2"/>
        <v>0.1993469086655062</v>
      </c>
      <c r="N55" s="177">
        <f>+INDEX('2018'!$1:$1048576,MATCH('Analytics - 2018'!$A55,'2018'!$A:$A,0),MATCH('Analytics - 2018'!$N$6,'2018'!$6:$6,0))</f>
        <v>-24556258.700000003</v>
      </c>
      <c r="O55" s="177">
        <f>+INDEX('2018'!$1:$1048576,MATCH(CONCATENATE('Analytics - 2018'!$A55,"p"),'2018'!$A:$A,0),MATCH('Analytics - 2018'!$O$6,'2018'!$100:$100,0))</f>
        <v>-65244704.525097743</v>
      </c>
      <c r="P55" s="405">
        <f>N55-O55</f>
        <v>40688445.82509774</v>
      </c>
      <c r="Q55" s="349">
        <f t="shared" si="4"/>
        <v>-0.62362832541369051</v>
      </c>
      <c r="R55" s="177">
        <f>+SUMPRODUCT(('2017'!$G55:$R55)*('2017'!$G$5:$R$5&lt;=Master!$B$3))</f>
        <v>-21529911.37999998</v>
      </c>
      <c r="S55" s="359">
        <f t="shared" si="5"/>
        <v>-3026347.3200000226</v>
      </c>
      <c r="T55" s="357">
        <f t="shared" si="6"/>
        <v>0.14056478294710129</v>
      </c>
    </row>
    <row r="56" spans="1:20" ht="15.7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177">
        <f>+SUMPRODUCT(('2018'!$G56:$R56)*('2018'!$G$5:$R$5&lt;=Master!$B$3)*($A56='2018'!$A$10:$A$65))</f>
        <v>-20232181.150000002</v>
      </c>
      <c r="H56" s="177">
        <f>+SUMPRODUCT(('2018'!$G150:$R150)*('2018'!$G$5:$R$5&lt;=Master!$B$3))</f>
        <v>3995985.341243688</v>
      </c>
      <c r="I56" s="232">
        <f t="shared" si="0"/>
        <v>-24228166.49124369</v>
      </c>
      <c r="J56" s="233">
        <f t="shared" si="1"/>
        <v>-6.0631269692553609</v>
      </c>
      <c r="K56" s="177">
        <f>+SUMPRODUCT(('2016'!$G56:$R56)*('2016'!$G$5:$R$5&lt;=Master!$B$3))</f>
        <v>-16621516.100000005</v>
      </c>
      <c r="L56" s="232">
        <f t="shared" si="7"/>
        <v>-3610665.049999997</v>
      </c>
      <c r="M56" s="234">
        <f t="shared" si="2"/>
        <v>0.21722838207280004</v>
      </c>
      <c r="N56" s="177">
        <f>+INDEX('2018'!$1:$1048576,MATCH('Analytics - 2018'!$A56,'2018'!$A:$A,0),MATCH('Analytics - 2018'!$N$6,'2018'!$6:$6,0))</f>
        <v>-20232181.150000002</v>
      </c>
      <c r="O56" s="177">
        <f>+INDEX('2018'!$1:$1048576,MATCH(CONCATENATE('Analytics - 2018'!$A56,"p"),'2018'!$A:$A,0),MATCH('Analytics - 2018'!$O$6,'2018'!$100:$100,0))</f>
        <v>-58121979.525097743</v>
      </c>
      <c r="P56" s="232">
        <f t="shared" si="3"/>
        <v>37889798.375097737</v>
      </c>
      <c r="Q56" s="233">
        <f t="shared" si="4"/>
        <v>-0.65190137508541812</v>
      </c>
      <c r="R56" s="177">
        <f>+SUMPRODUCT(('2017'!$G56:$R56)*('2017'!$G$5:$R$5&lt;=Master!$B$3))</f>
        <v>-18300190.479999982</v>
      </c>
      <c r="S56" s="232">
        <f t="shared" si="5"/>
        <v>-1931990.6700000204</v>
      </c>
      <c r="T56" s="234">
        <f t="shared" si="6"/>
        <v>0.10557216178222117</v>
      </c>
    </row>
    <row r="57" spans="1:20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183">
        <f>+SUMPRODUCT(('2018'!$G57:$R57)*('2018'!$G$5:$R$5&lt;=Master!$B$3)*($A57='2018'!$A$10:$A$65))</f>
        <v>26200164.98</v>
      </c>
      <c r="H57" s="183">
        <f>+SUMPRODUCT(('2018'!$G150:$R150)*('2018'!$G$5:$R$5&lt;=Master!$B$3))</f>
        <v>3995985.341243688</v>
      </c>
      <c r="I57" s="220">
        <f t="shared" si="0"/>
        <v>22204179.638756312</v>
      </c>
      <c r="J57" s="221">
        <f t="shared" si="1"/>
        <v>5.5566218948755219</v>
      </c>
      <c r="K57" s="201">
        <f>+SUMPRODUCT(('2016'!$G57:$R57)*('2016'!$G$5:$R$5&lt;=Master!$B$3))</f>
        <v>33019750.740000002</v>
      </c>
      <c r="L57" s="220">
        <f t="shared" si="7"/>
        <v>-6819585.7600000016</v>
      </c>
      <c r="M57" s="222">
        <f t="shared" si="2"/>
        <v>-0.20653050393075134</v>
      </c>
      <c r="N57" s="183">
        <f>+INDEX('2018'!$1:$1048576,MATCH('Analytics - 2018'!$A57,'2018'!$A:$A,0),MATCH('Analytics - 2018'!$N$6,'2018'!$6:$6,0))</f>
        <v>26200164.98</v>
      </c>
      <c r="O57" s="183">
        <f>+INDEX('2018'!$1:$1048576,MATCH(CONCATENATE('Analytics - 2018'!$A57,"p"),'2018'!$A:$A,0),MATCH('Analytics - 2018'!$O$6,'2018'!$100:$100,0))</f>
        <v>3995985.341243688</v>
      </c>
      <c r="P57" s="220">
        <f t="shared" si="3"/>
        <v>22204179.638756312</v>
      </c>
      <c r="Q57" s="221">
        <f t="shared" si="4"/>
        <v>5.5566218948755219</v>
      </c>
      <c r="R57" s="183">
        <f>+SUMPRODUCT(('2017'!$G57:$R57)*('2017'!$G$5:$R$5&lt;=Master!$B$3))</f>
        <v>18311638.189999998</v>
      </c>
      <c r="S57" s="220">
        <f t="shared" si="5"/>
        <v>7888526.7900000028</v>
      </c>
      <c r="T57" s="222">
        <f t="shared" si="6"/>
        <v>0.43079306767364667</v>
      </c>
    </row>
    <row r="58" spans="1:20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189">
        <f>+SUMPRODUCT(('2018'!$G58:$R58)*('2018'!$G$5:$R$5&lt;=Master!$B$3)*($A58='2018'!$A$10:$A$65))</f>
        <v>24566746.16</v>
      </c>
      <c r="H58" s="189">
        <f>+SUMPRODUCT(('2018'!$G151:$R151)*('2018'!$G$5:$R$5&lt;=Master!$B$3))</f>
        <v>116701.86</v>
      </c>
      <c r="I58" s="238">
        <f t="shared" si="0"/>
        <v>24450044.300000001</v>
      </c>
      <c r="J58" s="239">
        <f t="shared" si="1"/>
        <v>209.50860851746492</v>
      </c>
      <c r="K58" s="189">
        <f>+SUMPRODUCT(('2016'!$G58:$R58)*('2016'!$G$5:$R$5&lt;=Master!$B$3))</f>
        <v>16586331.92</v>
      </c>
      <c r="L58" s="238">
        <f t="shared" si="7"/>
        <v>7980414.2400000002</v>
      </c>
      <c r="M58" s="240">
        <f t="shared" si="2"/>
        <v>0.48114400932596313</v>
      </c>
      <c r="N58" s="189">
        <f>+INDEX('2018'!$1:$1048576,MATCH('Analytics - 2018'!$A58,'2018'!$A:$A,0),MATCH('Analytics - 2018'!$N$6,'2018'!$6:$6,0))</f>
        <v>24566746.16</v>
      </c>
      <c r="O58" s="189">
        <f>+INDEX('2018'!$1:$1048576,MATCH(CONCATENATE('Analytics - 2018'!$A58,"p"),'2018'!$A:$A,0),MATCH('Analytics - 2018'!$O$6,'2018'!$100:$100,0))</f>
        <v>116701.86</v>
      </c>
      <c r="P58" s="238">
        <f t="shared" si="3"/>
        <v>24450044.300000001</v>
      </c>
      <c r="Q58" s="239">
        <f t="shared" si="4"/>
        <v>209.50860851746492</v>
      </c>
      <c r="R58" s="189">
        <f>+SUMPRODUCT(('2017'!$G58:$R58)*('2017'!$G$5:$R$5&lt;=Master!$B$3))</f>
        <v>16509330.02</v>
      </c>
      <c r="S58" s="238">
        <f t="shared" si="5"/>
        <v>8057416.1400000006</v>
      </c>
      <c r="T58" s="240">
        <f t="shared" si="6"/>
        <v>0.48805227893796754</v>
      </c>
    </row>
    <row r="59" spans="1:20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189">
        <f>+SUMPRODUCT(('2018'!$G59:$R59)*('2018'!$G$5:$R$5&lt;=Master!$B$3)*($A59='2018'!$A$10:$A$65))</f>
        <v>1633418.82</v>
      </c>
      <c r="H59" s="189">
        <f>+SUMPRODUCT(('2018'!$G152:$R152)*('2018'!$G$5:$R$5&lt;=Master!$B$3))</f>
        <v>2071825.5645770216</v>
      </c>
      <c r="I59" s="238">
        <f t="shared" si="0"/>
        <v>-438406.74457702157</v>
      </c>
      <c r="J59" s="239">
        <f t="shared" si="1"/>
        <v>-0.21160408099632921</v>
      </c>
      <c r="K59" s="189">
        <f>+SUMPRODUCT(('2016'!$G59:$R59)*('2016'!$G$5:$R$5&lt;=Master!$B$3))</f>
        <v>16433418.82</v>
      </c>
      <c r="L59" s="238">
        <f t="shared" si="7"/>
        <v>-14800000</v>
      </c>
      <c r="M59" s="240">
        <f t="shared" si="2"/>
        <v>-0.90060383430305591</v>
      </c>
      <c r="N59" s="189">
        <f>+INDEX('2018'!$1:$1048576,MATCH('Analytics - 2018'!$A59,'2018'!$A:$A,0),MATCH('Analytics - 2018'!$N$6,'2018'!$6:$6,0))</f>
        <v>1633418.82</v>
      </c>
      <c r="O59" s="189">
        <f>+INDEX('2018'!$1:$1048576,MATCH(CONCATENATE('Analytics - 2018'!$A59,"p"),'2018'!$A:$A,0),MATCH('Analytics - 2018'!$O$6,'2018'!$100:$100,0))</f>
        <v>2071825.5645770216</v>
      </c>
      <c r="P59" s="238">
        <f t="shared" si="3"/>
        <v>-438406.74457702157</v>
      </c>
      <c r="Q59" s="239">
        <f t="shared" si="4"/>
        <v>-0.21160408099632921</v>
      </c>
      <c r="R59" s="189">
        <f>+SUMPRODUCT(('2017'!$G59:$R59)*('2017'!$G$5:$R$5&lt;=Master!$B$3))</f>
        <v>1802308.17</v>
      </c>
      <c r="S59" s="238">
        <f t="shared" si="5"/>
        <v>-168889.34999999986</v>
      </c>
      <c r="T59" s="240">
        <f t="shared" si="6"/>
        <v>-9.3707254292699438E-2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+SUMPRODUCT(('2018'!$G153:$R153)*('2018'!$G$5:$R$5&lt;=Master!$B$3))</f>
        <v>1807457.9166666667</v>
      </c>
      <c r="I60" s="238">
        <f t="shared" si="0"/>
        <v>-1807457.9166666667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'2018'!G153</f>
        <v>1807457.9166666667</v>
      </c>
      <c r="P60" s="238">
        <f t="shared" si="3"/>
        <v>-1807457.9166666667</v>
      </c>
      <c r="Q60" s="239">
        <f t="shared" si="4"/>
        <v>-1</v>
      </c>
      <c r="R60" s="189">
        <f>+SUMPRODUCT(('2017'!$G60:$R60)*('2017'!$G$5:$R$5&lt;=Master!$B$3))</f>
        <v>-39841549.569999978</v>
      </c>
      <c r="S60" s="238">
        <f t="shared" si="5"/>
        <v>39841549.569999978</v>
      </c>
      <c r="T60" s="240">
        <f t="shared" si="6"/>
        <v>-1</v>
      </c>
    </row>
    <row r="61" spans="1:20" ht="15.75" thickBot="1">
      <c r="A61" s="170">
        <v>1002</v>
      </c>
      <c r="B61" s="450" t="str">
        <f>+VLOOKUP($A61,Master!$D$25:$G$223,4,FALSE)</f>
        <v>Financing needs</v>
      </c>
      <c r="C61" s="451"/>
      <c r="D61" s="451"/>
      <c r="E61" s="451"/>
      <c r="F61" s="451"/>
      <c r="G61" s="394">
        <f>+SUMPRODUCT(('2018'!$G60:$R60)*('2018'!$G$5:$R$5&lt;=Master!$B$3)*($A61='2018'!$A$10:$A$65))</f>
        <v>-50756423.680000007</v>
      </c>
      <c r="H61" s="404">
        <f>+SUMPRODUCT(('2018'!$G154:$R154)*('2018'!$G$5:$R$5&lt;=Master!$B$3))</f>
        <v>-69240689.866341427</v>
      </c>
      <c r="I61" s="406">
        <f t="shared" si="0"/>
        <v>18484266.18634142</v>
      </c>
      <c r="J61" s="407">
        <f t="shared" si="1"/>
        <v>-0.26695670164497887</v>
      </c>
      <c r="K61" s="404">
        <f>+SUMPRODUCT(('2016'!$G60:$R60)*('2016'!$G$5:$R$5&lt;=Master!$B$3))</f>
        <v>-53494442.860000007</v>
      </c>
      <c r="L61" s="406">
        <f t="shared" si="7"/>
        <v>2738019.1799999997</v>
      </c>
      <c r="M61" s="409">
        <f t="shared" si="2"/>
        <v>-5.1183245092684793E-2</v>
      </c>
      <c r="N61" s="394">
        <f>+INDEX('2018'!$1:$1048576,MATCH('Analytics - 2018'!$A61,'2018'!$A:$A,0),MATCH('Analytics - 2018'!$N$6,'2018'!$6:$6,0))</f>
        <v>-50756423.680000007</v>
      </c>
      <c r="O61" s="404">
        <f>+INDEX('2018'!$1:$1048576,MATCH(CONCATENATE('Analytics - 2018'!$A61,"p"),'2018'!$A:$A,0),MATCH('Analytics - 2018'!$O$6,'2018'!$100:$100,0))</f>
        <v>-69240689.866341427</v>
      </c>
      <c r="P61" s="406">
        <f t="shared" si="3"/>
        <v>18484266.18634142</v>
      </c>
      <c r="Q61" s="407">
        <f t="shared" si="4"/>
        <v>-0.26695670164497887</v>
      </c>
      <c r="R61" s="394">
        <f>+SUMPRODUCT(('2017'!$G61:$R61)*('2017'!$G$5:$R$5&lt;=Master!$B$3))</f>
        <v>39841549.569999978</v>
      </c>
      <c r="S61" s="406">
        <f t="shared" si="5"/>
        <v>-90597973.249999985</v>
      </c>
      <c r="T61" s="409">
        <f t="shared" si="6"/>
        <v>-2.2739570681311738</v>
      </c>
    </row>
    <row r="62" spans="1:20" ht="15.75" thickBot="1">
      <c r="A62" s="170">
        <v>1003</v>
      </c>
      <c r="B62" s="452" t="str">
        <f>+VLOOKUP($A62,Master!$D$25:$G$223,4,FALSE)</f>
        <v>Financing</v>
      </c>
      <c r="C62" s="453"/>
      <c r="D62" s="453"/>
      <c r="E62" s="453"/>
      <c r="F62" s="453"/>
      <c r="G62" s="177">
        <f>+SUMPRODUCT(('2018'!$G61:$R61)*('2018'!$G$5:$R$5&lt;=Master!$B$3)*($A62='2018'!$A$10:$A$65))</f>
        <v>50756423.680000007</v>
      </c>
      <c r="H62" s="177">
        <f>+SUMPRODUCT(('2018'!$G155:$R155)*('2018'!$G$5:$R$5&lt;=Master!$B$3))</f>
        <v>69240689.866341427</v>
      </c>
      <c r="I62" s="405">
        <f t="shared" si="0"/>
        <v>-18484266.18634142</v>
      </c>
      <c r="J62" s="408">
        <f t="shared" si="1"/>
        <v>-0.26695670164497887</v>
      </c>
      <c r="K62" s="177">
        <f>+SUMPRODUCT(('2016'!$G61:$R61)*('2016'!$G$5:$R$5&lt;=Master!$B$3))</f>
        <v>53494442.860000014</v>
      </c>
      <c r="L62" s="405">
        <f t="shared" si="7"/>
        <v>-2738019.1800000072</v>
      </c>
      <c r="M62" s="410">
        <f t="shared" si="2"/>
        <v>-5.1183245092684904E-2</v>
      </c>
      <c r="N62" s="177">
        <f>+INDEX('2018'!$1:$1048576,MATCH('Analytics - 2018'!$A62,'2018'!$A:$A,0),MATCH('Analytics - 2018'!$N$6,'2018'!$6:$6,0))</f>
        <v>50756423.680000007</v>
      </c>
      <c r="O62" s="177">
        <f>+INDEX('2018'!$1:$1048576,MATCH(CONCATENATE('Analytics - 2018'!$A62,"p"),'2018'!$A:$A,0),MATCH('Analytics - 2018'!$O$6,'2018'!$100:$100,0))</f>
        <v>69240689.866341427</v>
      </c>
      <c r="P62" s="405">
        <f t="shared" si="3"/>
        <v>-18484266.18634142</v>
      </c>
      <c r="Q62" s="408">
        <f t="shared" si="4"/>
        <v>-0.26695670164497887</v>
      </c>
      <c r="R62" s="177">
        <f>+SUMPRODUCT(('2017'!$G62:$R62)*('2017'!$G$5:$R$5&lt;=Master!$B$3))</f>
        <v>16700681.109999999</v>
      </c>
      <c r="S62" s="405">
        <f t="shared" si="5"/>
        <v>34055742.570000008</v>
      </c>
      <c r="T62" s="410">
        <f t="shared" si="6"/>
        <v>2.0391828540219343</v>
      </c>
    </row>
    <row r="63" spans="1:20">
      <c r="A63" s="170">
        <v>7511</v>
      </c>
      <c r="B63" s="446" t="str">
        <f>+VLOOKUP($A63,Master!$D$25:$G$223,4,FALSE)</f>
        <v>Domestic Loans and Borrowings</v>
      </c>
      <c r="C63" s="447"/>
      <c r="D63" s="447"/>
      <c r="E63" s="447"/>
      <c r="F63" s="447"/>
      <c r="G63" s="189">
        <f>+SUMPRODUCT(('2018'!$G62:$R62)*('2018'!$G$5:$R$5&lt;=Master!$B$3)*($A63='2018'!$A$10:$A$65))</f>
        <v>24535941.960000001</v>
      </c>
      <c r="H63" s="189">
        <f>+SUMPRODUCT(('2018'!$G156:$R156)*('2018'!$G$5:$R$5&lt;=Master!$B$3))</f>
        <v>0</v>
      </c>
      <c r="I63" s="238">
        <f t="shared" si="0"/>
        <v>24535941.960000001</v>
      </c>
      <c r="J63" s="239" t="str">
        <f t="shared" si="1"/>
        <v>…</v>
      </c>
      <c r="K63" s="189">
        <f>+SUMPRODUCT(('2016'!$G62:$R62)*('2016'!$G$5:$R$5&lt;=Master!$B$3))</f>
        <v>16400000</v>
      </c>
      <c r="L63" s="238">
        <f t="shared" si="7"/>
        <v>8135941.9600000009</v>
      </c>
      <c r="M63" s="240">
        <f t="shared" si="2"/>
        <v>0.49609402195121954</v>
      </c>
      <c r="N63" s="189">
        <f>+INDEX('2018'!$1:$1048576,MATCH('Analytics - 2018'!$A63,'2018'!$A:$A,0),MATCH('Analytics - 2018'!$N$6,'2018'!$6:$6,0))</f>
        <v>24535941.960000001</v>
      </c>
      <c r="O63" s="189">
        <f>+INDEX('2018'!$1:$1048576,MATCH(CONCATENATE('Analytics - 2018'!$A63,"p"),'2018'!$A:$A,0),MATCH('Analytics - 2018'!$O$6,'2018'!$100:$100,0))</f>
        <v>0</v>
      </c>
      <c r="P63" s="238">
        <f t="shared" si="3"/>
        <v>24535941.960000001</v>
      </c>
      <c r="Q63" s="239" t="str">
        <f t="shared" si="4"/>
        <v>…</v>
      </c>
      <c r="R63" s="189">
        <f>+SUMPRODUCT(('2017'!$G63:$R63)*('2017'!$G$5:$R$5&lt;=Master!$B$3))</f>
        <v>34554.129999999997</v>
      </c>
      <c r="S63" s="238">
        <f t="shared" si="5"/>
        <v>24501387.830000002</v>
      </c>
      <c r="T63" s="240">
        <f t="shared" si="6"/>
        <v>709.07262981299209</v>
      </c>
    </row>
    <row r="64" spans="1:20">
      <c r="A64" s="170">
        <v>7512</v>
      </c>
      <c r="B64" s="430" t="str">
        <f>+VLOOKUP($A64,Master!$D$25:$G$223,4,FALSE)</f>
        <v>Foreign Loans and Borrowings</v>
      </c>
      <c r="C64" s="431"/>
      <c r="D64" s="431"/>
      <c r="E64" s="431"/>
      <c r="F64" s="431"/>
      <c r="G64" s="189">
        <f>+SUMPRODUCT(('2018'!$G63:$R63)*('2018'!$G$5:$R$5&lt;=Master!$B$3)*($A64='2018'!$A$10:$A$65))</f>
        <v>220322.84</v>
      </c>
      <c r="H64" s="189">
        <f>+SUMPRODUCT(('2018'!$G157:$R157)*('2018'!$G$5:$R$5&lt;=Master!$B$3))</f>
        <v>24658333.329999998</v>
      </c>
      <c r="I64" s="238">
        <f t="shared" si="0"/>
        <v>-24438010.489999998</v>
      </c>
      <c r="J64" s="239">
        <f t="shared" si="1"/>
        <v>-0.99106497438202978</v>
      </c>
      <c r="K64" s="189">
        <f>+SUMPRODUCT(('2016'!$G63:$R63)*('2016'!$G$5:$R$5&lt;=Master!$B$3))</f>
        <v>329243.48</v>
      </c>
      <c r="L64" s="238">
        <f t="shared" si="7"/>
        <v>-108920.63999999998</v>
      </c>
      <c r="M64" s="240">
        <f t="shared" si="2"/>
        <v>-0.33082094746416846</v>
      </c>
      <c r="N64" s="189">
        <f>+INDEX('2018'!$1:$1048576,MATCH('Analytics - 2018'!$A64,'2018'!$A:$A,0),MATCH('Analytics - 2018'!$N$6,'2018'!$6:$6,0))</f>
        <v>220322.84</v>
      </c>
      <c r="O64" s="189">
        <f>+INDEX('2018'!$1:$1048576,MATCH(CONCATENATE('Analytics - 2018'!$A64,"p"),'2018'!$A:$A,0),MATCH('Analytics - 2018'!$O$6,'2018'!$100:$100,0))</f>
        <v>24658333.329999998</v>
      </c>
      <c r="P64" s="238">
        <f t="shared" si="3"/>
        <v>-24438010.489999998</v>
      </c>
      <c r="Q64" s="239">
        <f t="shared" si="4"/>
        <v>-0.99106497438202978</v>
      </c>
      <c r="R64" s="189">
        <f>+SUMPRODUCT(('2017'!$G64:$R64)*('2017'!$G$5:$R$5&lt;=Master!$B$3))</f>
        <v>20867.330000000002</v>
      </c>
      <c r="S64" s="238">
        <f t="shared" si="5"/>
        <v>199455.51</v>
      </c>
      <c r="T64" s="240">
        <f t="shared" si="6"/>
        <v>9.5582669177129986</v>
      </c>
    </row>
    <row r="65" spans="1:20">
      <c r="A65" s="170">
        <v>72</v>
      </c>
      <c r="B65" s="430" t="str">
        <f>+VLOOKUP($A65,Master!$D$25:$G$223,4,FALSE)</f>
        <v>Revenues from Selling Assets</v>
      </c>
      <c r="C65" s="431"/>
      <c r="D65" s="431"/>
      <c r="E65" s="431"/>
      <c r="F65" s="431"/>
      <c r="G65" s="189">
        <f>+SUMPRODUCT(('2018'!$G64:$R64)*('2018'!$G$5:$R$5&lt;=Master!$B$3)*($A65='2018'!$A$10:$A$65))</f>
        <v>136671.79999999999</v>
      </c>
      <c r="H65" s="189">
        <f>+SUMPRODUCT(('2018'!$G158:$R158)*('2018'!$G$5:$R$5&lt;=Master!$B$3))</f>
        <v>0</v>
      </c>
      <c r="I65" s="238">
        <f t="shared" si="0"/>
        <v>136671.79999999999</v>
      </c>
      <c r="J65" s="239" t="str">
        <f t="shared" si="1"/>
        <v>…</v>
      </c>
      <c r="K65" s="189">
        <f>+SUMPRODUCT(('2016'!$G64:$R64)*('2016'!$G$5:$R$5&lt;=Master!$B$3))</f>
        <v>32341.5</v>
      </c>
      <c r="L65" s="238">
        <f t="shared" si="7"/>
        <v>104330.29999999999</v>
      </c>
      <c r="M65" s="240">
        <f t="shared" si="2"/>
        <v>3.2258955212343272</v>
      </c>
      <c r="N65" s="189">
        <f>+INDEX('2018'!$1:$1048576,MATCH('Analytics - 2018'!$A65,'2018'!$A:$A,0),MATCH('Analytics - 2018'!$N$6,'2018'!$6:$6,0))</f>
        <v>136671.79999999999</v>
      </c>
      <c r="O65" s="189">
        <f>+INDEX('2018'!$1:$1048576,MATCH(CONCATENATE('Analytics - 2018'!$A65,"p"),'2018'!$A:$A,0),MATCH('Analytics - 2018'!$O$6,'2018'!$100:$100,0))</f>
        <v>0</v>
      </c>
      <c r="P65" s="238">
        <f t="shared" si="3"/>
        <v>136671.79999999999</v>
      </c>
      <c r="Q65" s="239" t="str">
        <f t="shared" si="4"/>
        <v>…</v>
      </c>
      <c r="R65" s="189">
        <f>+SUMPRODUCT(('2017'!$G65:$R65)*('2017'!$G$5:$R$5&lt;=Master!$B$3))</f>
        <v>23085446.999999978</v>
      </c>
      <c r="S65" s="238">
        <f t="shared" si="5"/>
        <v>-22948775.199999977</v>
      </c>
      <c r="T65" s="240">
        <f t="shared" si="6"/>
        <v>-0.99407974209899419</v>
      </c>
    </row>
    <row r="66" spans="1:20" ht="15.75" thickBot="1">
      <c r="A66" s="170">
        <v>1004</v>
      </c>
      <c r="B66" s="249" t="str">
        <f>+VLOOKUP($A66,Master!$D$25:$G$223,4,FALSE)</f>
        <v>Increase / decrease of deposits</v>
      </c>
      <c r="C66" s="250"/>
      <c r="D66" s="250"/>
      <c r="E66" s="250"/>
      <c r="F66" s="250"/>
      <c r="G66" s="395">
        <f>+SUMPRODUCT(('2018'!$G65:$R65)*('2018'!$G$5:$R$5&lt;=Master!$B$3)*($A66='2018'!$A$10:$A$65))</f>
        <v>25863487.080000006</v>
      </c>
      <c r="H66" s="399">
        <f>+SUMPRODUCT(('2018'!$G159:$R159)*('2018'!$G$5:$R$5&lt;=Master!$B$3))</f>
        <v>44582356.536341429</v>
      </c>
      <c r="I66" s="252">
        <f t="shared" si="0"/>
        <v>-18718869.456341423</v>
      </c>
      <c r="J66" s="253" t="str">
        <f>+IF(ISNUMBER(G65/H65-1),G65/H65-1,"…")</f>
        <v>…</v>
      </c>
      <c r="K66" s="399">
        <f>+SUMPRODUCT(('2016'!$G65:$R65)*('2016'!$G$5:$R$5&lt;=Master!$B$3))</f>
        <v>36732857.88000001</v>
      </c>
      <c r="L66" s="252">
        <f t="shared" si="7"/>
        <v>-10869370.800000004</v>
      </c>
      <c r="M66" s="254">
        <f t="shared" si="2"/>
        <v>-0.29590321655636997</v>
      </c>
      <c r="N66" s="395">
        <f>+INDEX('2018'!$1:$1048576,MATCH('Analytics - 2018'!$A66,'2018'!$A:$A,0),MATCH('Analytics - 2018'!$N$6,'2018'!$6:$6,0))</f>
        <v>25863487.080000006</v>
      </c>
      <c r="O66" s="399">
        <f>+INDEX('2018'!$1:$1048576,MATCH(CONCATENATE('Analytics - 2018'!$A66,"p"),'2018'!$A:$A,0),MATCH('Analytics - 2018'!$O$6,'2018'!$100:$100,0))</f>
        <v>44582356.536341429</v>
      </c>
      <c r="P66" s="252">
        <f t="shared" si="3"/>
        <v>-18718869.456341423</v>
      </c>
      <c r="Q66" s="253">
        <f t="shared" si="4"/>
        <v>-0.41987169164291904</v>
      </c>
      <c r="R66" s="395">
        <f>+SUMPRODUCT(('2017'!$G66:$R66)*('2017'!$G$5:$R$5&lt;=Master!$B$3))</f>
        <v>0</v>
      </c>
      <c r="S66" s="252">
        <f t="shared" si="5"/>
        <v>25863487.080000006</v>
      </c>
      <c r="T66" s="254" t="str">
        <f t="shared" si="6"/>
        <v>…</v>
      </c>
    </row>
    <row r="68" spans="1:20">
      <c r="H68" s="396"/>
    </row>
    <row r="69" spans="1:20">
      <c r="H69" s="365"/>
    </row>
  </sheetData>
  <mergeCells count="62">
    <mergeCell ref="B64:F64"/>
    <mergeCell ref="B65:F65"/>
    <mergeCell ref="B57:F57"/>
    <mergeCell ref="B58:F58"/>
    <mergeCell ref="B59:F59"/>
    <mergeCell ref="B61:F61"/>
    <mergeCell ref="B62:F62"/>
    <mergeCell ref="B63:F6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H68" sqref="H68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762</v>
      </c>
      <c r="H6" s="260" t="s">
        <v>763</v>
      </c>
      <c r="I6" s="260" t="s">
        <v>764</v>
      </c>
      <c r="J6" s="260" t="s">
        <v>765</v>
      </c>
      <c r="K6" s="260" t="s">
        <v>766</v>
      </c>
      <c r="L6" s="260" t="s">
        <v>767</v>
      </c>
      <c r="M6" s="260" t="s">
        <v>768</v>
      </c>
      <c r="N6" s="260" t="s">
        <v>769</v>
      </c>
      <c r="O6" s="260" t="s">
        <v>770</v>
      </c>
      <c r="P6" s="260" t="s">
        <v>771</v>
      </c>
      <c r="Q6" s="260" t="s">
        <v>772</v>
      </c>
      <c r="R6" s="260" t="s">
        <v>773</v>
      </c>
      <c r="S6" s="259"/>
      <c r="T6" s="259"/>
    </row>
    <row r="7" spans="1:20" ht="15" customHeight="1" thickBot="1">
      <c r="A7" s="170"/>
      <c r="B7" s="525" t="str">
        <f>+Master!G249</f>
        <v>Budget Execution</v>
      </c>
      <c r="C7" s="433"/>
      <c r="D7" s="433"/>
      <c r="E7" s="433"/>
      <c r="F7" s="433"/>
      <c r="G7" s="441">
        <v>2018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+Master!G246</f>
        <v>GDP</v>
      </c>
      <c r="T7" s="262">
        <v>4397700000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41" t="str">
        <f>+Master!G243</f>
        <v>Jan - Jan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 t="shared" ref="G10:R10" si="1">+G11+G19+SUM(G24:G28)</f>
        <v>81544844.829999998</v>
      </c>
      <c r="H10" s="177">
        <f t="shared" si="1"/>
        <v>0</v>
      </c>
      <c r="I10" s="177">
        <f t="shared" si="1"/>
        <v>0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81544844.829999998</v>
      </c>
      <c r="T10" s="266">
        <f>+S10/$T$7</f>
        <v>1.8542612008549925E-2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 t="shared" ref="G11:R11" si="2">+SUM(G12:G18)</f>
        <v>60295851.510000005</v>
      </c>
      <c r="H11" s="183">
        <f t="shared" si="2"/>
        <v>0</v>
      </c>
      <c r="I11" s="183">
        <f t="shared" si="2"/>
        <v>0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60295851.510000005</v>
      </c>
      <c r="T11" s="269">
        <f t="shared" ref="T11:T65" si="4">+S11/$T$7</f>
        <v>1.3710769609113856E-2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f>+INDEX(DataEx!$1:$1048576,MATCH('2018'!$A12,DataEx!$D:$D,0),MATCH('2018'!G$6,DataEx!$7:$7,0))</f>
        <v>3496624.83</v>
      </c>
      <c r="H12" s="189">
        <f>+INDEX(DataEx!$1:$1048576,MATCH('2018'!$A12,DataEx!$D:$D,0),MATCH('2018'!H$6,DataEx!$7:$7,0))</f>
        <v>0</v>
      </c>
      <c r="I12" s="189">
        <f>+INDEX(DataEx!$1:$1048576,MATCH('2018'!$A12,DataEx!$D:$D,0),MATCH('2018'!I$6,DataEx!$7:$7,0))</f>
        <v>0</v>
      </c>
      <c r="J12" s="189">
        <f>+INDEX(DataEx!$1:$1048576,MATCH('2018'!$A12,DataEx!$D:$D,0),MATCH('2018'!J$6,DataEx!$7:$7,0))</f>
        <v>0</v>
      </c>
      <c r="K12" s="189">
        <f>+INDEX(DataEx!$1:$1048576,MATCH('2018'!$A12,DataEx!$D:$D,0),MATCH('2018'!K$6,DataEx!$7:$7,0))</f>
        <v>0</v>
      </c>
      <c r="L12" s="189">
        <f>+INDEX(DataEx!$1:$1048576,MATCH('2018'!$A12,DataEx!$D:$D,0),MATCH('2018'!L$6,DataEx!$7:$7,0))</f>
        <v>0</v>
      </c>
      <c r="M12" s="189">
        <f>+INDEX(DataEx!$1:$1048576,MATCH('2018'!$A12,DataEx!$D:$D,0),MATCH('2018'!M$6,DataEx!$7:$7,0))</f>
        <v>0</v>
      </c>
      <c r="N12" s="189">
        <f>+INDEX(DataEx!$1:$1048576,MATCH('2018'!$A12,DataEx!$D:$D,0),MATCH('2018'!N$6,DataEx!$7:$7,0))</f>
        <v>0</v>
      </c>
      <c r="O12" s="189">
        <f>+INDEX(DataEx!$1:$1048576,MATCH('2018'!$A12,DataEx!$D:$D,0),MATCH('2018'!O$6,DataEx!$7:$7,0))</f>
        <v>0</v>
      </c>
      <c r="P12" s="189">
        <f>+INDEX(DataEx!$1:$1048576,MATCH('2018'!$A12,DataEx!$D:$D,0),MATCH('2018'!P$6,DataEx!$7:$7,0))</f>
        <v>0</v>
      </c>
      <c r="Q12" s="189">
        <f>+INDEX(DataEx!$1:$1048576,MATCH('2018'!$A12,DataEx!$D:$D,0),MATCH('2018'!Q$6,DataEx!$7:$7,0))</f>
        <v>0</v>
      </c>
      <c r="R12" s="189">
        <f>+INDEX(DataEx!$1:$1048576,MATCH('2018'!$A12,DataEx!$D:$D,0),MATCH('2018'!R$6,DataEx!$7:$7,0))</f>
        <v>0</v>
      </c>
      <c r="S12" s="270">
        <f t="shared" si="3"/>
        <v>3496624.83</v>
      </c>
      <c r="T12" s="271">
        <f t="shared" si="4"/>
        <v>7.9510308342997475E-4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f>+INDEX(DataEx!$1:$1048576,MATCH('2018'!$A13,DataEx!$D:$D,0),MATCH('2018'!G$6,DataEx!$7:$7,0))</f>
        <v>475602.8</v>
      </c>
      <c r="H13" s="189">
        <f>+INDEX(DataEx!$1:$1048576,MATCH('2018'!$A13,DataEx!$D:$D,0),MATCH('2018'!H$6,DataEx!$7:$7,0))</f>
        <v>0</v>
      </c>
      <c r="I13" s="189">
        <f>+INDEX(DataEx!$1:$1048576,MATCH('2018'!$A13,DataEx!$D:$D,0),MATCH('2018'!I$6,DataEx!$7:$7,0))</f>
        <v>0</v>
      </c>
      <c r="J13" s="189">
        <f>+INDEX(DataEx!$1:$1048576,MATCH('2018'!$A13,DataEx!$D:$D,0),MATCH('2018'!J$6,DataEx!$7:$7,0))</f>
        <v>0</v>
      </c>
      <c r="K13" s="189">
        <f>+INDEX(DataEx!$1:$1048576,MATCH('2018'!$A13,DataEx!$D:$D,0),MATCH('2018'!K$6,DataEx!$7:$7,0))</f>
        <v>0</v>
      </c>
      <c r="L13" s="189">
        <f>+INDEX(DataEx!$1:$1048576,MATCH('2018'!$A13,DataEx!$D:$D,0),MATCH('2018'!L$6,DataEx!$7:$7,0))</f>
        <v>0</v>
      </c>
      <c r="M13" s="189">
        <f>+INDEX(DataEx!$1:$1048576,MATCH('2018'!$A13,DataEx!$D:$D,0),MATCH('2018'!M$6,DataEx!$7:$7,0))</f>
        <v>0</v>
      </c>
      <c r="N13" s="189">
        <f>+INDEX(DataEx!$1:$1048576,MATCH('2018'!$A13,DataEx!$D:$D,0),MATCH('2018'!N$6,DataEx!$7:$7,0))</f>
        <v>0</v>
      </c>
      <c r="O13" s="189">
        <f>+INDEX(DataEx!$1:$1048576,MATCH('2018'!$A13,DataEx!$D:$D,0),MATCH('2018'!O$6,DataEx!$7:$7,0))</f>
        <v>0</v>
      </c>
      <c r="P13" s="189">
        <f>+INDEX(DataEx!$1:$1048576,MATCH('2018'!$A13,DataEx!$D:$D,0),MATCH('2018'!P$6,DataEx!$7:$7,0))</f>
        <v>0</v>
      </c>
      <c r="Q13" s="189">
        <f>+INDEX(DataEx!$1:$1048576,MATCH('2018'!$A13,DataEx!$D:$D,0),MATCH('2018'!Q$6,DataEx!$7:$7,0))</f>
        <v>0</v>
      </c>
      <c r="R13" s="189">
        <f>+INDEX(DataEx!$1:$1048576,MATCH('2018'!$A13,DataEx!$D:$D,0),MATCH('2018'!R$6,DataEx!$7:$7,0))</f>
        <v>0</v>
      </c>
      <c r="S13" s="270">
        <f t="shared" si="3"/>
        <v>475602.8</v>
      </c>
      <c r="T13" s="271">
        <f t="shared" si="4"/>
        <v>1.081480774040976E-4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f>+INDEX(DataEx!$1:$1048576,MATCH('2018'!$A14,DataEx!$D:$D,0),MATCH('2018'!G$6,DataEx!$7:$7,0))</f>
        <v>93380.49</v>
      </c>
      <c r="H14" s="189">
        <f>+INDEX(DataEx!$1:$1048576,MATCH('2018'!$A14,DataEx!$D:$D,0),MATCH('2018'!H$6,DataEx!$7:$7,0))</f>
        <v>0</v>
      </c>
      <c r="I14" s="189">
        <f>+INDEX(DataEx!$1:$1048576,MATCH('2018'!$A14,DataEx!$D:$D,0),MATCH('2018'!I$6,DataEx!$7:$7,0))</f>
        <v>0</v>
      </c>
      <c r="J14" s="189">
        <f>+INDEX(DataEx!$1:$1048576,MATCH('2018'!$A14,DataEx!$D:$D,0),MATCH('2018'!J$6,DataEx!$7:$7,0))</f>
        <v>0</v>
      </c>
      <c r="K14" s="189">
        <f>+INDEX(DataEx!$1:$1048576,MATCH('2018'!$A14,DataEx!$D:$D,0),MATCH('2018'!K$6,DataEx!$7:$7,0))</f>
        <v>0</v>
      </c>
      <c r="L14" s="189">
        <f>+INDEX(DataEx!$1:$1048576,MATCH('2018'!$A14,DataEx!$D:$D,0),MATCH('2018'!L$6,DataEx!$7:$7,0))</f>
        <v>0</v>
      </c>
      <c r="M14" s="189">
        <f>+INDEX(DataEx!$1:$1048576,MATCH('2018'!$A14,DataEx!$D:$D,0),MATCH('2018'!M$6,DataEx!$7:$7,0))</f>
        <v>0</v>
      </c>
      <c r="N14" s="189">
        <f>+INDEX(DataEx!$1:$1048576,MATCH('2018'!$A14,DataEx!$D:$D,0),MATCH('2018'!N$6,DataEx!$7:$7,0))</f>
        <v>0</v>
      </c>
      <c r="O14" s="189">
        <f>+INDEX(DataEx!$1:$1048576,MATCH('2018'!$A14,DataEx!$D:$D,0),MATCH('2018'!O$6,DataEx!$7:$7,0))</f>
        <v>0</v>
      </c>
      <c r="P14" s="189">
        <f>+INDEX(DataEx!$1:$1048576,MATCH('2018'!$A14,DataEx!$D:$D,0),MATCH('2018'!P$6,DataEx!$7:$7,0))</f>
        <v>0</v>
      </c>
      <c r="Q14" s="189">
        <f>+INDEX(DataEx!$1:$1048576,MATCH('2018'!$A14,DataEx!$D:$D,0),MATCH('2018'!Q$6,DataEx!$7:$7,0))</f>
        <v>0</v>
      </c>
      <c r="R14" s="189">
        <f>+INDEX(DataEx!$1:$1048576,MATCH('2018'!$A14,DataEx!$D:$D,0),MATCH('2018'!R$6,DataEx!$7:$7,0))</f>
        <v>0</v>
      </c>
      <c r="S14" s="270">
        <f t="shared" si="3"/>
        <v>93380.49</v>
      </c>
      <c r="T14" s="271">
        <f t="shared" si="4"/>
        <v>2.1233938194965552E-5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f>+INDEX(DataEx!$1:$1048576,MATCH('2018'!$A15,DataEx!$D:$D,0),MATCH('2018'!G$6,DataEx!$7:$7,0))</f>
        <v>40926868.810000002</v>
      </c>
      <c r="H15" s="189">
        <f>+INDEX(DataEx!$1:$1048576,MATCH('2018'!$A15,DataEx!$D:$D,0),MATCH('2018'!H$6,DataEx!$7:$7,0))</f>
        <v>0</v>
      </c>
      <c r="I15" s="189">
        <f>+INDEX(DataEx!$1:$1048576,MATCH('2018'!$A15,DataEx!$D:$D,0),MATCH('2018'!I$6,DataEx!$7:$7,0))</f>
        <v>0</v>
      </c>
      <c r="J15" s="189">
        <f>+INDEX(DataEx!$1:$1048576,MATCH('2018'!$A15,DataEx!$D:$D,0),MATCH('2018'!J$6,DataEx!$7:$7,0))</f>
        <v>0</v>
      </c>
      <c r="K15" s="189">
        <f>+INDEX(DataEx!$1:$1048576,MATCH('2018'!$A15,DataEx!$D:$D,0),MATCH('2018'!K$6,DataEx!$7:$7,0))</f>
        <v>0</v>
      </c>
      <c r="L15" s="189">
        <f>+INDEX(DataEx!$1:$1048576,MATCH('2018'!$A15,DataEx!$D:$D,0),MATCH('2018'!L$6,DataEx!$7:$7,0))</f>
        <v>0</v>
      </c>
      <c r="M15" s="189">
        <f>+INDEX(DataEx!$1:$1048576,MATCH('2018'!$A15,DataEx!$D:$D,0),MATCH('2018'!M$6,DataEx!$7:$7,0))</f>
        <v>0</v>
      </c>
      <c r="N15" s="189">
        <f>+INDEX(DataEx!$1:$1048576,MATCH('2018'!$A15,DataEx!$D:$D,0),MATCH('2018'!N$6,DataEx!$7:$7,0))</f>
        <v>0</v>
      </c>
      <c r="O15" s="189">
        <f>+INDEX(DataEx!$1:$1048576,MATCH('2018'!$A15,DataEx!$D:$D,0),MATCH('2018'!O$6,DataEx!$7:$7,0))</f>
        <v>0</v>
      </c>
      <c r="P15" s="189">
        <f>+INDEX(DataEx!$1:$1048576,MATCH('2018'!$A15,DataEx!$D:$D,0),MATCH('2018'!P$6,DataEx!$7:$7,0))</f>
        <v>0</v>
      </c>
      <c r="Q15" s="189">
        <f>+INDEX(DataEx!$1:$1048576,MATCH('2018'!$A15,DataEx!$D:$D,0),MATCH('2018'!Q$6,DataEx!$7:$7,0))</f>
        <v>0</v>
      </c>
      <c r="R15" s="189">
        <f>+INDEX(DataEx!$1:$1048576,MATCH('2018'!$A15,DataEx!$D:$D,0),MATCH('2018'!R$6,DataEx!$7:$7,0))</f>
        <v>0</v>
      </c>
      <c r="S15" s="270">
        <f t="shared" si="3"/>
        <v>40926868.810000002</v>
      </c>
      <c r="T15" s="271">
        <f t="shared" si="4"/>
        <v>9.306425815767334E-3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f>+INDEX(DataEx!$1:$1048576,MATCH('2018'!$A16,DataEx!$D:$D,0),MATCH('2018'!G$6,DataEx!$7:$7,0))</f>
        <v>13370061.67</v>
      </c>
      <c r="H16" s="189">
        <f>+INDEX(DataEx!$1:$1048576,MATCH('2018'!$A16,DataEx!$D:$D,0),MATCH('2018'!H$6,DataEx!$7:$7,0))</f>
        <v>0</v>
      </c>
      <c r="I16" s="189">
        <f>+INDEX(DataEx!$1:$1048576,MATCH('2018'!$A16,DataEx!$D:$D,0),MATCH('2018'!I$6,DataEx!$7:$7,0))</f>
        <v>0</v>
      </c>
      <c r="J16" s="189">
        <f>+INDEX(DataEx!$1:$1048576,MATCH('2018'!$A16,DataEx!$D:$D,0),MATCH('2018'!J$6,DataEx!$7:$7,0))</f>
        <v>0</v>
      </c>
      <c r="K16" s="189">
        <f>+INDEX(DataEx!$1:$1048576,MATCH('2018'!$A16,DataEx!$D:$D,0),MATCH('2018'!K$6,DataEx!$7:$7,0))</f>
        <v>0</v>
      </c>
      <c r="L16" s="189">
        <f>+INDEX(DataEx!$1:$1048576,MATCH('2018'!$A16,DataEx!$D:$D,0),MATCH('2018'!L$6,DataEx!$7:$7,0))</f>
        <v>0</v>
      </c>
      <c r="M16" s="189">
        <f>+INDEX(DataEx!$1:$1048576,MATCH('2018'!$A16,DataEx!$D:$D,0),MATCH('2018'!M$6,DataEx!$7:$7,0))</f>
        <v>0</v>
      </c>
      <c r="N16" s="189">
        <f>+INDEX(DataEx!$1:$1048576,MATCH('2018'!$A16,DataEx!$D:$D,0),MATCH('2018'!N$6,DataEx!$7:$7,0))</f>
        <v>0</v>
      </c>
      <c r="O16" s="189">
        <f>+INDEX(DataEx!$1:$1048576,MATCH('2018'!$A16,DataEx!$D:$D,0),MATCH('2018'!O$6,DataEx!$7:$7,0))</f>
        <v>0</v>
      </c>
      <c r="P16" s="189">
        <f>+INDEX(DataEx!$1:$1048576,MATCH('2018'!$A16,DataEx!$D:$D,0),MATCH('2018'!P$6,DataEx!$7:$7,0))</f>
        <v>0</v>
      </c>
      <c r="Q16" s="189">
        <f>+INDEX(DataEx!$1:$1048576,MATCH('2018'!$A16,DataEx!$D:$D,0),MATCH('2018'!Q$6,DataEx!$7:$7,0))</f>
        <v>0</v>
      </c>
      <c r="R16" s="189">
        <f>+INDEX(DataEx!$1:$1048576,MATCH('2018'!$A16,DataEx!$D:$D,0),MATCH('2018'!R$6,DataEx!$7:$7,0))</f>
        <v>0</v>
      </c>
      <c r="S16" s="270">
        <f t="shared" si="3"/>
        <v>13370061.67</v>
      </c>
      <c r="T16" s="271">
        <f t="shared" si="4"/>
        <v>3.0402395956977512E-3</v>
      </c>
    </row>
    <row r="17" spans="1:25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f>+INDEX(DataEx!$1:$1048576,MATCH('2018'!$A17,DataEx!$D:$D,0),MATCH('2018'!G$6,DataEx!$7:$7,0))</f>
        <v>1218936.71</v>
      </c>
      <c r="H17" s="189">
        <f>+INDEX(DataEx!$1:$1048576,MATCH('2018'!$A17,DataEx!$D:$D,0),MATCH('2018'!H$6,DataEx!$7:$7,0))</f>
        <v>0</v>
      </c>
      <c r="I17" s="189">
        <f>+INDEX(DataEx!$1:$1048576,MATCH('2018'!$A17,DataEx!$D:$D,0),MATCH('2018'!I$6,DataEx!$7:$7,0))</f>
        <v>0</v>
      </c>
      <c r="J17" s="189">
        <f>+INDEX(DataEx!$1:$1048576,MATCH('2018'!$A17,DataEx!$D:$D,0),MATCH('2018'!J$6,DataEx!$7:$7,0))</f>
        <v>0</v>
      </c>
      <c r="K17" s="189">
        <f>+INDEX(DataEx!$1:$1048576,MATCH('2018'!$A17,DataEx!$D:$D,0),MATCH('2018'!K$6,DataEx!$7:$7,0))</f>
        <v>0</v>
      </c>
      <c r="L17" s="189">
        <f>+INDEX(DataEx!$1:$1048576,MATCH('2018'!$A17,DataEx!$D:$D,0),MATCH('2018'!L$6,DataEx!$7:$7,0))</f>
        <v>0</v>
      </c>
      <c r="M17" s="189">
        <f>+INDEX(DataEx!$1:$1048576,MATCH('2018'!$A17,DataEx!$D:$D,0),MATCH('2018'!M$6,DataEx!$7:$7,0))</f>
        <v>0</v>
      </c>
      <c r="N17" s="189">
        <f>+INDEX(DataEx!$1:$1048576,MATCH('2018'!$A17,DataEx!$D:$D,0),MATCH('2018'!N$6,DataEx!$7:$7,0))</f>
        <v>0</v>
      </c>
      <c r="O17" s="189">
        <f>+INDEX(DataEx!$1:$1048576,MATCH('2018'!$A17,DataEx!$D:$D,0),MATCH('2018'!O$6,DataEx!$7:$7,0))</f>
        <v>0</v>
      </c>
      <c r="P17" s="189">
        <f>+INDEX(DataEx!$1:$1048576,MATCH('2018'!$A17,DataEx!$D:$D,0),MATCH('2018'!P$6,DataEx!$7:$7,0))</f>
        <v>0</v>
      </c>
      <c r="Q17" s="189">
        <f>+INDEX(DataEx!$1:$1048576,MATCH('2018'!$A17,DataEx!$D:$D,0),MATCH('2018'!Q$6,DataEx!$7:$7,0))</f>
        <v>0</v>
      </c>
      <c r="R17" s="189">
        <f>+INDEX(DataEx!$1:$1048576,MATCH('2018'!$A17,DataEx!$D:$D,0),MATCH('2018'!R$6,DataEx!$7:$7,0))</f>
        <v>0</v>
      </c>
      <c r="S17" s="270">
        <f t="shared" si="3"/>
        <v>1218936.71</v>
      </c>
      <c r="T17" s="271">
        <f t="shared" si="4"/>
        <v>2.7717595788707733E-4</v>
      </c>
    </row>
    <row r="18" spans="1:25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f>+INDEX(DataEx!$1:$1048576,MATCH('2018'!$A18,DataEx!$D:$D,0),MATCH('2018'!G$6,DataEx!$7:$7,0))</f>
        <v>714376.2</v>
      </c>
      <c r="H18" s="189">
        <f>+INDEX(DataEx!$1:$1048576,MATCH('2018'!$A18,DataEx!$D:$D,0),MATCH('2018'!H$6,DataEx!$7:$7,0))</f>
        <v>0</v>
      </c>
      <c r="I18" s="189">
        <f>+INDEX(DataEx!$1:$1048576,MATCH('2018'!$A18,DataEx!$D:$D,0),MATCH('2018'!I$6,DataEx!$7:$7,0))</f>
        <v>0</v>
      </c>
      <c r="J18" s="189">
        <f>+INDEX(DataEx!$1:$1048576,MATCH('2018'!$A18,DataEx!$D:$D,0),MATCH('2018'!J$6,DataEx!$7:$7,0))</f>
        <v>0</v>
      </c>
      <c r="K18" s="189">
        <f>+INDEX(DataEx!$1:$1048576,MATCH('2018'!$A18,DataEx!$D:$D,0),MATCH('2018'!K$6,DataEx!$7:$7,0))</f>
        <v>0</v>
      </c>
      <c r="L18" s="189">
        <f>+INDEX(DataEx!$1:$1048576,MATCH('2018'!$A18,DataEx!$D:$D,0),MATCH('2018'!L$6,DataEx!$7:$7,0))</f>
        <v>0</v>
      </c>
      <c r="M18" s="189">
        <f>+INDEX(DataEx!$1:$1048576,MATCH('2018'!$A18,DataEx!$D:$D,0),MATCH('2018'!M$6,DataEx!$7:$7,0))</f>
        <v>0</v>
      </c>
      <c r="N18" s="189">
        <f>+INDEX(DataEx!$1:$1048576,MATCH('2018'!$A18,DataEx!$D:$D,0),MATCH('2018'!N$6,DataEx!$7:$7,0))</f>
        <v>0</v>
      </c>
      <c r="O18" s="189">
        <f>+INDEX(DataEx!$1:$1048576,MATCH('2018'!$A18,DataEx!$D:$D,0),MATCH('2018'!O$6,DataEx!$7:$7,0))</f>
        <v>0</v>
      </c>
      <c r="P18" s="189">
        <f>+INDEX(DataEx!$1:$1048576,MATCH('2018'!$A18,DataEx!$D:$D,0),MATCH('2018'!P$6,DataEx!$7:$7,0))</f>
        <v>0</v>
      </c>
      <c r="Q18" s="189">
        <f>+INDEX(DataEx!$1:$1048576,MATCH('2018'!$A18,DataEx!$D:$D,0),MATCH('2018'!Q$6,DataEx!$7:$7,0))</f>
        <v>0</v>
      </c>
      <c r="R18" s="189">
        <f>+INDEX(DataEx!$1:$1048576,MATCH('2018'!$A18,DataEx!$D:$D,0),MATCH('2018'!R$6,DataEx!$7:$7,0))</f>
        <v>0</v>
      </c>
      <c r="S18" s="270">
        <f t="shared" si="3"/>
        <v>714376.2</v>
      </c>
      <c r="T18" s="271">
        <f t="shared" si="4"/>
        <v>1.6244314073265569E-4</v>
      </c>
    </row>
    <row r="19" spans="1:25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+INDEX(DataEx!$1:$1048576,MATCH('2018'!$A19,DataEx!$D:$D,0),MATCH('2018'!G$6,DataEx!$7:$7,0))</f>
        <v>14572676.99</v>
      </c>
      <c r="H19" s="195">
        <f>+INDEX(DataEx!$1:$1048576,MATCH('2018'!$A19,DataEx!$D:$D,0),MATCH('2018'!H$6,DataEx!$7:$7,0))</f>
        <v>0</v>
      </c>
      <c r="I19" s="195">
        <f>+INDEX(DataEx!$1:$1048576,MATCH('2018'!$A19,DataEx!$D:$D,0),MATCH('2018'!I$6,DataEx!$7:$7,0))</f>
        <v>0</v>
      </c>
      <c r="J19" s="195">
        <f>+INDEX(DataEx!$1:$1048576,MATCH('2018'!$A19,DataEx!$D:$D,0),MATCH('2018'!J$6,DataEx!$7:$7,0))</f>
        <v>0</v>
      </c>
      <c r="K19" s="195">
        <f>+INDEX(DataEx!$1:$1048576,MATCH('2018'!$A19,DataEx!$D:$D,0),MATCH('2018'!K$6,DataEx!$7:$7,0))</f>
        <v>0</v>
      </c>
      <c r="L19" s="195">
        <f>+INDEX(DataEx!$1:$1048576,MATCH('2018'!$A19,DataEx!$D:$D,0),MATCH('2018'!L$6,DataEx!$7:$7,0))</f>
        <v>0</v>
      </c>
      <c r="M19" s="195">
        <f>+INDEX(DataEx!$1:$1048576,MATCH('2018'!$A19,DataEx!$D:$D,0),MATCH('2018'!M$6,DataEx!$7:$7,0))</f>
        <v>0</v>
      </c>
      <c r="N19" s="195">
        <f>+INDEX(DataEx!$1:$1048576,MATCH('2018'!$A19,DataEx!$D:$D,0),MATCH('2018'!N$6,DataEx!$7:$7,0))</f>
        <v>0</v>
      </c>
      <c r="O19" s="195">
        <f>+INDEX(DataEx!$1:$1048576,MATCH('2018'!$A19,DataEx!$D:$D,0),MATCH('2018'!O$6,DataEx!$7:$7,0))</f>
        <v>0</v>
      </c>
      <c r="P19" s="195">
        <f>+INDEX(DataEx!$1:$1048576,MATCH('2018'!$A19,DataEx!$D:$D,0),MATCH('2018'!P$6,DataEx!$7:$7,0))</f>
        <v>0</v>
      </c>
      <c r="Q19" s="195">
        <f>+INDEX(DataEx!$1:$1048576,MATCH('2018'!$A19,DataEx!$D:$D,0),MATCH('2018'!Q$6,DataEx!$7:$7,0))</f>
        <v>0</v>
      </c>
      <c r="R19" s="195">
        <f>+INDEX(DataEx!$1:$1048576,MATCH('2018'!$A19,DataEx!$D:$D,0),MATCH('2018'!R$6,DataEx!$7:$7,0))</f>
        <v>0</v>
      </c>
      <c r="S19" s="273">
        <f t="shared" si="3"/>
        <v>14572676.99</v>
      </c>
      <c r="T19" s="274">
        <f t="shared" si="4"/>
        <v>3.3137042067444347E-3</v>
      </c>
    </row>
    <row r="20" spans="1:25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f>+INDEX(DataEx!$1:$1048576,MATCH('2018'!$A20,DataEx!$D:$D,0),MATCH('2018'!G$6,DataEx!$7:$7,0))</f>
        <v>8994145.9900000002</v>
      </c>
      <c r="H20" s="189">
        <f>+INDEX(DataEx!$1:$1048576,MATCH('2018'!$A20,DataEx!$D:$D,0),MATCH('2018'!H$6,DataEx!$7:$7,0))</f>
        <v>0</v>
      </c>
      <c r="I20" s="189">
        <f>+INDEX(DataEx!$1:$1048576,MATCH('2018'!$A20,DataEx!$D:$D,0),MATCH('2018'!I$6,DataEx!$7:$7,0))</f>
        <v>0</v>
      </c>
      <c r="J20" s="189">
        <f>+INDEX(DataEx!$1:$1048576,MATCH('2018'!$A20,DataEx!$D:$D,0),MATCH('2018'!J$6,DataEx!$7:$7,0))</f>
        <v>0</v>
      </c>
      <c r="K20" s="189">
        <f>+INDEX(DataEx!$1:$1048576,MATCH('2018'!$A20,DataEx!$D:$D,0),MATCH('2018'!K$6,DataEx!$7:$7,0))</f>
        <v>0</v>
      </c>
      <c r="L20" s="189">
        <f>+INDEX(DataEx!$1:$1048576,MATCH('2018'!$A20,DataEx!$D:$D,0),MATCH('2018'!L$6,DataEx!$7:$7,0))</f>
        <v>0</v>
      </c>
      <c r="M20" s="189">
        <f>+INDEX(DataEx!$1:$1048576,MATCH('2018'!$A20,DataEx!$D:$D,0),MATCH('2018'!M$6,DataEx!$7:$7,0))</f>
        <v>0</v>
      </c>
      <c r="N20" s="189">
        <f>+INDEX(DataEx!$1:$1048576,MATCH('2018'!$A20,DataEx!$D:$D,0),MATCH('2018'!N$6,DataEx!$7:$7,0))</f>
        <v>0</v>
      </c>
      <c r="O20" s="189">
        <f>+INDEX(DataEx!$1:$1048576,MATCH('2018'!$A20,DataEx!$D:$D,0),MATCH('2018'!O$6,DataEx!$7:$7,0))</f>
        <v>0</v>
      </c>
      <c r="P20" s="189">
        <f>+INDEX(DataEx!$1:$1048576,MATCH('2018'!$A20,DataEx!$D:$D,0),MATCH('2018'!P$6,DataEx!$7:$7,0))</f>
        <v>0</v>
      </c>
      <c r="Q20" s="189">
        <f>+INDEX(DataEx!$1:$1048576,MATCH('2018'!$A20,DataEx!$D:$D,0),MATCH('2018'!Q$6,DataEx!$7:$7,0))</f>
        <v>0</v>
      </c>
      <c r="R20" s="189">
        <f>+INDEX(DataEx!$1:$1048576,MATCH('2018'!$A20,DataEx!$D:$D,0),MATCH('2018'!R$6,DataEx!$7:$7,0))</f>
        <v>0</v>
      </c>
      <c r="S20" s="270">
        <f t="shared" si="3"/>
        <v>8994145.9900000002</v>
      </c>
      <c r="T20" s="271">
        <f t="shared" si="4"/>
        <v>2.0451931668826889E-3</v>
      </c>
    </row>
    <row r="21" spans="1:25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f>+INDEX(DataEx!$1:$1048576,MATCH('2018'!$A21,DataEx!$D:$D,0),MATCH('2018'!G$6,DataEx!$7:$7,0))</f>
        <v>4907250.76</v>
      </c>
      <c r="H21" s="189">
        <f>+INDEX(DataEx!$1:$1048576,MATCH('2018'!$A21,DataEx!$D:$D,0),MATCH('2018'!H$6,DataEx!$7:$7,0))</f>
        <v>0</v>
      </c>
      <c r="I21" s="189">
        <f>+INDEX(DataEx!$1:$1048576,MATCH('2018'!$A21,DataEx!$D:$D,0),MATCH('2018'!I$6,DataEx!$7:$7,0))</f>
        <v>0</v>
      </c>
      <c r="J21" s="189">
        <f>+INDEX(DataEx!$1:$1048576,MATCH('2018'!$A21,DataEx!$D:$D,0),MATCH('2018'!J$6,DataEx!$7:$7,0))</f>
        <v>0</v>
      </c>
      <c r="K21" s="189">
        <f>+INDEX(DataEx!$1:$1048576,MATCH('2018'!$A21,DataEx!$D:$D,0),MATCH('2018'!K$6,DataEx!$7:$7,0))</f>
        <v>0</v>
      </c>
      <c r="L21" s="189">
        <f>+INDEX(DataEx!$1:$1048576,MATCH('2018'!$A21,DataEx!$D:$D,0),MATCH('2018'!L$6,DataEx!$7:$7,0))</f>
        <v>0</v>
      </c>
      <c r="M21" s="189">
        <f>+INDEX(DataEx!$1:$1048576,MATCH('2018'!$A21,DataEx!$D:$D,0),MATCH('2018'!M$6,DataEx!$7:$7,0))</f>
        <v>0</v>
      </c>
      <c r="N21" s="189">
        <f>+INDEX(DataEx!$1:$1048576,MATCH('2018'!$A21,DataEx!$D:$D,0),MATCH('2018'!N$6,DataEx!$7:$7,0))</f>
        <v>0</v>
      </c>
      <c r="O21" s="189">
        <f>+INDEX(DataEx!$1:$1048576,MATCH('2018'!$A21,DataEx!$D:$D,0),MATCH('2018'!O$6,DataEx!$7:$7,0))</f>
        <v>0</v>
      </c>
      <c r="P21" s="189">
        <f>+INDEX(DataEx!$1:$1048576,MATCH('2018'!$A21,DataEx!$D:$D,0),MATCH('2018'!P$6,DataEx!$7:$7,0))</f>
        <v>0</v>
      </c>
      <c r="Q21" s="189">
        <f>+INDEX(DataEx!$1:$1048576,MATCH('2018'!$A21,DataEx!$D:$D,0),MATCH('2018'!Q$6,DataEx!$7:$7,0))</f>
        <v>0</v>
      </c>
      <c r="R21" s="189">
        <f>+INDEX(DataEx!$1:$1048576,MATCH('2018'!$A21,DataEx!$D:$D,0),MATCH('2018'!R$6,DataEx!$7:$7,0))</f>
        <v>0</v>
      </c>
      <c r="S21" s="270">
        <f t="shared" si="3"/>
        <v>4907250.76</v>
      </c>
      <c r="T21" s="271">
        <f t="shared" si="4"/>
        <v>1.1158675580417035E-3</v>
      </c>
    </row>
    <row r="22" spans="1:25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f>+INDEX(DataEx!$1:$1048576,MATCH('2018'!$A22,DataEx!$D:$D,0),MATCH('2018'!G$6,DataEx!$7:$7,0))</f>
        <v>365962.97</v>
      </c>
      <c r="H22" s="189">
        <f>+INDEX(DataEx!$1:$1048576,MATCH('2018'!$A22,DataEx!$D:$D,0),MATCH('2018'!H$6,DataEx!$7:$7,0))</f>
        <v>0</v>
      </c>
      <c r="I22" s="189">
        <f>+INDEX(DataEx!$1:$1048576,MATCH('2018'!$A22,DataEx!$D:$D,0),MATCH('2018'!I$6,DataEx!$7:$7,0))</f>
        <v>0</v>
      </c>
      <c r="J22" s="189">
        <f>+INDEX(DataEx!$1:$1048576,MATCH('2018'!$A22,DataEx!$D:$D,0),MATCH('2018'!J$6,DataEx!$7:$7,0))</f>
        <v>0</v>
      </c>
      <c r="K22" s="189">
        <f>+INDEX(DataEx!$1:$1048576,MATCH('2018'!$A22,DataEx!$D:$D,0),MATCH('2018'!K$6,DataEx!$7:$7,0))</f>
        <v>0</v>
      </c>
      <c r="L22" s="189">
        <f>+INDEX(DataEx!$1:$1048576,MATCH('2018'!$A22,DataEx!$D:$D,0),MATCH('2018'!L$6,DataEx!$7:$7,0))</f>
        <v>0</v>
      </c>
      <c r="M22" s="189">
        <f>+INDEX(DataEx!$1:$1048576,MATCH('2018'!$A22,DataEx!$D:$D,0),MATCH('2018'!M$6,DataEx!$7:$7,0))</f>
        <v>0</v>
      </c>
      <c r="N22" s="189">
        <f>+INDEX(DataEx!$1:$1048576,MATCH('2018'!$A22,DataEx!$D:$D,0),MATCH('2018'!N$6,DataEx!$7:$7,0))</f>
        <v>0</v>
      </c>
      <c r="O22" s="189">
        <f>+INDEX(DataEx!$1:$1048576,MATCH('2018'!$A22,DataEx!$D:$D,0),MATCH('2018'!O$6,DataEx!$7:$7,0))</f>
        <v>0</v>
      </c>
      <c r="P22" s="189">
        <f>+INDEX(DataEx!$1:$1048576,MATCH('2018'!$A22,DataEx!$D:$D,0),MATCH('2018'!P$6,DataEx!$7:$7,0))</f>
        <v>0</v>
      </c>
      <c r="Q22" s="189">
        <f>+INDEX(DataEx!$1:$1048576,MATCH('2018'!$A22,DataEx!$D:$D,0),MATCH('2018'!Q$6,DataEx!$7:$7,0))</f>
        <v>0</v>
      </c>
      <c r="R22" s="189">
        <f>+INDEX(DataEx!$1:$1048576,MATCH('2018'!$A22,DataEx!$D:$D,0),MATCH('2018'!R$6,DataEx!$7:$7,0))</f>
        <v>0</v>
      </c>
      <c r="S22" s="270">
        <f t="shared" si="3"/>
        <v>365962.97</v>
      </c>
      <c r="T22" s="271">
        <f t="shared" si="4"/>
        <v>8.3216902016963412E-5</v>
      </c>
    </row>
    <row r="23" spans="1:25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f>+INDEX(DataEx!$1:$1048576,MATCH('2018'!$A23,DataEx!$D:$D,0),MATCH('2018'!G$6,DataEx!$7:$7,0))</f>
        <v>305317.27</v>
      </c>
      <c r="H23" s="189">
        <f>+INDEX(DataEx!$1:$1048576,MATCH('2018'!$A23,DataEx!$D:$D,0),MATCH('2018'!H$6,DataEx!$7:$7,0))</f>
        <v>0</v>
      </c>
      <c r="I23" s="189">
        <f>+INDEX(DataEx!$1:$1048576,MATCH('2018'!$A23,DataEx!$D:$D,0),MATCH('2018'!I$6,DataEx!$7:$7,0))</f>
        <v>0</v>
      </c>
      <c r="J23" s="189">
        <f>+INDEX(DataEx!$1:$1048576,MATCH('2018'!$A23,DataEx!$D:$D,0),MATCH('2018'!J$6,DataEx!$7:$7,0))</f>
        <v>0</v>
      </c>
      <c r="K23" s="189">
        <f>+INDEX(DataEx!$1:$1048576,MATCH('2018'!$A23,DataEx!$D:$D,0),MATCH('2018'!K$6,DataEx!$7:$7,0))</f>
        <v>0</v>
      </c>
      <c r="L23" s="189">
        <f>+INDEX(DataEx!$1:$1048576,MATCH('2018'!$A23,DataEx!$D:$D,0),MATCH('2018'!L$6,DataEx!$7:$7,0))</f>
        <v>0</v>
      </c>
      <c r="M23" s="189">
        <f>+INDEX(DataEx!$1:$1048576,MATCH('2018'!$A23,DataEx!$D:$D,0),MATCH('2018'!M$6,DataEx!$7:$7,0))</f>
        <v>0</v>
      </c>
      <c r="N23" s="189">
        <f>+INDEX(DataEx!$1:$1048576,MATCH('2018'!$A23,DataEx!$D:$D,0),MATCH('2018'!N$6,DataEx!$7:$7,0))</f>
        <v>0</v>
      </c>
      <c r="O23" s="189">
        <f>+INDEX(DataEx!$1:$1048576,MATCH('2018'!$A23,DataEx!$D:$D,0),MATCH('2018'!O$6,DataEx!$7:$7,0))</f>
        <v>0</v>
      </c>
      <c r="P23" s="189">
        <f>+INDEX(DataEx!$1:$1048576,MATCH('2018'!$A23,DataEx!$D:$D,0),MATCH('2018'!P$6,DataEx!$7:$7,0))</f>
        <v>0</v>
      </c>
      <c r="Q23" s="189">
        <f>+INDEX(DataEx!$1:$1048576,MATCH('2018'!$A23,DataEx!$D:$D,0),MATCH('2018'!Q$6,DataEx!$7:$7,0))</f>
        <v>0</v>
      </c>
      <c r="R23" s="189">
        <f>+INDEX(DataEx!$1:$1048576,MATCH('2018'!$A23,DataEx!$D:$D,0),MATCH('2018'!R$6,DataEx!$7:$7,0))</f>
        <v>0</v>
      </c>
      <c r="S23" s="270">
        <f t="shared" si="3"/>
        <v>305317.27</v>
      </c>
      <c r="T23" s="271">
        <f t="shared" si="4"/>
        <v>6.9426579803078889E-5</v>
      </c>
      <c r="Y23" s="380"/>
    </row>
    <row r="24" spans="1:25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f>+INDEX(DataEx!$1:$1048576,MATCH('2018'!$A24,DataEx!$D:$D,0),MATCH('2018'!G$6,DataEx!$7:$7,0))</f>
        <v>725562.24</v>
      </c>
      <c r="H24" s="201">
        <f>+INDEX(DataEx!$1:$1048576,MATCH('2018'!$A24,DataEx!$D:$D,0),MATCH('2018'!H$6,DataEx!$7:$7,0))</f>
        <v>0</v>
      </c>
      <c r="I24" s="201">
        <f>+INDEX(DataEx!$1:$1048576,MATCH('2018'!$A24,DataEx!$D:$D,0),MATCH('2018'!I$6,DataEx!$7:$7,0))</f>
        <v>0</v>
      </c>
      <c r="J24" s="201">
        <f>+INDEX(DataEx!$1:$1048576,MATCH('2018'!$A24,DataEx!$D:$D,0),MATCH('2018'!J$6,DataEx!$7:$7,0))</f>
        <v>0</v>
      </c>
      <c r="K24" s="201">
        <f>+INDEX(DataEx!$1:$1048576,MATCH('2018'!$A24,DataEx!$D:$D,0),MATCH('2018'!K$6,DataEx!$7:$7,0))</f>
        <v>0</v>
      </c>
      <c r="L24" s="201">
        <f>+INDEX(DataEx!$1:$1048576,MATCH('2018'!$A24,DataEx!$D:$D,0),MATCH('2018'!L$6,DataEx!$7:$7,0))</f>
        <v>0</v>
      </c>
      <c r="M24" s="201">
        <f>+INDEX(DataEx!$1:$1048576,MATCH('2018'!$A24,DataEx!$D:$D,0),MATCH('2018'!M$6,DataEx!$7:$7,0))</f>
        <v>0</v>
      </c>
      <c r="N24" s="201">
        <f>+INDEX(DataEx!$1:$1048576,MATCH('2018'!$A24,DataEx!$D:$D,0),MATCH('2018'!N$6,DataEx!$7:$7,0))</f>
        <v>0</v>
      </c>
      <c r="O24" s="201">
        <f>+INDEX(DataEx!$1:$1048576,MATCH('2018'!$A24,DataEx!$D:$D,0),MATCH('2018'!O$6,DataEx!$7:$7,0))</f>
        <v>0</v>
      </c>
      <c r="P24" s="201">
        <f>+INDEX(DataEx!$1:$1048576,MATCH('2018'!$A24,DataEx!$D:$D,0),MATCH('2018'!P$6,DataEx!$7:$7,0))</f>
        <v>0</v>
      </c>
      <c r="Q24" s="201">
        <f>+INDEX(DataEx!$1:$1048576,MATCH('2018'!$A24,DataEx!$D:$D,0),MATCH('2018'!Q$6,DataEx!$7:$7,0))</f>
        <v>0</v>
      </c>
      <c r="R24" s="275">
        <f>+INDEX(DataEx!$1:$1048576,MATCH('2018'!$A24,DataEx!$D:$D,0),MATCH('2018'!R$6,DataEx!$7:$7,0))</f>
        <v>0</v>
      </c>
      <c r="S24" s="273">
        <f t="shared" si="3"/>
        <v>725562.24</v>
      </c>
      <c r="T24" s="274">
        <f t="shared" si="4"/>
        <v>1.6498675216590491E-4</v>
      </c>
      <c r="Y24" s="380"/>
    </row>
    <row r="25" spans="1:25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f>+INDEX(DataEx!$1:$1048576,MATCH('2018'!$A25,DataEx!$D:$D,0),MATCH('2018'!G$6,DataEx!$7:$7,0))</f>
        <v>1774503.57</v>
      </c>
      <c r="H25" s="201">
        <f>+INDEX(DataEx!$1:$1048576,MATCH('2018'!$A25,DataEx!$D:$D,0),MATCH('2018'!H$6,DataEx!$7:$7,0))</f>
        <v>0</v>
      </c>
      <c r="I25" s="201">
        <f>+INDEX(DataEx!$1:$1048576,MATCH('2018'!$A25,DataEx!$D:$D,0),MATCH('2018'!I$6,DataEx!$7:$7,0))</f>
        <v>0</v>
      </c>
      <c r="J25" s="201">
        <f>+INDEX(DataEx!$1:$1048576,MATCH('2018'!$A25,DataEx!$D:$D,0),MATCH('2018'!J$6,DataEx!$7:$7,0))</f>
        <v>0</v>
      </c>
      <c r="K25" s="201">
        <f>+INDEX(DataEx!$1:$1048576,MATCH('2018'!$A25,DataEx!$D:$D,0),MATCH('2018'!K$6,DataEx!$7:$7,0))</f>
        <v>0</v>
      </c>
      <c r="L25" s="201">
        <f>+INDEX(DataEx!$1:$1048576,MATCH('2018'!$A25,DataEx!$D:$D,0),MATCH('2018'!L$6,DataEx!$7:$7,0))</f>
        <v>0</v>
      </c>
      <c r="M25" s="201">
        <f>+INDEX(DataEx!$1:$1048576,MATCH('2018'!$A25,DataEx!$D:$D,0),MATCH('2018'!M$6,DataEx!$7:$7,0))</f>
        <v>0</v>
      </c>
      <c r="N25" s="201">
        <f>+INDEX(DataEx!$1:$1048576,MATCH('2018'!$A25,DataEx!$D:$D,0),MATCH('2018'!N$6,DataEx!$7:$7,0))</f>
        <v>0</v>
      </c>
      <c r="O25" s="201">
        <f>+INDEX(DataEx!$1:$1048576,MATCH('2018'!$A25,DataEx!$D:$D,0),MATCH('2018'!O$6,DataEx!$7:$7,0))</f>
        <v>0</v>
      </c>
      <c r="P25" s="201">
        <f>+INDEX(DataEx!$1:$1048576,MATCH('2018'!$A25,DataEx!$D:$D,0),MATCH('2018'!P$6,DataEx!$7:$7,0))</f>
        <v>0</v>
      </c>
      <c r="Q25" s="201">
        <f>+INDEX(DataEx!$1:$1048576,MATCH('2018'!$A25,DataEx!$D:$D,0),MATCH('2018'!Q$6,DataEx!$7:$7,0))</f>
        <v>0</v>
      </c>
      <c r="R25" s="275">
        <f>+INDEX(DataEx!$1:$1048576,MATCH('2018'!$A25,DataEx!$D:$D,0),MATCH('2018'!R$6,DataEx!$7:$7,0))</f>
        <v>0</v>
      </c>
      <c r="S25" s="273">
        <f t="shared" si="3"/>
        <v>1774503.57</v>
      </c>
      <c r="T25" s="274">
        <f t="shared" si="4"/>
        <v>4.035071901221093E-4</v>
      </c>
      <c r="W25" s="367"/>
    </row>
    <row r="26" spans="1:25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f>+INDEX(DataEx!$1:$1048576,MATCH('2018'!$A26,DataEx!$D:$D,0),MATCH('2018'!G$6,DataEx!$7:$7,0))</f>
        <v>2486753.54</v>
      </c>
      <c r="H26" s="201">
        <f>+INDEX(DataEx!$1:$1048576,MATCH('2018'!$A26,DataEx!$D:$D,0),MATCH('2018'!H$6,DataEx!$7:$7,0))</f>
        <v>0</v>
      </c>
      <c r="I26" s="201">
        <f>+INDEX(DataEx!$1:$1048576,MATCH('2018'!$A26,DataEx!$D:$D,0),MATCH('2018'!I$6,DataEx!$7:$7,0))</f>
        <v>0</v>
      </c>
      <c r="J26" s="201">
        <f>+INDEX(DataEx!$1:$1048576,MATCH('2018'!$A26,DataEx!$D:$D,0),MATCH('2018'!J$6,DataEx!$7:$7,0))</f>
        <v>0</v>
      </c>
      <c r="K26" s="201">
        <f>+INDEX(DataEx!$1:$1048576,MATCH('2018'!$A26,DataEx!$D:$D,0),MATCH('2018'!K$6,DataEx!$7:$7,0))</f>
        <v>0</v>
      </c>
      <c r="L26" s="201">
        <f>+INDEX(DataEx!$1:$1048576,MATCH('2018'!$A26,DataEx!$D:$D,0),MATCH('2018'!L$6,DataEx!$7:$7,0))</f>
        <v>0</v>
      </c>
      <c r="M26" s="201">
        <f>+INDEX(DataEx!$1:$1048576,MATCH('2018'!$A26,DataEx!$D:$D,0),MATCH('2018'!M$6,DataEx!$7:$7,0))</f>
        <v>0</v>
      </c>
      <c r="N26" s="201">
        <f>+INDEX(DataEx!$1:$1048576,MATCH('2018'!$A26,DataEx!$D:$D,0),MATCH('2018'!N$6,DataEx!$7:$7,0))</f>
        <v>0</v>
      </c>
      <c r="O26" s="201">
        <f>+INDEX(DataEx!$1:$1048576,MATCH('2018'!$A26,DataEx!$D:$D,0),MATCH('2018'!O$6,DataEx!$7:$7,0))</f>
        <v>0</v>
      </c>
      <c r="P26" s="201">
        <f>+INDEX(DataEx!$1:$1048576,MATCH('2018'!$A26,DataEx!$D:$D,0),MATCH('2018'!P$6,DataEx!$7:$7,0))</f>
        <v>0</v>
      </c>
      <c r="Q26" s="201">
        <f>+INDEX(DataEx!$1:$1048576,MATCH('2018'!$A26,DataEx!$D:$D,0),MATCH('2018'!Q$6,DataEx!$7:$7,0))</f>
        <v>0</v>
      </c>
      <c r="R26" s="275">
        <f>+INDEX(DataEx!$1:$1048576,MATCH('2018'!$A26,DataEx!$D:$D,0),MATCH('2018'!R$6,DataEx!$7:$7,0))</f>
        <v>0</v>
      </c>
      <c r="S26" s="273">
        <f t="shared" si="3"/>
        <v>2486753.54</v>
      </c>
      <c r="T26" s="274">
        <f t="shared" si="4"/>
        <v>5.654668440321077E-4</v>
      </c>
    </row>
    <row r="27" spans="1:25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f>+INDEX(DataEx!$1:$1048576,MATCH('2018'!$A27,DataEx!$D:$D,0),MATCH('2018'!G$6,DataEx!$7:$7,0))</f>
        <v>170875.32</v>
      </c>
      <c r="H27" s="201">
        <f>+INDEX(DataEx!$1:$1048576,MATCH('2018'!$A27,DataEx!$D:$D,0),MATCH('2018'!H$6,DataEx!$7:$7,0))</f>
        <v>0</v>
      </c>
      <c r="I27" s="201">
        <f>+INDEX(DataEx!$1:$1048576,MATCH('2018'!$A27,DataEx!$D:$D,0),MATCH('2018'!I$6,DataEx!$7:$7,0))</f>
        <v>0</v>
      </c>
      <c r="J27" s="201">
        <f>+INDEX(DataEx!$1:$1048576,MATCH('2018'!$A27,DataEx!$D:$D,0),MATCH('2018'!J$6,DataEx!$7:$7,0))</f>
        <v>0</v>
      </c>
      <c r="K27" s="201">
        <f>+INDEX(DataEx!$1:$1048576,MATCH('2018'!$A27,DataEx!$D:$D,0),MATCH('2018'!K$6,DataEx!$7:$7,0))</f>
        <v>0</v>
      </c>
      <c r="L27" s="201">
        <f>+INDEX(DataEx!$1:$1048576,MATCH('2018'!$A27,DataEx!$D:$D,0),MATCH('2018'!L$6,DataEx!$7:$7,0))</f>
        <v>0</v>
      </c>
      <c r="M27" s="201">
        <f>+INDEX(DataEx!$1:$1048576,MATCH('2018'!$A27,DataEx!$D:$D,0),MATCH('2018'!M$6,DataEx!$7:$7,0))</f>
        <v>0</v>
      </c>
      <c r="N27" s="201">
        <f>+INDEX(DataEx!$1:$1048576,MATCH('2018'!$A27,DataEx!$D:$D,0),MATCH('2018'!N$6,DataEx!$7:$7,0))</f>
        <v>0</v>
      </c>
      <c r="O27" s="201">
        <f>+INDEX(DataEx!$1:$1048576,MATCH('2018'!$A27,DataEx!$D:$D,0),MATCH('2018'!O$6,DataEx!$7:$7,0))</f>
        <v>0</v>
      </c>
      <c r="P27" s="201">
        <f>+INDEX(DataEx!$1:$1048576,MATCH('2018'!$A27,DataEx!$D:$D,0),MATCH('2018'!P$6,DataEx!$7:$7,0))</f>
        <v>0</v>
      </c>
      <c r="Q27" s="201">
        <f>+INDEX(DataEx!$1:$1048576,MATCH('2018'!$A27,DataEx!$D:$D,0),MATCH('2018'!Q$6,DataEx!$7:$7,0))</f>
        <v>0</v>
      </c>
      <c r="R27" s="275">
        <f>+INDEX(DataEx!$1:$1048576,MATCH('2018'!$A27,DataEx!$D:$D,0),MATCH('2018'!R$6,DataEx!$7:$7,0))</f>
        <v>0</v>
      </c>
      <c r="S27" s="273">
        <f t="shared" si="3"/>
        <v>170875.32</v>
      </c>
      <c r="T27" s="274">
        <f t="shared" si="4"/>
        <v>3.8855610887509381E-5</v>
      </c>
    </row>
    <row r="28" spans="1:25" ht="13.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f>+INDEX(DataEx!$1:$1048576,MATCH('2018'!$A28,DataEx!$D:$D,0),MATCH('2018'!G$6,DataEx!$7:$7,0))</f>
        <v>1518621.66</v>
      </c>
      <c r="H28" s="201">
        <f>+INDEX(DataEx!$1:$1048576,MATCH('2018'!$A28,DataEx!$D:$D,0),MATCH('2018'!H$6,DataEx!$7:$7,0))</f>
        <v>0</v>
      </c>
      <c r="I28" s="201">
        <f>+INDEX(DataEx!$1:$1048576,MATCH('2018'!$A28,DataEx!$D:$D,0),MATCH('2018'!I$6,DataEx!$7:$7,0))</f>
        <v>0</v>
      </c>
      <c r="J28" s="201">
        <f>+INDEX(DataEx!$1:$1048576,MATCH('2018'!$A28,DataEx!$D:$D,0),MATCH('2018'!J$6,DataEx!$7:$7,0))</f>
        <v>0</v>
      </c>
      <c r="K28" s="201">
        <f>+INDEX(DataEx!$1:$1048576,MATCH('2018'!$A28,DataEx!$D:$D,0),MATCH('2018'!K$6,DataEx!$7:$7,0))</f>
        <v>0</v>
      </c>
      <c r="L28" s="201">
        <f>+INDEX(DataEx!$1:$1048576,MATCH('2018'!$A28,DataEx!$D:$D,0),MATCH('2018'!L$6,DataEx!$7:$7,0))</f>
        <v>0</v>
      </c>
      <c r="M28" s="201">
        <f>+INDEX(DataEx!$1:$1048576,MATCH('2018'!$A28,DataEx!$D:$D,0),MATCH('2018'!M$6,DataEx!$7:$7,0))</f>
        <v>0</v>
      </c>
      <c r="N28" s="201">
        <f>+INDEX(DataEx!$1:$1048576,MATCH('2018'!$A28,DataEx!$D:$D,0),MATCH('2018'!N$6,DataEx!$7:$7,0))</f>
        <v>0</v>
      </c>
      <c r="O28" s="201">
        <f>+INDEX(DataEx!$1:$1048576,MATCH('2018'!$A28,DataEx!$D:$D,0),MATCH('2018'!O$6,DataEx!$7:$7,0))</f>
        <v>0</v>
      </c>
      <c r="P28" s="201">
        <f>+INDEX(DataEx!$1:$1048576,MATCH('2018'!$A28,DataEx!$D:$D,0),MATCH('2018'!P$6,DataEx!$7:$7,0))</f>
        <v>0</v>
      </c>
      <c r="Q28" s="201">
        <f>+INDEX(DataEx!$1:$1048576,MATCH('2018'!$A28,DataEx!$D:$D,0),MATCH('2018'!Q$6,DataEx!$7:$7,0))</f>
        <v>0</v>
      </c>
      <c r="R28" s="275">
        <f>+INDEX(DataEx!$1:$1048576,MATCH('2018'!$A28,DataEx!$D:$D,0),MATCH('2018'!R$6,DataEx!$7:$7,0))</f>
        <v>0</v>
      </c>
      <c r="S28" s="276">
        <f t="shared" si="3"/>
        <v>1518621.66</v>
      </c>
      <c r="T28" s="277">
        <f t="shared" si="4"/>
        <v>3.4532179548400299E-4</v>
      </c>
    </row>
    <row r="29" spans="1:25" ht="13.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>+G31+G42+G48+SUM(G49:G53)</f>
        <v>106101103.53</v>
      </c>
      <c r="H29" s="177">
        <f t="shared" ref="H29:R29" si="5">+H31+H42+H48+SUM(H49:H53)</f>
        <v>0</v>
      </c>
      <c r="I29" s="177">
        <f t="shared" si="5"/>
        <v>0</v>
      </c>
      <c r="J29" s="177">
        <f t="shared" si="5"/>
        <v>0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106101103.53</v>
      </c>
      <c r="T29" s="279">
        <f t="shared" si="4"/>
        <v>2.4126498744798417E-2</v>
      </c>
    </row>
    <row r="30" spans="1:25" ht="13.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207">
        <f>+G29-G49</f>
        <v>104040529.26000001</v>
      </c>
      <c r="H30" s="207">
        <f t="shared" ref="H30:R30" si="6">+H29-H49</f>
        <v>0</v>
      </c>
      <c r="I30" s="207">
        <f t="shared" si="6"/>
        <v>0</v>
      </c>
      <c r="J30" s="207">
        <f t="shared" si="6"/>
        <v>0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104040529.26000001</v>
      </c>
      <c r="T30" s="281">
        <f t="shared" si="4"/>
        <v>2.3657941483047958E-2</v>
      </c>
    </row>
    <row r="31" spans="1:25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213">
        <f>+SUM(G32:G41)</f>
        <v>48892361.900000006</v>
      </c>
      <c r="H31" s="213">
        <f t="shared" ref="H31:R31" si="7">+SUM(H32:H41)</f>
        <v>0</v>
      </c>
      <c r="I31" s="213">
        <f t="shared" si="7"/>
        <v>0</v>
      </c>
      <c r="J31" s="213">
        <f t="shared" si="7"/>
        <v>0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48892361.900000006</v>
      </c>
      <c r="T31" s="269">
        <f t="shared" si="4"/>
        <v>1.1117711963071607E-2</v>
      </c>
    </row>
    <row r="32" spans="1:25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f>+INDEX(DataEx!$1:$1048576,MATCH('2018'!$A32,DataEx!$D:$D,0),MATCH('2018'!G$6,DataEx!$7:$7,0))</f>
        <v>37313745.240000002</v>
      </c>
      <c r="H32" s="189">
        <f>+INDEX(DataEx!$1:$1048576,MATCH('2018'!$A32,DataEx!$D:$D,0),MATCH('2018'!H$6,DataEx!$7:$7,0))</f>
        <v>0</v>
      </c>
      <c r="I32" s="189">
        <f>+INDEX(DataEx!$1:$1048576,MATCH('2018'!$A32,DataEx!$D:$D,0),MATCH('2018'!I$6,DataEx!$7:$7,0))</f>
        <v>0</v>
      </c>
      <c r="J32" s="189">
        <f>+INDEX(DataEx!$1:$1048576,MATCH('2018'!$A32,DataEx!$D:$D,0),MATCH('2018'!J$6,DataEx!$7:$7,0))</f>
        <v>0</v>
      </c>
      <c r="K32" s="189">
        <f>+INDEX(DataEx!$1:$1048576,MATCH('2018'!$A32,DataEx!$D:$D,0),MATCH('2018'!K$6,DataEx!$7:$7,0))</f>
        <v>0</v>
      </c>
      <c r="L32" s="189">
        <f>+INDEX(DataEx!$1:$1048576,MATCH('2018'!$A32,DataEx!$D:$D,0),MATCH('2018'!L$6,DataEx!$7:$7,0))</f>
        <v>0</v>
      </c>
      <c r="M32" s="189">
        <f>+INDEX(DataEx!$1:$1048576,MATCH('2018'!$A32,DataEx!$D:$D,0),MATCH('2018'!M$6,DataEx!$7:$7,0))</f>
        <v>0</v>
      </c>
      <c r="N32" s="189">
        <f>+INDEX(DataEx!$1:$1048576,MATCH('2018'!$A32,DataEx!$D:$D,0),MATCH('2018'!N$6,DataEx!$7:$7,0))</f>
        <v>0</v>
      </c>
      <c r="O32" s="189">
        <f>+INDEX(DataEx!$1:$1048576,MATCH('2018'!$A32,DataEx!$D:$D,0),MATCH('2018'!O$6,DataEx!$7:$7,0))</f>
        <v>0</v>
      </c>
      <c r="P32" s="189">
        <f>+INDEX(DataEx!$1:$1048576,MATCH('2018'!$A32,DataEx!$D:$D,0),MATCH('2018'!P$6,DataEx!$7:$7,0))</f>
        <v>0</v>
      </c>
      <c r="Q32" s="189">
        <f>+INDEX(DataEx!$1:$1048576,MATCH('2018'!$A32,DataEx!$D:$D,0),MATCH('2018'!Q$6,DataEx!$7:$7,0))</f>
        <v>0</v>
      </c>
      <c r="R32" s="189">
        <f>+INDEX(DataEx!$1:$1048576,MATCH('2018'!$A32,DataEx!$D:$D,0),MATCH('2018'!R$6,DataEx!$7:$7,0))</f>
        <v>0</v>
      </c>
      <c r="S32" s="270">
        <f t="shared" si="3"/>
        <v>37313745.240000002</v>
      </c>
      <c r="T32" s="271">
        <f t="shared" si="4"/>
        <v>8.484831898492395E-3</v>
      </c>
    </row>
    <row r="33" spans="1:22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f>+INDEX(DataEx!$1:$1048576,MATCH('2018'!$A33,DataEx!$D:$D,0),MATCH('2018'!G$6,DataEx!$7:$7,0))</f>
        <v>363127.64</v>
      </c>
      <c r="H33" s="189">
        <f>+INDEX(DataEx!$1:$1048576,MATCH('2018'!$A33,DataEx!$D:$D,0),MATCH('2018'!H$6,DataEx!$7:$7,0))</f>
        <v>0</v>
      </c>
      <c r="I33" s="189">
        <f>+INDEX(DataEx!$1:$1048576,MATCH('2018'!$A33,DataEx!$D:$D,0),MATCH('2018'!I$6,DataEx!$7:$7,0))</f>
        <v>0</v>
      </c>
      <c r="J33" s="189">
        <f>+INDEX(DataEx!$1:$1048576,MATCH('2018'!$A33,DataEx!$D:$D,0),MATCH('2018'!J$6,DataEx!$7:$7,0))</f>
        <v>0</v>
      </c>
      <c r="K33" s="189">
        <f>+INDEX(DataEx!$1:$1048576,MATCH('2018'!$A33,DataEx!$D:$D,0),MATCH('2018'!K$6,DataEx!$7:$7,0))</f>
        <v>0</v>
      </c>
      <c r="L33" s="189">
        <f>+INDEX(DataEx!$1:$1048576,MATCH('2018'!$A33,DataEx!$D:$D,0),MATCH('2018'!L$6,DataEx!$7:$7,0))</f>
        <v>0</v>
      </c>
      <c r="M33" s="189">
        <f>+INDEX(DataEx!$1:$1048576,MATCH('2018'!$A33,DataEx!$D:$D,0),MATCH('2018'!M$6,DataEx!$7:$7,0))</f>
        <v>0</v>
      </c>
      <c r="N33" s="189">
        <f>+INDEX(DataEx!$1:$1048576,MATCH('2018'!$A33,DataEx!$D:$D,0),MATCH('2018'!N$6,DataEx!$7:$7,0))</f>
        <v>0</v>
      </c>
      <c r="O33" s="189">
        <f>+INDEX(DataEx!$1:$1048576,MATCH('2018'!$A33,DataEx!$D:$D,0),MATCH('2018'!O$6,DataEx!$7:$7,0))</f>
        <v>0</v>
      </c>
      <c r="P33" s="189">
        <f>+INDEX(DataEx!$1:$1048576,MATCH('2018'!$A33,DataEx!$D:$D,0),MATCH('2018'!P$6,DataEx!$7:$7,0))</f>
        <v>0</v>
      </c>
      <c r="Q33" s="189">
        <f>+INDEX(DataEx!$1:$1048576,MATCH('2018'!$A33,DataEx!$D:$D,0),MATCH('2018'!Q$6,DataEx!$7:$7,0))</f>
        <v>0</v>
      </c>
      <c r="R33" s="189">
        <f>+INDEX(DataEx!$1:$1048576,MATCH('2018'!$A33,DataEx!$D:$D,0),MATCH('2018'!R$6,DataEx!$7:$7,0))</f>
        <v>0</v>
      </c>
      <c r="S33" s="270">
        <f t="shared" si="3"/>
        <v>363127.64</v>
      </c>
      <c r="T33" s="271">
        <f t="shared" si="4"/>
        <v>8.2572171817086202E-5</v>
      </c>
      <c r="U33" s="368"/>
    </row>
    <row r="34" spans="1:22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f>+INDEX(DataEx!$1:$1048576,MATCH('2018'!$A34,DataEx!$D:$D,0),MATCH('2018'!G$6,DataEx!$7:$7,0))</f>
        <v>1027061</v>
      </c>
      <c r="H34" s="189">
        <f>+INDEX(DataEx!$1:$1048576,MATCH('2018'!$A34,DataEx!$D:$D,0),MATCH('2018'!H$6,DataEx!$7:$7,0))</f>
        <v>0</v>
      </c>
      <c r="I34" s="189">
        <f>+INDEX(DataEx!$1:$1048576,MATCH('2018'!$A34,DataEx!$D:$D,0),MATCH('2018'!I$6,DataEx!$7:$7,0))</f>
        <v>0</v>
      </c>
      <c r="J34" s="189">
        <f>+INDEX(DataEx!$1:$1048576,MATCH('2018'!$A34,DataEx!$D:$D,0),MATCH('2018'!J$6,DataEx!$7:$7,0))</f>
        <v>0</v>
      </c>
      <c r="K34" s="189">
        <f>+INDEX(DataEx!$1:$1048576,MATCH('2018'!$A34,DataEx!$D:$D,0),MATCH('2018'!K$6,DataEx!$7:$7,0))</f>
        <v>0</v>
      </c>
      <c r="L34" s="189">
        <f>+INDEX(DataEx!$1:$1048576,MATCH('2018'!$A34,DataEx!$D:$D,0),MATCH('2018'!L$6,DataEx!$7:$7,0))</f>
        <v>0</v>
      </c>
      <c r="M34" s="189">
        <f>+INDEX(DataEx!$1:$1048576,MATCH('2018'!$A34,DataEx!$D:$D,0),MATCH('2018'!M$6,DataEx!$7:$7,0))</f>
        <v>0</v>
      </c>
      <c r="N34" s="189">
        <f>+INDEX(DataEx!$1:$1048576,MATCH('2018'!$A34,DataEx!$D:$D,0),MATCH('2018'!N$6,DataEx!$7:$7,0))</f>
        <v>0</v>
      </c>
      <c r="O34" s="189">
        <f>+INDEX(DataEx!$1:$1048576,MATCH('2018'!$A34,DataEx!$D:$D,0),MATCH('2018'!O$6,DataEx!$7:$7,0))</f>
        <v>0</v>
      </c>
      <c r="P34" s="189">
        <f>+INDEX(DataEx!$1:$1048576,MATCH('2018'!$A34,DataEx!$D:$D,0),MATCH('2018'!P$6,DataEx!$7:$7,0))</f>
        <v>0</v>
      </c>
      <c r="Q34" s="189">
        <f>+INDEX(DataEx!$1:$1048576,MATCH('2018'!$A34,DataEx!$D:$D,0),MATCH('2018'!Q$6,DataEx!$7:$7,0))</f>
        <v>0</v>
      </c>
      <c r="R34" s="189">
        <f>+INDEX(DataEx!$1:$1048576,MATCH('2018'!$A34,DataEx!$D:$D,0),MATCH('2018'!R$6,DataEx!$7:$7,0))</f>
        <v>0</v>
      </c>
      <c r="S34" s="270">
        <f t="shared" si="3"/>
        <v>1027061</v>
      </c>
      <c r="T34" s="271">
        <f t="shared" si="4"/>
        <v>2.3354503490460922E-4</v>
      </c>
      <c r="U34" s="386"/>
      <c r="V34" s="366"/>
    </row>
    <row r="35" spans="1:22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f>+INDEX(DataEx!$1:$1048576,MATCH('2018'!$A35,DataEx!$D:$D,0),MATCH('2018'!G$6,DataEx!$7:$7,0))</f>
        <v>1697968.93</v>
      </c>
      <c r="H35" s="189">
        <f>+INDEX(DataEx!$1:$1048576,MATCH('2018'!$A35,DataEx!$D:$D,0),MATCH('2018'!H$6,DataEx!$7:$7,0))</f>
        <v>0</v>
      </c>
      <c r="I35" s="189">
        <f>+INDEX(DataEx!$1:$1048576,MATCH('2018'!$A35,DataEx!$D:$D,0),MATCH('2018'!I$6,DataEx!$7:$7,0))</f>
        <v>0</v>
      </c>
      <c r="J35" s="189">
        <f>+INDEX(DataEx!$1:$1048576,MATCH('2018'!$A35,DataEx!$D:$D,0),MATCH('2018'!J$6,DataEx!$7:$7,0))</f>
        <v>0</v>
      </c>
      <c r="K35" s="189">
        <f>+INDEX(DataEx!$1:$1048576,MATCH('2018'!$A35,DataEx!$D:$D,0),MATCH('2018'!K$6,DataEx!$7:$7,0))</f>
        <v>0</v>
      </c>
      <c r="L35" s="189">
        <f>+INDEX(DataEx!$1:$1048576,MATCH('2018'!$A35,DataEx!$D:$D,0),MATCH('2018'!L$6,DataEx!$7:$7,0))</f>
        <v>0</v>
      </c>
      <c r="M35" s="189">
        <f>+INDEX(DataEx!$1:$1048576,MATCH('2018'!$A35,DataEx!$D:$D,0),MATCH('2018'!M$6,DataEx!$7:$7,0))</f>
        <v>0</v>
      </c>
      <c r="N35" s="189">
        <f>+INDEX(DataEx!$1:$1048576,MATCH('2018'!$A35,DataEx!$D:$D,0),MATCH('2018'!N$6,DataEx!$7:$7,0))</f>
        <v>0</v>
      </c>
      <c r="O35" s="189">
        <f>+INDEX(DataEx!$1:$1048576,MATCH('2018'!$A35,DataEx!$D:$D,0),MATCH('2018'!O$6,DataEx!$7:$7,0))</f>
        <v>0</v>
      </c>
      <c r="P35" s="189">
        <f>+INDEX(DataEx!$1:$1048576,MATCH('2018'!$A35,DataEx!$D:$D,0),MATCH('2018'!P$6,DataEx!$7:$7,0))</f>
        <v>0</v>
      </c>
      <c r="Q35" s="189">
        <f>+INDEX(DataEx!$1:$1048576,MATCH('2018'!$A35,DataEx!$D:$D,0),MATCH('2018'!Q$6,DataEx!$7:$7,0))</f>
        <v>0</v>
      </c>
      <c r="R35" s="189">
        <f>+INDEX(DataEx!$1:$1048576,MATCH('2018'!$A35,DataEx!$D:$D,0),MATCH('2018'!R$6,DataEx!$7:$7,0))</f>
        <v>0</v>
      </c>
      <c r="S35" s="270">
        <f t="shared" si="3"/>
        <v>1697968.93</v>
      </c>
      <c r="T35" s="271">
        <f t="shared" si="4"/>
        <v>3.8610385656138432E-4</v>
      </c>
    </row>
    <row r="36" spans="1:22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f>+INDEX(DataEx!$1:$1048576,MATCH('2018'!$A36,DataEx!$D:$D,0),MATCH('2018'!G$6,DataEx!$7:$7,0))</f>
        <v>106817.18</v>
      </c>
      <c r="H36" s="189">
        <f>+INDEX(DataEx!$1:$1048576,MATCH('2018'!$A36,DataEx!$D:$D,0),MATCH('2018'!H$6,DataEx!$7:$7,0))</f>
        <v>0</v>
      </c>
      <c r="I36" s="189">
        <f>+INDEX(DataEx!$1:$1048576,MATCH('2018'!$A36,DataEx!$D:$D,0),MATCH('2018'!I$6,DataEx!$7:$7,0))</f>
        <v>0</v>
      </c>
      <c r="J36" s="189">
        <f>+INDEX(DataEx!$1:$1048576,MATCH('2018'!$A36,DataEx!$D:$D,0),MATCH('2018'!J$6,DataEx!$7:$7,0))</f>
        <v>0</v>
      </c>
      <c r="K36" s="189">
        <f>+INDEX(DataEx!$1:$1048576,MATCH('2018'!$A36,DataEx!$D:$D,0),MATCH('2018'!K$6,DataEx!$7:$7,0))</f>
        <v>0</v>
      </c>
      <c r="L36" s="189">
        <f>+INDEX(DataEx!$1:$1048576,MATCH('2018'!$A36,DataEx!$D:$D,0),MATCH('2018'!L$6,DataEx!$7:$7,0))</f>
        <v>0</v>
      </c>
      <c r="M36" s="189">
        <f>+INDEX(DataEx!$1:$1048576,MATCH('2018'!$A36,DataEx!$D:$D,0),MATCH('2018'!M$6,DataEx!$7:$7,0))</f>
        <v>0</v>
      </c>
      <c r="N36" s="189">
        <f>+INDEX(DataEx!$1:$1048576,MATCH('2018'!$A36,DataEx!$D:$D,0),MATCH('2018'!N$6,DataEx!$7:$7,0))</f>
        <v>0</v>
      </c>
      <c r="O36" s="189">
        <f>+INDEX(DataEx!$1:$1048576,MATCH('2018'!$A36,DataEx!$D:$D,0),MATCH('2018'!O$6,DataEx!$7:$7,0))</f>
        <v>0</v>
      </c>
      <c r="P36" s="189">
        <f>+INDEX(DataEx!$1:$1048576,MATCH('2018'!$A36,DataEx!$D:$D,0),MATCH('2018'!P$6,DataEx!$7:$7,0))</f>
        <v>0</v>
      </c>
      <c r="Q36" s="189">
        <f>+INDEX(DataEx!$1:$1048576,MATCH('2018'!$A36,DataEx!$D:$D,0),MATCH('2018'!Q$6,DataEx!$7:$7,0))</f>
        <v>0</v>
      </c>
      <c r="R36" s="189">
        <f>+INDEX(DataEx!$1:$1048576,MATCH('2018'!$A36,DataEx!$D:$D,0),MATCH('2018'!R$6,DataEx!$7:$7,0))</f>
        <v>0</v>
      </c>
      <c r="S36" s="270">
        <f t="shared" si="3"/>
        <v>106817.18</v>
      </c>
      <c r="T36" s="271">
        <f t="shared" si="4"/>
        <v>2.4289328512631602E-5</v>
      </c>
    </row>
    <row r="37" spans="1:22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f>+INDEX(DataEx!$1:$1048576,MATCH('2018'!$A37,DataEx!$D:$D,0),MATCH('2018'!G$6,DataEx!$7:$7,0))</f>
        <v>4324077.55</v>
      </c>
      <c r="H37" s="189">
        <f>+INDEX(DataEx!$1:$1048576,MATCH('2018'!$A37,DataEx!$D:$D,0),MATCH('2018'!H$6,DataEx!$7:$7,0))</f>
        <v>0</v>
      </c>
      <c r="I37" s="189">
        <f>+INDEX(DataEx!$1:$1048576,MATCH('2018'!$A37,DataEx!$D:$D,0),MATCH('2018'!I$6,DataEx!$7:$7,0))</f>
        <v>0</v>
      </c>
      <c r="J37" s="189">
        <f>+INDEX(DataEx!$1:$1048576,MATCH('2018'!$A37,DataEx!$D:$D,0),MATCH('2018'!J$6,DataEx!$7:$7,0))</f>
        <v>0</v>
      </c>
      <c r="K37" s="189">
        <f>+INDEX(DataEx!$1:$1048576,MATCH('2018'!$A37,DataEx!$D:$D,0),MATCH('2018'!K$6,DataEx!$7:$7,0))</f>
        <v>0</v>
      </c>
      <c r="L37" s="189">
        <f>+INDEX(DataEx!$1:$1048576,MATCH('2018'!$A37,DataEx!$D:$D,0),MATCH('2018'!L$6,DataEx!$7:$7,0))</f>
        <v>0</v>
      </c>
      <c r="M37" s="189">
        <f>+INDEX(DataEx!$1:$1048576,MATCH('2018'!$A37,DataEx!$D:$D,0),MATCH('2018'!M$6,DataEx!$7:$7,0))</f>
        <v>0</v>
      </c>
      <c r="N37" s="189">
        <f>+INDEX(DataEx!$1:$1048576,MATCH('2018'!$A37,DataEx!$D:$D,0),MATCH('2018'!N$6,DataEx!$7:$7,0))</f>
        <v>0</v>
      </c>
      <c r="O37" s="189">
        <f>+INDEX(DataEx!$1:$1048576,MATCH('2018'!$A37,DataEx!$D:$D,0),MATCH('2018'!O$6,DataEx!$7:$7,0))</f>
        <v>0</v>
      </c>
      <c r="P37" s="189">
        <f>+INDEX(DataEx!$1:$1048576,MATCH('2018'!$A37,DataEx!$D:$D,0),MATCH('2018'!P$6,DataEx!$7:$7,0))</f>
        <v>0</v>
      </c>
      <c r="Q37" s="189">
        <f>+INDEX(DataEx!$1:$1048576,MATCH('2018'!$A37,DataEx!$D:$D,0),MATCH('2018'!Q$6,DataEx!$7:$7,0))</f>
        <v>0</v>
      </c>
      <c r="R37" s="189">
        <f>+INDEX(DataEx!$1:$1048576,MATCH('2018'!$A37,DataEx!$D:$D,0),MATCH('2018'!R$6,DataEx!$7:$7,0))</f>
        <v>0</v>
      </c>
      <c r="S37" s="270">
        <f>+SUM(G37:R37)</f>
        <v>4324077.55</v>
      </c>
      <c r="T37" s="271">
        <f t="shared" si="4"/>
        <v>9.8325887395684102E-4</v>
      </c>
    </row>
    <row r="38" spans="1:22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f>+INDEX(DataEx!$1:$1048576,MATCH('2018'!$A38,DataEx!$D:$D,0),MATCH('2018'!G$6,DataEx!$7:$7,0))</f>
        <v>175603.34</v>
      </c>
      <c r="H38" s="189">
        <f>+INDEX(DataEx!$1:$1048576,MATCH('2018'!$A38,DataEx!$D:$D,0),MATCH('2018'!H$6,DataEx!$7:$7,0))</f>
        <v>0</v>
      </c>
      <c r="I38" s="189">
        <f>+INDEX(DataEx!$1:$1048576,MATCH('2018'!$A38,DataEx!$D:$D,0),MATCH('2018'!I$6,DataEx!$7:$7,0))</f>
        <v>0</v>
      </c>
      <c r="J38" s="189">
        <f>+INDEX(DataEx!$1:$1048576,MATCH('2018'!$A38,DataEx!$D:$D,0),MATCH('2018'!J$6,DataEx!$7:$7,0))</f>
        <v>0</v>
      </c>
      <c r="K38" s="189">
        <f>+INDEX(DataEx!$1:$1048576,MATCH('2018'!$A38,DataEx!$D:$D,0),MATCH('2018'!K$6,DataEx!$7:$7,0))</f>
        <v>0</v>
      </c>
      <c r="L38" s="189">
        <f>+INDEX(DataEx!$1:$1048576,MATCH('2018'!$A38,DataEx!$D:$D,0),MATCH('2018'!L$6,DataEx!$7:$7,0))</f>
        <v>0</v>
      </c>
      <c r="M38" s="189">
        <f>+INDEX(DataEx!$1:$1048576,MATCH('2018'!$A38,DataEx!$D:$D,0),MATCH('2018'!M$6,DataEx!$7:$7,0))</f>
        <v>0</v>
      </c>
      <c r="N38" s="189">
        <f>+INDEX(DataEx!$1:$1048576,MATCH('2018'!$A38,DataEx!$D:$D,0),MATCH('2018'!N$6,DataEx!$7:$7,0))</f>
        <v>0</v>
      </c>
      <c r="O38" s="189">
        <f>+INDEX(DataEx!$1:$1048576,MATCH('2018'!$A38,DataEx!$D:$D,0),MATCH('2018'!O$6,DataEx!$7:$7,0))</f>
        <v>0</v>
      </c>
      <c r="P38" s="189">
        <f>+INDEX(DataEx!$1:$1048576,MATCH('2018'!$A38,DataEx!$D:$D,0),MATCH('2018'!P$6,DataEx!$7:$7,0))</f>
        <v>0</v>
      </c>
      <c r="Q38" s="189">
        <f>+INDEX(DataEx!$1:$1048576,MATCH('2018'!$A38,DataEx!$D:$D,0),MATCH('2018'!Q$6,DataEx!$7:$7,0))</f>
        <v>0</v>
      </c>
      <c r="R38" s="189">
        <f>+INDEX(DataEx!$1:$1048576,MATCH('2018'!$A38,DataEx!$D:$D,0),MATCH('2018'!R$6,DataEx!$7:$7,0))</f>
        <v>0</v>
      </c>
      <c r="S38" s="270">
        <f t="shared" si="3"/>
        <v>175603.34</v>
      </c>
      <c r="T38" s="271">
        <f t="shared" si="4"/>
        <v>3.9930722877867976E-5</v>
      </c>
    </row>
    <row r="39" spans="1:22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f>+INDEX(DataEx!$1:$1048576,MATCH('2018'!$A39,DataEx!$D:$D,0),MATCH('2018'!G$6,DataEx!$7:$7,0))</f>
        <v>31033.66</v>
      </c>
      <c r="H39" s="189">
        <f>+INDEX(DataEx!$1:$1048576,MATCH('2018'!$A39,DataEx!$D:$D,0),MATCH('2018'!H$6,DataEx!$7:$7,0))</f>
        <v>0</v>
      </c>
      <c r="I39" s="189">
        <f>+INDEX(DataEx!$1:$1048576,MATCH('2018'!$A39,DataEx!$D:$D,0),MATCH('2018'!I$6,DataEx!$7:$7,0))</f>
        <v>0</v>
      </c>
      <c r="J39" s="189">
        <f>+INDEX(DataEx!$1:$1048576,MATCH('2018'!$A39,DataEx!$D:$D,0),MATCH('2018'!J$6,DataEx!$7:$7,0))</f>
        <v>0</v>
      </c>
      <c r="K39" s="189">
        <f>+INDEX(DataEx!$1:$1048576,MATCH('2018'!$A39,DataEx!$D:$D,0),MATCH('2018'!K$6,DataEx!$7:$7,0))</f>
        <v>0</v>
      </c>
      <c r="L39" s="189">
        <f>+INDEX(DataEx!$1:$1048576,MATCH('2018'!$A39,DataEx!$D:$D,0),MATCH('2018'!L$6,DataEx!$7:$7,0))</f>
        <v>0</v>
      </c>
      <c r="M39" s="189">
        <f>+INDEX(DataEx!$1:$1048576,MATCH('2018'!$A39,DataEx!$D:$D,0),MATCH('2018'!M$6,DataEx!$7:$7,0))</f>
        <v>0</v>
      </c>
      <c r="N39" s="189">
        <f>+INDEX(DataEx!$1:$1048576,MATCH('2018'!$A39,DataEx!$D:$D,0),MATCH('2018'!N$6,DataEx!$7:$7,0))</f>
        <v>0</v>
      </c>
      <c r="O39" s="189">
        <f>+INDEX(DataEx!$1:$1048576,MATCH('2018'!$A39,DataEx!$D:$D,0),MATCH('2018'!O$6,DataEx!$7:$7,0))</f>
        <v>0</v>
      </c>
      <c r="P39" s="189">
        <f>+INDEX(DataEx!$1:$1048576,MATCH('2018'!$A39,DataEx!$D:$D,0),MATCH('2018'!P$6,DataEx!$7:$7,0))</f>
        <v>0</v>
      </c>
      <c r="Q39" s="189">
        <f>+INDEX(DataEx!$1:$1048576,MATCH('2018'!$A39,DataEx!$D:$D,0),MATCH('2018'!Q$6,DataEx!$7:$7,0))</f>
        <v>0</v>
      </c>
      <c r="R39" s="189">
        <f>+INDEX(DataEx!$1:$1048576,MATCH('2018'!$A39,DataEx!$D:$D,0),MATCH('2018'!R$6,DataEx!$7:$7,0))</f>
        <v>0</v>
      </c>
      <c r="S39" s="270">
        <f t="shared" si="3"/>
        <v>31033.66</v>
      </c>
      <c r="T39" s="271">
        <f t="shared" si="4"/>
        <v>7.0567933237828867E-6</v>
      </c>
    </row>
    <row r="40" spans="1:22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f>+INDEX(DataEx!$1:$1048576,MATCH('2018'!$A40,DataEx!$D:$D,0),MATCH('2018'!G$6,DataEx!$7:$7,0))</f>
        <v>585935.19999999995</v>
      </c>
      <c r="H40" s="189">
        <f>+INDEX(DataEx!$1:$1048576,MATCH('2018'!$A40,DataEx!$D:$D,0),MATCH('2018'!H$6,DataEx!$7:$7,0))</f>
        <v>0</v>
      </c>
      <c r="I40" s="189">
        <f>+INDEX(DataEx!$1:$1048576,MATCH('2018'!$A40,DataEx!$D:$D,0),MATCH('2018'!I$6,DataEx!$7:$7,0))</f>
        <v>0</v>
      </c>
      <c r="J40" s="189">
        <f>+INDEX(DataEx!$1:$1048576,MATCH('2018'!$A40,DataEx!$D:$D,0),MATCH('2018'!J$6,DataEx!$7:$7,0))</f>
        <v>0</v>
      </c>
      <c r="K40" s="189">
        <f>+INDEX(DataEx!$1:$1048576,MATCH('2018'!$A40,DataEx!$D:$D,0),MATCH('2018'!K$6,DataEx!$7:$7,0))</f>
        <v>0</v>
      </c>
      <c r="L40" s="189">
        <f>+INDEX(DataEx!$1:$1048576,MATCH('2018'!$A40,DataEx!$D:$D,0),MATCH('2018'!L$6,DataEx!$7:$7,0))</f>
        <v>0</v>
      </c>
      <c r="M40" s="189">
        <f>+INDEX(DataEx!$1:$1048576,MATCH('2018'!$A40,DataEx!$D:$D,0),MATCH('2018'!M$6,DataEx!$7:$7,0))</f>
        <v>0</v>
      </c>
      <c r="N40" s="189">
        <f>+INDEX(DataEx!$1:$1048576,MATCH('2018'!$A40,DataEx!$D:$D,0),MATCH('2018'!N$6,DataEx!$7:$7,0))</f>
        <v>0</v>
      </c>
      <c r="O40" s="189">
        <f>+INDEX(DataEx!$1:$1048576,MATCH('2018'!$A40,DataEx!$D:$D,0),MATCH('2018'!O$6,DataEx!$7:$7,0))</f>
        <v>0</v>
      </c>
      <c r="P40" s="189">
        <f>+INDEX(DataEx!$1:$1048576,MATCH('2018'!$A40,DataEx!$D:$D,0),MATCH('2018'!P$6,DataEx!$7:$7,0))</f>
        <v>0</v>
      </c>
      <c r="Q40" s="189">
        <f>+INDEX(DataEx!$1:$1048576,MATCH('2018'!$A40,DataEx!$D:$D,0),MATCH('2018'!Q$6,DataEx!$7:$7,0))</f>
        <v>0</v>
      </c>
      <c r="R40" s="189">
        <f>+INDEX(DataEx!$1:$1048576,MATCH('2018'!$A40,DataEx!$D:$D,0),MATCH('2018'!R$6,DataEx!$7:$7,0))</f>
        <v>0</v>
      </c>
      <c r="S40" s="270">
        <f t="shared" si="3"/>
        <v>585935.19999999995</v>
      </c>
      <c r="T40" s="271">
        <f t="shared" si="4"/>
        <v>1.3323673738545148E-4</v>
      </c>
    </row>
    <row r="41" spans="1:22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f>+INDEX(DataEx!$1:$1048576,MATCH('2018'!$A41,DataEx!$D:$D,0),MATCH('2018'!G$6,DataEx!$7:$7,0))</f>
        <v>3266992.16</v>
      </c>
      <c r="H41" s="189">
        <f>+INDEX(DataEx!$1:$1048576,MATCH('2018'!$A41,DataEx!$D:$D,0),MATCH('2018'!H$6,DataEx!$7:$7,0))</f>
        <v>0</v>
      </c>
      <c r="I41" s="189">
        <f>+INDEX(DataEx!$1:$1048576,MATCH('2018'!$A41,DataEx!$D:$D,0),MATCH('2018'!I$6,DataEx!$7:$7,0))</f>
        <v>0</v>
      </c>
      <c r="J41" s="189">
        <f>+INDEX(DataEx!$1:$1048576,MATCH('2018'!$A41,DataEx!$D:$D,0),MATCH('2018'!J$6,DataEx!$7:$7,0))</f>
        <v>0</v>
      </c>
      <c r="K41" s="189">
        <f>+INDEX(DataEx!$1:$1048576,MATCH('2018'!$A41,DataEx!$D:$D,0),MATCH('2018'!K$6,DataEx!$7:$7,0))</f>
        <v>0</v>
      </c>
      <c r="L41" s="189">
        <f>+INDEX(DataEx!$1:$1048576,MATCH('2018'!$A41,DataEx!$D:$D,0),MATCH('2018'!L$6,DataEx!$7:$7,0))</f>
        <v>0</v>
      </c>
      <c r="M41" s="189">
        <f>+INDEX(DataEx!$1:$1048576,MATCH('2018'!$A41,DataEx!$D:$D,0),MATCH('2018'!M$6,DataEx!$7:$7,0))</f>
        <v>0</v>
      </c>
      <c r="N41" s="189">
        <f>+INDEX(DataEx!$1:$1048576,MATCH('2018'!$A41,DataEx!$D:$D,0),MATCH('2018'!N$6,DataEx!$7:$7,0))</f>
        <v>0</v>
      </c>
      <c r="O41" s="189">
        <f>+INDEX(DataEx!$1:$1048576,MATCH('2018'!$A41,DataEx!$D:$D,0),MATCH('2018'!O$6,DataEx!$7:$7,0))</f>
        <v>0</v>
      </c>
      <c r="P41" s="189">
        <f>+INDEX(DataEx!$1:$1048576,MATCH('2018'!$A41,DataEx!$D:$D,0),MATCH('2018'!P$6,DataEx!$7:$7,0))</f>
        <v>0</v>
      </c>
      <c r="Q41" s="189">
        <f>+INDEX(DataEx!$1:$1048576,MATCH('2018'!$A41,DataEx!$D:$D,0),MATCH('2018'!Q$6,DataEx!$7:$7,0))</f>
        <v>0</v>
      </c>
      <c r="R41" s="189">
        <f>+INDEX(DataEx!$1:$1048576,MATCH('2018'!$A41,DataEx!$D:$D,0),MATCH('2018'!R$6,DataEx!$7:$7,0))</f>
        <v>0</v>
      </c>
      <c r="S41" s="270">
        <f t="shared" si="3"/>
        <v>3266992.16</v>
      </c>
      <c r="T41" s="271">
        <f t="shared" si="4"/>
        <v>7.4288654523955706E-4</v>
      </c>
    </row>
    <row r="42" spans="1:22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19">
        <f>+SUM(G43:G47)</f>
        <v>42244817.569999993</v>
      </c>
      <c r="H42" s="219">
        <f t="shared" ref="H42:R42" si="8">+SUM(H43:H47)</f>
        <v>0</v>
      </c>
      <c r="I42" s="219">
        <f t="shared" si="8"/>
        <v>0</v>
      </c>
      <c r="J42" s="219">
        <f t="shared" si="8"/>
        <v>0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42244817.569999993</v>
      </c>
      <c r="T42" s="274">
        <f t="shared" si="4"/>
        <v>9.606116281237918E-3</v>
      </c>
    </row>
    <row r="43" spans="1:22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+INDEX(DataEx!$1:$1048576,MATCH('2018'!$A43,DataEx!$D:$D,0),MATCH('2018'!G$6,DataEx!$7:$7,0))</f>
        <v>6003212.1200000001</v>
      </c>
      <c r="H43" s="189">
        <f>+INDEX(DataEx!$1:$1048576,MATCH('2018'!$A43,DataEx!$D:$D,0),MATCH('2018'!H$6,DataEx!$7:$7,0))</f>
        <v>0</v>
      </c>
      <c r="I43" s="189">
        <f>+INDEX(DataEx!$1:$1048576,MATCH('2018'!$A43,DataEx!$D:$D,0),MATCH('2018'!I$6,DataEx!$7:$7,0))</f>
        <v>0</v>
      </c>
      <c r="J43" s="189">
        <f>+INDEX(DataEx!$1:$1048576,MATCH('2018'!$A43,DataEx!$D:$D,0),MATCH('2018'!J$6,DataEx!$7:$7,0))</f>
        <v>0</v>
      </c>
      <c r="K43" s="189">
        <f>+INDEX(DataEx!$1:$1048576,MATCH('2018'!$A43,DataEx!$D:$D,0),MATCH('2018'!K$6,DataEx!$7:$7,0))</f>
        <v>0</v>
      </c>
      <c r="L43" s="189">
        <f>+INDEX(DataEx!$1:$1048576,MATCH('2018'!$A43,DataEx!$D:$D,0),MATCH('2018'!L$6,DataEx!$7:$7,0))</f>
        <v>0</v>
      </c>
      <c r="M43" s="189">
        <f>+INDEX(DataEx!$1:$1048576,MATCH('2018'!$A43,DataEx!$D:$D,0),MATCH('2018'!M$6,DataEx!$7:$7,0))</f>
        <v>0</v>
      </c>
      <c r="N43" s="189">
        <f>+INDEX(DataEx!$1:$1048576,MATCH('2018'!$A43,DataEx!$D:$D,0),MATCH('2018'!N$6,DataEx!$7:$7,0))</f>
        <v>0</v>
      </c>
      <c r="O43" s="189">
        <f>+INDEX(DataEx!$1:$1048576,MATCH('2018'!$A43,DataEx!$D:$D,0),MATCH('2018'!O$6,DataEx!$7:$7,0))</f>
        <v>0</v>
      </c>
      <c r="P43" s="189">
        <f>+INDEX(DataEx!$1:$1048576,MATCH('2018'!$A43,DataEx!$D:$D,0),MATCH('2018'!P$6,DataEx!$7:$7,0))</f>
        <v>0</v>
      </c>
      <c r="Q43" s="189">
        <f>+INDEX(DataEx!$1:$1048576,MATCH('2018'!$A43,DataEx!$D:$D,0),MATCH('2018'!Q$6,DataEx!$7:$7,0))</f>
        <v>0</v>
      </c>
      <c r="R43" s="189">
        <f>+INDEX(DataEx!$1:$1048576,MATCH('2018'!$A43,DataEx!$D:$D,0),MATCH('2018'!R$6,DataEx!$7:$7,0))</f>
        <v>0</v>
      </c>
      <c r="S43" s="270">
        <f t="shared" si="3"/>
        <v>6003212.1200000001</v>
      </c>
      <c r="T43" s="271">
        <f t="shared" si="4"/>
        <v>1.3650799554312482E-3</v>
      </c>
    </row>
    <row r="44" spans="1:22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+INDEX(DataEx!$1:$1048576,MATCH('2018'!$A44,DataEx!$D:$D,0),MATCH('2018'!G$6,DataEx!$7:$7,0))</f>
        <v>110952</v>
      </c>
      <c r="H44" s="189">
        <f>+INDEX(DataEx!$1:$1048576,MATCH('2018'!$A44,DataEx!$D:$D,0),MATCH('2018'!H$6,DataEx!$7:$7,0))</f>
        <v>0</v>
      </c>
      <c r="I44" s="189">
        <f>+INDEX(DataEx!$1:$1048576,MATCH('2018'!$A44,DataEx!$D:$D,0),MATCH('2018'!I$6,DataEx!$7:$7,0))</f>
        <v>0</v>
      </c>
      <c r="J44" s="189">
        <f>+INDEX(DataEx!$1:$1048576,MATCH('2018'!$A44,DataEx!$D:$D,0),MATCH('2018'!J$6,DataEx!$7:$7,0))</f>
        <v>0</v>
      </c>
      <c r="K44" s="189">
        <f>+INDEX(DataEx!$1:$1048576,MATCH('2018'!$A44,DataEx!$D:$D,0),MATCH('2018'!K$6,DataEx!$7:$7,0))</f>
        <v>0</v>
      </c>
      <c r="L44" s="189">
        <f>+INDEX(DataEx!$1:$1048576,MATCH('2018'!$A44,DataEx!$D:$D,0),MATCH('2018'!L$6,DataEx!$7:$7,0))</f>
        <v>0</v>
      </c>
      <c r="M44" s="189">
        <f>+INDEX(DataEx!$1:$1048576,MATCH('2018'!$A44,DataEx!$D:$D,0),MATCH('2018'!M$6,DataEx!$7:$7,0))</f>
        <v>0</v>
      </c>
      <c r="N44" s="189">
        <f>+INDEX(DataEx!$1:$1048576,MATCH('2018'!$A44,DataEx!$D:$D,0),MATCH('2018'!N$6,DataEx!$7:$7,0))</f>
        <v>0</v>
      </c>
      <c r="O44" s="189">
        <f>+INDEX(DataEx!$1:$1048576,MATCH('2018'!$A44,DataEx!$D:$D,0),MATCH('2018'!O$6,DataEx!$7:$7,0))</f>
        <v>0</v>
      </c>
      <c r="P44" s="189">
        <f>+INDEX(DataEx!$1:$1048576,MATCH('2018'!$A44,DataEx!$D:$D,0),MATCH('2018'!P$6,DataEx!$7:$7,0))</f>
        <v>0</v>
      </c>
      <c r="Q44" s="189">
        <f>+INDEX(DataEx!$1:$1048576,MATCH('2018'!$A44,DataEx!$D:$D,0),MATCH('2018'!Q$6,DataEx!$7:$7,0))</f>
        <v>0</v>
      </c>
      <c r="R44" s="189">
        <f>+INDEX(DataEx!$1:$1048576,MATCH('2018'!$A44,DataEx!$D:$D,0),MATCH('2018'!R$6,DataEx!$7:$7,0))</f>
        <v>0</v>
      </c>
      <c r="S44" s="270">
        <f t="shared" si="3"/>
        <v>110952</v>
      </c>
      <c r="T44" s="271">
        <f t="shared" si="4"/>
        <v>2.5229551811174023E-5</v>
      </c>
    </row>
    <row r="45" spans="1:22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+INDEX(DataEx!$1:$1048576,MATCH('2018'!$A45,DataEx!$D:$D,0),MATCH('2018'!G$6,DataEx!$7:$7,0))</f>
        <v>34029606.390000001</v>
      </c>
      <c r="H45" s="189">
        <f>+INDEX(DataEx!$1:$1048576,MATCH('2018'!$A45,DataEx!$D:$D,0),MATCH('2018'!H$6,DataEx!$7:$7,0))</f>
        <v>0</v>
      </c>
      <c r="I45" s="189">
        <f>+INDEX(DataEx!$1:$1048576,MATCH('2018'!$A45,DataEx!$D:$D,0),MATCH('2018'!I$6,DataEx!$7:$7,0))</f>
        <v>0</v>
      </c>
      <c r="J45" s="189">
        <f>+INDEX(DataEx!$1:$1048576,MATCH('2018'!$A45,DataEx!$D:$D,0),MATCH('2018'!J$6,DataEx!$7:$7,0))</f>
        <v>0</v>
      </c>
      <c r="K45" s="189">
        <f>+INDEX(DataEx!$1:$1048576,MATCH('2018'!$A45,DataEx!$D:$D,0),MATCH('2018'!K$6,DataEx!$7:$7,0))</f>
        <v>0</v>
      </c>
      <c r="L45" s="189">
        <f>+INDEX(DataEx!$1:$1048576,MATCH('2018'!$A45,DataEx!$D:$D,0),MATCH('2018'!L$6,DataEx!$7:$7,0))</f>
        <v>0</v>
      </c>
      <c r="M45" s="189">
        <f>+INDEX(DataEx!$1:$1048576,MATCH('2018'!$A45,DataEx!$D:$D,0),MATCH('2018'!M$6,DataEx!$7:$7,0))</f>
        <v>0</v>
      </c>
      <c r="N45" s="189">
        <f>+INDEX(DataEx!$1:$1048576,MATCH('2018'!$A45,DataEx!$D:$D,0),MATCH('2018'!N$6,DataEx!$7:$7,0))</f>
        <v>0</v>
      </c>
      <c r="O45" s="189">
        <f>+INDEX(DataEx!$1:$1048576,MATCH('2018'!$A45,DataEx!$D:$D,0),MATCH('2018'!O$6,DataEx!$7:$7,0))</f>
        <v>0</v>
      </c>
      <c r="P45" s="189">
        <f>+INDEX(DataEx!$1:$1048576,MATCH('2018'!$A45,DataEx!$D:$D,0),MATCH('2018'!P$6,DataEx!$7:$7,0))</f>
        <v>0</v>
      </c>
      <c r="Q45" s="189">
        <f>+INDEX(DataEx!$1:$1048576,MATCH('2018'!$A45,DataEx!$D:$D,0),MATCH('2018'!Q$6,DataEx!$7:$7,0))</f>
        <v>0</v>
      </c>
      <c r="R45" s="189">
        <f>+INDEX(DataEx!$1:$1048576,MATCH('2018'!$A45,DataEx!$D:$D,0),MATCH('2018'!R$6,DataEx!$7:$7,0))</f>
        <v>0</v>
      </c>
      <c r="S45" s="270">
        <f t="shared" si="3"/>
        <v>34029606.390000001</v>
      </c>
      <c r="T45" s="271">
        <f t="shared" si="4"/>
        <v>7.7380463401323417E-3</v>
      </c>
    </row>
    <row r="46" spans="1:22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+INDEX(DataEx!$1:$1048576,MATCH('2018'!$A46,DataEx!$D:$D,0),MATCH('2018'!G$6,DataEx!$7:$7,0))</f>
        <v>1365364.87</v>
      </c>
      <c r="H46" s="189">
        <f>+INDEX(DataEx!$1:$1048576,MATCH('2018'!$A46,DataEx!$D:$D,0),MATCH('2018'!H$6,DataEx!$7:$7,0))</f>
        <v>0</v>
      </c>
      <c r="I46" s="189">
        <f>+INDEX(DataEx!$1:$1048576,MATCH('2018'!$A46,DataEx!$D:$D,0),MATCH('2018'!I$6,DataEx!$7:$7,0))</f>
        <v>0</v>
      </c>
      <c r="J46" s="189">
        <f>+INDEX(DataEx!$1:$1048576,MATCH('2018'!$A46,DataEx!$D:$D,0),MATCH('2018'!J$6,DataEx!$7:$7,0))</f>
        <v>0</v>
      </c>
      <c r="K46" s="189">
        <f>+INDEX(DataEx!$1:$1048576,MATCH('2018'!$A46,DataEx!$D:$D,0),MATCH('2018'!K$6,DataEx!$7:$7,0))</f>
        <v>0</v>
      </c>
      <c r="L46" s="189">
        <f>+INDEX(DataEx!$1:$1048576,MATCH('2018'!$A46,DataEx!$D:$D,0),MATCH('2018'!L$6,DataEx!$7:$7,0))</f>
        <v>0</v>
      </c>
      <c r="M46" s="189">
        <f>+INDEX(DataEx!$1:$1048576,MATCH('2018'!$A46,DataEx!$D:$D,0),MATCH('2018'!M$6,DataEx!$7:$7,0))</f>
        <v>0</v>
      </c>
      <c r="N46" s="189">
        <f>+INDEX(DataEx!$1:$1048576,MATCH('2018'!$A46,DataEx!$D:$D,0),MATCH('2018'!N$6,DataEx!$7:$7,0))</f>
        <v>0</v>
      </c>
      <c r="O46" s="189">
        <f>+INDEX(DataEx!$1:$1048576,MATCH('2018'!$A46,DataEx!$D:$D,0),MATCH('2018'!O$6,DataEx!$7:$7,0))</f>
        <v>0</v>
      </c>
      <c r="P46" s="189">
        <f>+INDEX(DataEx!$1:$1048576,MATCH('2018'!$A46,DataEx!$D:$D,0),MATCH('2018'!P$6,DataEx!$7:$7,0))</f>
        <v>0</v>
      </c>
      <c r="Q46" s="189">
        <f>+INDEX(DataEx!$1:$1048576,MATCH('2018'!$A46,DataEx!$D:$D,0),MATCH('2018'!Q$6,DataEx!$7:$7,0))</f>
        <v>0</v>
      </c>
      <c r="R46" s="189">
        <f>+INDEX(DataEx!$1:$1048576,MATCH('2018'!$A46,DataEx!$D:$D,0),MATCH('2018'!R$6,DataEx!$7:$7,0))</f>
        <v>0</v>
      </c>
      <c r="S46" s="270">
        <f t="shared" si="3"/>
        <v>1365364.87</v>
      </c>
      <c r="T46" s="271">
        <f t="shared" si="4"/>
        <v>3.1047249016531372E-4</v>
      </c>
    </row>
    <row r="47" spans="1:22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+INDEX(DataEx!$1:$1048576,MATCH('2018'!$A47,DataEx!$D:$D,0),MATCH('2018'!G$6,DataEx!$7:$7,0))</f>
        <v>735682.19</v>
      </c>
      <c r="H47" s="189">
        <f>+INDEX(DataEx!$1:$1048576,MATCH('2018'!$A47,DataEx!$D:$D,0),MATCH('2018'!H$6,DataEx!$7:$7,0))</f>
        <v>0</v>
      </c>
      <c r="I47" s="189">
        <f>+INDEX(DataEx!$1:$1048576,MATCH('2018'!$A47,DataEx!$D:$D,0),MATCH('2018'!I$6,DataEx!$7:$7,0))</f>
        <v>0</v>
      </c>
      <c r="J47" s="189">
        <f>+INDEX(DataEx!$1:$1048576,MATCH('2018'!$A47,DataEx!$D:$D,0),MATCH('2018'!J$6,DataEx!$7:$7,0))</f>
        <v>0</v>
      </c>
      <c r="K47" s="189">
        <f>+INDEX(DataEx!$1:$1048576,MATCH('2018'!$A47,DataEx!$D:$D,0),MATCH('2018'!K$6,DataEx!$7:$7,0))</f>
        <v>0</v>
      </c>
      <c r="L47" s="189">
        <f>+INDEX(DataEx!$1:$1048576,MATCH('2018'!$A47,DataEx!$D:$D,0),MATCH('2018'!L$6,DataEx!$7:$7,0))</f>
        <v>0</v>
      </c>
      <c r="M47" s="189">
        <f>+INDEX(DataEx!$1:$1048576,MATCH('2018'!$A47,DataEx!$D:$D,0),MATCH('2018'!M$6,DataEx!$7:$7,0))</f>
        <v>0</v>
      </c>
      <c r="N47" s="189">
        <f>+INDEX(DataEx!$1:$1048576,MATCH('2018'!$A47,DataEx!$D:$D,0),MATCH('2018'!N$6,DataEx!$7:$7,0))</f>
        <v>0</v>
      </c>
      <c r="O47" s="189">
        <f>+INDEX(DataEx!$1:$1048576,MATCH('2018'!$A47,DataEx!$D:$D,0),MATCH('2018'!O$6,DataEx!$7:$7,0))</f>
        <v>0</v>
      </c>
      <c r="P47" s="189">
        <f>+INDEX(DataEx!$1:$1048576,MATCH('2018'!$A47,DataEx!$D:$D,0),MATCH('2018'!P$6,DataEx!$7:$7,0))</f>
        <v>0</v>
      </c>
      <c r="Q47" s="189">
        <f>+INDEX(DataEx!$1:$1048576,MATCH('2018'!$A47,DataEx!$D:$D,0),MATCH('2018'!Q$6,DataEx!$7:$7,0))</f>
        <v>0</v>
      </c>
      <c r="R47" s="189">
        <f>+INDEX(DataEx!$1:$1048576,MATCH('2018'!$A47,DataEx!$D:$D,0),MATCH('2018'!R$6,DataEx!$7:$7,0))</f>
        <v>0</v>
      </c>
      <c r="S47" s="270">
        <f t="shared" si="3"/>
        <v>735682.19</v>
      </c>
      <c r="T47" s="271">
        <f t="shared" si="4"/>
        <v>1.6728794369784205E-4</v>
      </c>
    </row>
    <row r="48" spans="1:22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f>+INDEX(DataEx!$1:$1048576,MATCH('2018'!$A48,DataEx!$D:$D,0),MATCH('2018'!G$6,DataEx!$7:$7,0))</f>
        <v>11036841.98</v>
      </c>
      <c r="H48" s="201">
        <f>+INDEX(DataEx!$1:$1048576,MATCH('2018'!$A48,DataEx!$D:$D,0),MATCH('2018'!H$6,DataEx!$7:$7,0))</f>
        <v>0</v>
      </c>
      <c r="I48" s="201">
        <f>+INDEX(DataEx!$1:$1048576,MATCH('2018'!$A48,DataEx!$D:$D,0),MATCH('2018'!I$6,DataEx!$7:$7,0))</f>
        <v>0</v>
      </c>
      <c r="J48" s="201">
        <f>+INDEX(DataEx!$1:$1048576,MATCH('2018'!$A48,DataEx!$D:$D,0),MATCH('2018'!J$6,DataEx!$7:$7,0))</f>
        <v>0</v>
      </c>
      <c r="K48" s="201">
        <f>+INDEX(DataEx!$1:$1048576,MATCH('2018'!$A48,DataEx!$D:$D,0),MATCH('2018'!K$6,DataEx!$7:$7,0))</f>
        <v>0</v>
      </c>
      <c r="L48" s="201">
        <f>+INDEX(DataEx!$1:$1048576,MATCH('2018'!$A48,DataEx!$D:$D,0),MATCH('2018'!L$6,DataEx!$7:$7,0))</f>
        <v>0</v>
      </c>
      <c r="M48" s="201">
        <f>+INDEX(DataEx!$1:$1048576,MATCH('2018'!$A48,DataEx!$D:$D,0),MATCH('2018'!M$6,DataEx!$7:$7,0))</f>
        <v>0</v>
      </c>
      <c r="N48" s="201">
        <f>+INDEX(DataEx!$1:$1048576,MATCH('2018'!$A48,DataEx!$D:$D,0),MATCH('2018'!N$6,DataEx!$7:$7,0))</f>
        <v>0</v>
      </c>
      <c r="O48" s="201">
        <f>+INDEX(DataEx!$1:$1048576,MATCH('2018'!$A48,DataEx!$D:$D,0),MATCH('2018'!O$6,DataEx!$7:$7,0))</f>
        <v>0</v>
      </c>
      <c r="P48" s="201">
        <f>+INDEX(DataEx!$1:$1048576,MATCH('2018'!$A48,DataEx!$D:$D,0),MATCH('2018'!P$6,DataEx!$7:$7,0))</f>
        <v>0</v>
      </c>
      <c r="Q48" s="201">
        <f>+INDEX(DataEx!$1:$1048576,MATCH('2018'!$A48,DataEx!$D:$D,0),MATCH('2018'!Q$6,DataEx!$7:$7,0))</f>
        <v>0</v>
      </c>
      <c r="R48" s="275">
        <f>+INDEX(DataEx!$1:$1048576,MATCH('2018'!$A48,DataEx!$D:$D,0),MATCH('2018'!R$6,DataEx!$7:$7,0))</f>
        <v>0</v>
      </c>
      <c r="S48" s="273">
        <f t="shared" si="3"/>
        <v>11036841.98</v>
      </c>
      <c r="T48" s="274">
        <f t="shared" si="4"/>
        <v>2.5096850580985518E-3</v>
      </c>
    </row>
    <row r="49" spans="1:22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201">
        <f>+INDEX(DataEx!$1:$1048576,MATCH('2018'!$A49,DataEx!$D:$D,0),MATCH('2018'!G$6,DataEx!$7:$7,0))</f>
        <v>2060574.27</v>
      </c>
      <c r="H49" s="201">
        <f>+INDEX(DataEx!$1:$1048576,MATCH('2018'!$A49,DataEx!$D:$D,0),MATCH('2018'!H$6,DataEx!$7:$7,0))</f>
        <v>0</v>
      </c>
      <c r="I49" s="201">
        <f>+INDEX(DataEx!$1:$1048576,MATCH('2018'!$A49,DataEx!$D:$D,0),MATCH('2018'!I$6,DataEx!$7:$7,0))</f>
        <v>0</v>
      </c>
      <c r="J49" s="201">
        <f>+INDEX(DataEx!$1:$1048576,MATCH('2018'!$A49,DataEx!$D:$D,0),MATCH('2018'!J$6,DataEx!$7:$7,0))</f>
        <v>0</v>
      </c>
      <c r="K49" s="201">
        <f>+INDEX(DataEx!$1:$1048576,MATCH('2018'!$A49,DataEx!$D:$D,0),MATCH('2018'!K$6,DataEx!$7:$7,0))</f>
        <v>0</v>
      </c>
      <c r="L49" s="201">
        <f>+INDEX(DataEx!$1:$1048576,MATCH('2018'!$A49,DataEx!$D:$D,0),MATCH('2018'!L$6,DataEx!$7:$7,0))</f>
        <v>0</v>
      </c>
      <c r="M49" s="201">
        <f>+INDEX(DataEx!$1:$1048576,MATCH('2018'!$A49,DataEx!$D:$D,0),MATCH('2018'!M$6,DataEx!$7:$7,0))</f>
        <v>0</v>
      </c>
      <c r="N49" s="201">
        <f>+INDEX(DataEx!$1:$1048576,MATCH('2018'!$A49,DataEx!$D:$D,0),MATCH('2018'!N$6,DataEx!$7:$7,0))</f>
        <v>0</v>
      </c>
      <c r="O49" s="201">
        <f>+INDEX(DataEx!$1:$1048576,MATCH('2018'!$A49,DataEx!$D:$D,0),MATCH('2018'!O$6,DataEx!$7:$7,0))</f>
        <v>0</v>
      </c>
      <c r="P49" s="201">
        <f>+INDEX(DataEx!$1:$1048576,MATCH('2018'!$A49,DataEx!$D:$D,0),MATCH('2018'!P$6,DataEx!$7:$7,0))</f>
        <v>0</v>
      </c>
      <c r="Q49" s="201">
        <f>+INDEX(DataEx!$1:$1048576,MATCH('2018'!$A49,DataEx!$D:$D,0),MATCH('2018'!Q$6,DataEx!$7:$7,0))</f>
        <v>0</v>
      </c>
      <c r="R49" s="201">
        <f>+INDEX(DataEx!$1:$1048576,MATCH('2018'!$A49,DataEx!$D:$D,0),MATCH('2018'!R$6,DataEx!$7:$7,0))</f>
        <v>0</v>
      </c>
      <c r="S49" s="273">
        <f t="shared" si="3"/>
        <v>2060574.27</v>
      </c>
      <c r="T49" s="274">
        <f t="shared" si="4"/>
        <v>4.6855726175046048E-4</v>
      </c>
    </row>
    <row r="50" spans="1:22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f>+INDEX(DataEx!$1:$1048576,MATCH('2018'!$A50,DataEx!$D:$D,0),MATCH('2018'!G$6,DataEx!$7:$7,0))</f>
        <v>5000</v>
      </c>
      <c r="H50" s="189">
        <f>+INDEX(DataEx!$1:$1048576,MATCH('2018'!$A50,DataEx!$D:$D,0),MATCH('2018'!H$6,DataEx!$7:$7,0))</f>
        <v>0</v>
      </c>
      <c r="I50" s="189">
        <f>+INDEX(DataEx!$1:$1048576,MATCH('2018'!$A50,DataEx!$D:$D,0),MATCH('2018'!I$6,DataEx!$7:$7,0))</f>
        <v>0</v>
      </c>
      <c r="J50" s="189">
        <f>+INDEX(DataEx!$1:$1048576,MATCH('2018'!$A50,DataEx!$D:$D,0),MATCH('2018'!J$6,DataEx!$7:$7,0))</f>
        <v>0</v>
      </c>
      <c r="K50" s="189">
        <f>+INDEX(DataEx!$1:$1048576,MATCH('2018'!$A50,DataEx!$D:$D,0),MATCH('2018'!K$6,DataEx!$7:$7,0))</f>
        <v>0</v>
      </c>
      <c r="L50" s="189">
        <f>+INDEX(DataEx!$1:$1048576,MATCH('2018'!$A50,DataEx!$D:$D,0),MATCH('2018'!L$6,DataEx!$7:$7,0))</f>
        <v>0</v>
      </c>
      <c r="M50" s="189">
        <f>+INDEX(DataEx!$1:$1048576,MATCH('2018'!$A50,DataEx!$D:$D,0),MATCH('2018'!M$6,DataEx!$7:$7,0))</f>
        <v>0</v>
      </c>
      <c r="N50" s="189">
        <f>+INDEX(DataEx!$1:$1048576,MATCH('2018'!$A50,DataEx!$D:$D,0),MATCH('2018'!N$6,DataEx!$7:$7,0))</f>
        <v>0</v>
      </c>
      <c r="O50" s="189">
        <f>+INDEX(DataEx!$1:$1048576,MATCH('2018'!$A50,DataEx!$D:$D,0),MATCH('2018'!O$6,DataEx!$7:$7,0))</f>
        <v>0</v>
      </c>
      <c r="P50" s="189">
        <f>+INDEX(DataEx!$1:$1048576,MATCH('2018'!$A50,DataEx!$D:$D,0),MATCH('2018'!P$6,DataEx!$7:$7,0))</f>
        <v>0</v>
      </c>
      <c r="Q50" s="189">
        <f>+INDEX(DataEx!$1:$1048576,MATCH('2018'!$A50,DataEx!$D:$D,0),MATCH('2018'!Q$6,DataEx!$7:$7,0))</f>
        <v>0</v>
      </c>
      <c r="R50" s="189">
        <f>+INDEX(DataEx!$1:$1048576,MATCH('2018'!$A50,DataEx!$D:$D,0),MATCH('2018'!R$6,DataEx!$7:$7,0))</f>
        <v>0</v>
      </c>
      <c r="S50" s="270">
        <f t="shared" si="3"/>
        <v>5000</v>
      </c>
      <c r="T50" s="271">
        <f t="shared" si="4"/>
        <v>1.1369579552948131E-6</v>
      </c>
    </row>
    <row r="51" spans="1:22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f>+INDEX(DataEx!$1:$1048576,MATCH('2018'!$A51,DataEx!$D:$D,0),MATCH('2018'!G$6,DataEx!$7:$7,0))</f>
        <v>190000</v>
      </c>
      <c r="H51" s="189">
        <f>+INDEX(DataEx!$1:$1048576,MATCH('2018'!$A51,DataEx!$D:$D,0),MATCH('2018'!H$6,DataEx!$7:$7,0))</f>
        <v>0</v>
      </c>
      <c r="I51" s="189">
        <f>+INDEX(DataEx!$1:$1048576,MATCH('2018'!$A51,DataEx!$D:$D,0),MATCH('2018'!I$6,DataEx!$7:$7,0))</f>
        <v>0</v>
      </c>
      <c r="J51" s="189">
        <f>+INDEX(DataEx!$1:$1048576,MATCH('2018'!$A51,DataEx!$D:$D,0),MATCH('2018'!J$6,DataEx!$7:$7,0))</f>
        <v>0</v>
      </c>
      <c r="K51" s="189">
        <f>+INDEX(DataEx!$1:$1048576,MATCH('2018'!$A51,DataEx!$D:$D,0),MATCH('2018'!K$6,DataEx!$7:$7,0))</f>
        <v>0</v>
      </c>
      <c r="L51" s="189">
        <f>+INDEX(DataEx!$1:$1048576,MATCH('2018'!$A51,DataEx!$D:$D,0),MATCH('2018'!L$6,DataEx!$7:$7,0))</f>
        <v>0</v>
      </c>
      <c r="M51" s="189">
        <f>+INDEX(DataEx!$1:$1048576,MATCH('2018'!$A51,DataEx!$D:$D,0),MATCH('2018'!M$6,DataEx!$7:$7,0))</f>
        <v>0</v>
      </c>
      <c r="N51" s="189">
        <f>+INDEX(DataEx!$1:$1048576,MATCH('2018'!$A51,DataEx!$D:$D,0),MATCH('2018'!N$6,DataEx!$7:$7,0))</f>
        <v>0</v>
      </c>
      <c r="O51" s="189">
        <f>+INDEX(DataEx!$1:$1048576,MATCH('2018'!$A51,DataEx!$D:$D,0),MATCH('2018'!O$6,DataEx!$7:$7,0))</f>
        <v>0</v>
      </c>
      <c r="P51" s="189">
        <f>+INDEX(DataEx!$1:$1048576,MATCH('2018'!$A51,DataEx!$D:$D,0),MATCH('2018'!P$6,DataEx!$7:$7,0))</f>
        <v>0</v>
      </c>
      <c r="Q51" s="189">
        <f>+INDEX(DataEx!$1:$1048576,MATCH('2018'!$A51,DataEx!$D:$D,0),MATCH('2018'!Q$6,DataEx!$7:$7,0))</f>
        <v>0</v>
      </c>
      <c r="R51" s="189">
        <f>+INDEX(DataEx!$1:$1048576,MATCH('2018'!$A51,DataEx!$D:$D,0),MATCH('2018'!R$6,DataEx!$7:$7,0))</f>
        <v>0</v>
      </c>
      <c r="S51" s="270">
        <f t="shared" si="3"/>
        <v>190000</v>
      </c>
      <c r="T51" s="271">
        <f t="shared" si="4"/>
        <v>4.3204402301202905E-5</v>
      </c>
    </row>
    <row r="52" spans="1:22" ht="13.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225">
        <f>+INDEX(DataEx!$1:$1048576,MATCH('2018'!$A52,DataEx!$D:$D,0),MATCH('2018'!G$6,DataEx!$7:$7,0))</f>
        <v>0</v>
      </c>
      <c r="H52" s="225">
        <f>+INDEX(DataEx!$1:$1048576,MATCH('2018'!$A52,DataEx!$D:$D,0),MATCH('2018'!H$6,DataEx!$7:$7,0))</f>
        <v>0</v>
      </c>
      <c r="I52" s="225">
        <f>+INDEX(DataEx!$1:$1048576,MATCH('2018'!$A52,DataEx!$D:$D,0),MATCH('2018'!I$6,DataEx!$7:$7,0))</f>
        <v>0</v>
      </c>
      <c r="J52" s="225">
        <f>+INDEX(DataEx!$1:$1048576,MATCH('2018'!$A52,DataEx!$D:$D,0),MATCH('2018'!J$6,DataEx!$7:$7,0))</f>
        <v>0</v>
      </c>
      <c r="K52" s="225">
        <f>+INDEX(DataEx!$1:$1048576,MATCH('2018'!$A52,DataEx!$D:$D,0),MATCH('2018'!K$6,DataEx!$7:$7,0))</f>
        <v>0</v>
      </c>
      <c r="L52" s="225">
        <f>+INDEX(DataEx!$1:$1048576,MATCH('2018'!$A52,DataEx!$D:$D,0),MATCH('2018'!L$6,DataEx!$7:$7,0))</f>
        <v>0</v>
      </c>
      <c r="M52" s="225">
        <f>+INDEX(DataEx!$1:$1048576,MATCH('2018'!$A52,DataEx!$D:$D,0),MATCH('2018'!M$6,DataEx!$7:$7,0))</f>
        <v>0</v>
      </c>
      <c r="N52" s="225">
        <f>+INDEX(DataEx!$1:$1048576,MATCH('2018'!$A52,DataEx!$D:$D,0),MATCH('2018'!N$6,DataEx!$7:$7,0))</f>
        <v>0</v>
      </c>
      <c r="O52" s="225">
        <f>+INDEX(DataEx!$1:$1048576,MATCH('2018'!$A52,DataEx!$D:$D,0),MATCH('2018'!O$6,DataEx!$7:$7,0))</f>
        <v>0</v>
      </c>
      <c r="P52" s="225">
        <f>+INDEX(DataEx!$1:$1048576,MATCH('2018'!$A52,DataEx!$D:$D,0),MATCH('2018'!P$6,DataEx!$7:$7,0))</f>
        <v>0</v>
      </c>
      <c r="Q52" s="225">
        <f>+INDEX(DataEx!$1:$1048576,MATCH('2018'!$A52,DataEx!$D:$D,0),MATCH('2018'!Q$6,DataEx!$7:$7,0))</f>
        <v>0</v>
      </c>
      <c r="R52" s="225">
        <f>+INDEX(DataEx!$1:$1048576,MATCH('2018'!$A52,DataEx!$D:$D,0),MATCH('2018'!R$6,DataEx!$7:$7,0))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8" t="str">
        <f>+VLOOKUP($A53,Master!$D$25:$G$223,4,TRUE)</f>
        <v>Repayments of Arrears</v>
      </c>
      <c r="C53" s="449"/>
      <c r="D53" s="449"/>
      <c r="E53" s="449"/>
      <c r="F53" s="449"/>
      <c r="G53" s="225">
        <f>+INDEX(DataEx!$1:$1048576,MATCH('2018'!$A53,DataEx!$D:$D,0),MATCH('2018'!G$6,DataEx!$7:$7,0))</f>
        <v>1671507.81</v>
      </c>
      <c r="H53" s="225">
        <f>+INDEX(DataEx!$1:$1048576,MATCH('2018'!$A53,DataEx!$D:$D,0),MATCH('2018'!H$6,DataEx!$7:$7,0))</f>
        <v>0</v>
      </c>
      <c r="I53" s="225">
        <f>+INDEX(DataEx!$1:$1048576,MATCH('2018'!$A53,DataEx!$D:$D,0),MATCH('2018'!I$6,DataEx!$7:$7,0))</f>
        <v>0</v>
      </c>
      <c r="J53" s="225">
        <f>+INDEX(DataEx!$1:$1048576,MATCH('2018'!$A53,DataEx!$D:$D,0),MATCH('2018'!J$6,DataEx!$7:$7,0))</f>
        <v>0</v>
      </c>
      <c r="K53" s="225">
        <f>+INDEX(DataEx!$1:$1048576,MATCH('2018'!$A53,DataEx!$D:$D,0),MATCH('2018'!K$6,DataEx!$7:$7,0))</f>
        <v>0</v>
      </c>
      <c r="L53" s="225">
        <f>+INDEX(DataEx!$1:$1048576,MATCH('2018'!$A53,DataEx!$D:$D,0),MATCH('2018'!L$6,DataEx!$7:$7,0))</f>
        <v>0</v>
      </c>
      <c r="M53" s="225">
        <f>+INDEX(DataEx!$1:$1048576,MATCH('2018'!$A53,DataEx!$D:$D,0),MATCH('2018'!M$6,DataEx!$7:$7,0))</f>
        <v>0</v>
      </c>
      <c r="N53" s="225">
        <f>+INDEX(DataEx!$1:$1048576,MATCH('2018'!$A53,DataEx!$D:$D,0),MATCH('2018'!N$6,DataEx!$7:$7,0))</f>
        <v>0</v>
      </c>
      <c r="O53" s="225">
        <f>+INDEX(DataEx!$1:$1048576,MATCH('2018'!$A53,DataEx!$D:$D,0),MATCH('2018'!O$6,DataEx!$7:$7,0))</f>
        <v>0</v>
      </c>
      <c r="P53" s="225">
        <f>+INDEX(DataEx!$1:$1048576,MATCH('2018'!$A53,DataEx!$D:$D,0),MATCH('2018'!P$6,DataEx!$7:$7,0))</f>
        <v>0</v>
      </c>
      <c r="Q53" s="225">
        <f>+INDEX(DataEx!$1:$1048576,MATCH('2018'!$A53,DataEx!$D:$D,0),MATCH('2018'!Q$6,DataEx!$7:$7,0))</f>
        <v>0</v>
      </c>
      <c r="R53" s="225">
        <f>+INDEX(DataEx!$1:$1048576,MATCH('2018'!$A53,DataEx!$D:$D,0),MATCH('2018'!R$6,DataEx!$7:$7,0))</f>
        <v>0</v>
      </c>
      <c r="S53" s="284">
        <f>+SUM(G53:R53)</f>
        <v>1671507.81</v>
      </c>
      <c r="T53" s="285">
        <f>+S53/$T$7</f>
        <v>3.8008682038338223E-4</v>
      </c>
    </row>
    <row r="54" spans="1:22" ht="13.5" thickBot="1">
      <c r="A54" s="71">
        <v>1005</v>
      </c>
      <c r="B54" s="482" t="str">
        <f>+VLOOKUP($A54,Master!$D$25:$G$225,4,FALSE)</f>
        <v>Net increase of liabilities</v>
      </c>
      <c r="C54" s="483"/>
      <c r="D54" s="483"/>
      <c r="E54" s="483"/>
      <c r="F54" s="483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99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4" t="str">
        <f>+VLOOKUP($A55,Master!$D$25:$G$223,4,FALSE)</f>
        <v>Surplus / deficit</v>
      </c>
      <c r="C55" s="455"/>
      <c r="D55" s="455"/>
      <c r="E55" s="455"/>
      <c r="F55" s="455"/>
      <c r="G55" s="177">
        <f t="shared" ref="G55:R55" si="9">+G10-G29</f>
        <v>-24556258.700000003</v>
      </c>
      <c r="H55" s="177">
        <f t="shared" si="9"/>
        <v>0</v>
      </c>
      <c r="I55" s="177">
        <f t="shared" si="9"/>
        <v>0</v>
      </c>
      <c r="J55" s="177">
        <f t="shared" si="9"/>
        <v>0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-24556258.700000003</v>
      </c>
      <c r="T55" s="287">
        <f t="shared" si="4"/>
        <v>-5.5838867362484942E-3</v>
      </c>
    </row>
    <row r="56" spans="1:22" ht="13.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231">
        <f>+G55+G37</f>
        <v>-20232181.150000002</v>
      </c>
      <c r="H56" s="231">
        <f t="shared" ref="H56:R56" si="10">+H55+H37</f>
        <v>0</v>
      </c>
      <c r="I56" s="231">
        <f t="shared" si="10"/>
        <v>0</v>
      </c>
      <c r="J56" s="231">
        <f t="shared" si="10"/>
        <v>0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-20232181.150000002</v>
      </c>
      <c r="T56" s="287">
        <f t="shared" si="4"/>
        <v>-4.6006278622916534E-3</v>
      </c>
    </row>
    <row r="57" spans="1:22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219">
        <f t="shared" ref="G57:R57" si="11">+SUM(G58:G59)</f>
        <v>26200164.98</v>
      </c>
      <c r="H57" s="219">
        <f t="shared" si="11"/>
        <v>0</v>
      </c>
      <c r="I57" s="219">
        <f t="shared" si="11"/>
        <v>0</v>
      </c>
      <c r="J57" s="219">
        <f t="shared" si="11"/>
        <v>0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26200164.98</v>
      </c>
      <c r="T57" s="289">
        <f t="shared" si="4"/>
        <v>5.9576972008095145E-3</v>
      </c>
      <c r="V57" s="384"/>
    </row>
    <row r="58" spans="1:22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237">
        <f>+INDEX(DataEx!$1:$1048576,MATCH('2018'!$A58,DataEx!$D:$D,0),MATCH('2018'!G$6,DataEx!$7:$7,0))</f>
        <v>24566746.16</v>
      </c>
      <c r="H58" s="237">
        <f>+INDEX(DataEx!$1:$1048576,MATCH('2018'!$A58,DataEx!$D:$D,0),MATCH('2018'!H$6,DataEx!$7:$7,0))</f>
        <v>0</v>
      </c>
      <c r="I58" s="237">
        <f>+INDEX(DataEx!$1:$1048576,MATCH('2018'!$A58,DataEx!$D:$D,0),MATCH('2018'!I$6,DataEx!$7:$7,0))</f>
        <v>0</v>
      </c>
      <c r="J58" s="237">
        <f>+INDEX(DataEx!$1:$1048576,MATCH('2018'!$A58,DataEx!$D:$D,0),MATCH('2018'!J$6,DataEx!$7:$7,0))</f>
        <v>0</v>
      </c>
      <c r="K58" s="237">
        <f>+INDEX(DataEx!$1:$1048576,MATCH('2018'!$A58,DataEx!$D:$D,0),MATCH('2018'!K$6,DataEx!$7:$7,0))</f>
        <v>0</v>
      </c>
      <c r="L58" s="237">
        <f>+INDEX(DataEx!$1:$1048576,MATCH('2018'!$A58,DataEx!$D:$D,0),MATCH('2018'!L$6,DataEx!$7:$7,0))</f>
        <v>0</v>
      </c>
      <c r="M58" s="237">
        <f>+INDEX(DataEx!$1:$1048576,MATCH('2018'!$A58,DataEx!$D:$D,0),MATCH('2018'!M$6,DataEx!$7:$7,0))</f>
        <v>0</v>
      </c>
      <c r="N58" s="237">
        <f>+INDEX(DataEx!$1:$1048576,MATCH('2018'!$A58,DataEx!$D:$D,0),MATCH('2018'!N$6,DataEx!$7:$7,0))</f>
        <v>0</v>
      </c>
      <c r="O58" s="237">
        <f>+INDEX(DataEx!$1:$1048576,MATCH('2018'!$A58,DataEx!$D:$D,0),MATCH('2018'!O$6,DataEx!$7:$7,0))</f>
        <v>0</v>
      </c>
      <c r="P58" s="237">
        <f>+INDEX(DataEx!$1:$1048576,MATCH('2018'!$A58,DataEx!$D:$D,0),MATCH('2018'!P$6,DataEx!$7:$7,0))</f>
        <v>0</v>
      </c>
      <c r="Q58" s="237">
        <f>+INDEX(DataEx!$1:$1048576,MATCH('2018'!$A58,DataEx!$D:$D,0),MATCH('2018'!Q$6,DataEx!$7:$7,0))</f>
        <v>0</v>
      </c>
      <c r="R58" s="237">
        <f>+INDEX(DataEx!$1:$1048576,MATCH('2018'!$A58,DataEx!$D:$D,0),MATCH('2018'!R$6,DataEx!$7:$7,0))</f>
        <v>0</v>
      </c>
      <c r="S58" s="290">
        <f t="shared" si="3"/>
        <v>24566746.16</v>
      </c>
      <c r="T58" s="291">
        <f t="shared" si="4"/>
        <v>5.5862714964640611E-3</v>
      </c>
    </row>
    <row r="59" spans="1:22" ht="13.5" thickBot="1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237">
        <f>+INDEX(DataEx!$1:$1048576,MATCH('2018'!$A59,DataEx!$D:$D,0),MATCH('2018'!G$6,DataEx!$7:$7,0))</f>
        <v>1633418.82</v>
      </c>
      <c r="H59" s="237">
        <f>+INDEX(DataEx!$1:$1048576,MATCH('2018'!$A59,DataEx!$D:$D,0),MATCH('2018'!H$6,DataEx!$7:$7,0))</f>
        <v>0</v>
      </c>
      <c r="I59" s="237">
        <f>+INDEX(DataEx!$1:$1048576,MATCH('2018'!$A59,DataEx!$D:$D,0),MATCH('2018'!I$6,DataEx!$7:$7,0))</f>
        <v>0</v>
      </c>
      <c r="J59" s="237">
        <f>+INDEX(DataEx!$1:$1048576,MATCH('2018'!$A59,DataEx!$D:$D,0),MATCH('2018'!J$6,DataEx!$7:$7,0))</f>
        <v>0</v>
      </c>
      <c r="K59" s="237">
        <f>+INDEX(DataEx!$1:$1048576,MATCH('2018'!$A59,DataEx!$D:$D,0),MATCH('2018'!K$6,DataEx!$7:$7,0))</f>
        <v>0</v>
      </c>
      <c r="L59" s="237">
        <f>+INDEX(DataEx!$1:$1048576,MATCH('2018'!$A59,DataEx!$D:$D,0),MATCH('2018'!L$6,DataEx!$7:$7,0))</f>
        <v>0</v>
      </c>
      <c r="M59" s="237">
        <f>+INDEX(DataEx!$1:$1048576,MATCH('2018'!$A59,DataEx!$D:$D,0),MATCH('2018'!M$6,DataEx!$7:$7,0))</f>
        <v>0</v>
      </c>
      <c r="N59" s="237">
        <f>+INDEX(DataEx!$1:$1048576,MATCH('2018'!$A59,DataEx!$D:$D,0),MATCH('2018'!N$6,DataEx!$7:$7,0))</f>
        <v>0</v>
      </c>
      <c r="O59" s="237">
        <f>+INDEX(DataEx!$1:$1048576,MATCH('2018'!$A59,DataEx!$D:$D,0),MATCH('2018'!O$6,DataEx!$7:$7,0))</f>
        <v>0</v>
      </c>
      <c r="P59" s="237">
        <f>+INDEX(DataEx!$1:$1048576,MATCH('2018'!$A59,DataEx!$D:$D,0),MATCH('2018'!P$6,DataEx!$7:$7,0))</f>
        <v>0</v>
      </c>
      <c r="Q59" s="237">
        <f>+INDEX(DataEx!$1:$1048576,MATCH('2018'!$A59,DataEx!$D:$D,0),MATCH('2018'!Q$6,DataEx!$7:$7,0))</f>
        <v>0</v>
      </c>
      <c r="R59" s="237">
        <f>+INDEX(DataEx!$1:$1048576,MATCH('2018'!$A59,DataEx!$D:$D,0),MATCH('2018'!R$6,DataEx!$7:$7,0))</f>
        <v>0</v>
      </c>
      <c r="S59" s="290">
        <f t="shared" si="3"/>
        <v>1633418.82</v>
      </c>
      <c r="T59" s="291">
        <f t="shared" si="4"/>
        <v>3.7142570434545332E-4</v>
      </c>
      <c r="V59" s="403"/>
    </row>
    <row r="60" spans="1:22" ht="13.5" thickBot="1">
      <c r="A60" s="170">
        <v>1002</v>
      </c>
      <c r="B60" s="450" t="str">
        <f>+VLOOKUP($A60,Master!$D$25:$G$223,4,FALSE)</f>
        <v>Financing needs</v>
      </c>
      <c r="C60" s="451"/>
      <c r="D60" s="451"/>
      <c r="E60" s="451"/>
      <c r="F60" s="451"/>
      <c r="G60" s="243">
        <f t="shared" ref="G60:R60" si="12">+G55-G57</f>
        <v>-50756423.680000007</v>
      </c>
      <c r="H60" s="243">
        <f t="shared" si="12"/>
        <v>0</v>
      </c>
      <c r="I60" s="243">
        <f t="shared" si="12"/>
        <v>0</v>
      </c>
      <c r="J60" s="243">
        <f t="shared" si="12"/>
        <v>0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-50756423.680000007</v>
      </c>
      <c r="T60" s="293">
        <f t="shared" si="4"/>
        <v>-1.1541583937058009E-2</v>
      </c>
    </row>
    <row r="61" spans="1:22" ht="13.5" thickBot="1">
      <c r="A61" s="170">
        <v>1003</v>
      </c>
      <c r="B61" s="452" t="str">
        <f>+VLOOKUP($A61,Master!$D$25:$G$223,4,FALSE)</f>
        <v>Financing</v>
      </c>
      <c r="C61" s="453"/>
      <c r="D61" s="453"/>
      <c r="E61" s="453"/>
      <c r="F61" s="453"/>
      <c r="G61" s="177">
        <f>+SUM(G62:G65)</f>
        <v>50756423.680000007</v>
      </c>
      <c r="H61" s="177">
        <f t="shared" ref="H61:R61" si="13">+SUM(H62:H65)</f>
        <v>0</v>
      </c>
      <c r="I61" s="177">
        <f t="shared" si="13"/>
        <v>0</v>
      </c>
      <c r="J61" s="177">
        <f t="shared" si="13"/>
        <v>0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50756423.680000007</v>
      </c>
      <c r="T61" s="295">
        <f t="shared" si="4"/>
        <v>1.1541583937058009E-2</v>
      </c>
    </row>
    <row r="62" spans="1:22">
      <c r="A62" s="170">
        <v>7511</v>
      </c>
      <c r="B62" s="446" t="str">
        <f>+VLOOKUP($A62,Master!$D$25:$G$223,4,FALSE)</f>
        <v>Domestic Loans and Borrowings</v>
      </c>
      <c r="C62" s="447"/>
      <c r="D62" s="447"/>
      <c r="E62" s="447"/>
      <c r="F62" s="447"/>
      <c r="G62" s="237">
        <f>+INDEX(DataEx!$1:$1048576,MATCH('2018'!$A62,DataEx!$D:$D,0),MATCH('2018'!G$6,DataEx!$7:$7,0))</f>
        <v>24535941.960000001</v>
      </c>
      <c r="H62" s="237">
        <f>+INDEX(DataEx!$1:$1048576,MATCH('2018'!$A62,DataEx!$D:$D,0),MATCH('2018'!H$6,DataEx!$7:$7,0))</f>
        <v>0</v>
      </c>
      <c r="I62" s="237">
        <f>+INDEX(DataEx!$1:$1048576,MATCH('2018'!$A62,DataEx!$D:$D,0),MATCH('2018'!I$6,DataEx!$7:$7,0))</f>
        <v>0</v>
      </c>
      <c r="J62" s="237">
        <f>+INDEX(DataEx!$1:$1048576,MATCH('2018'!$A62,DataEx!$D:$D,0),MATCH('2018'!J$6,DataEx!$7:$7,0))</f>
        <v>0</v>
      </c>
      <c r="K62" s="237">
        <f>+INDEX(DataEx!$1:$1048576,MATCH('2018'!$A62,DataEx!$D:$D,0),MATCH('2018'!K$6,DataEx!$7:$7,0))</f>
        <v>0</v>
      </c>
      <c r="L62" s="237">
        <f>+INDEX(DataEx!$1:$1048576,MATCH('2018'!$A62,DataEx!$D:$D,0),MATCH('2018'!L$6,DataEx!$7:$7,0))</f>
        <v>0</v>
      </c>
      <c r="M62" s="237">
        <f>+INDEX(DataEx!$1:$1048576,MATCH('2018'!$A62,DataEx!$D:$D,0),MATCH('2018'!M$6,DataEx!$7:$7,0))</f>
        <v>0</v>
      </c>
      <c r="N62" s="237">
        <f>+INDEX(DataEx!$1:$1048576,MATCH('2018'!$A62,DataEx!$D:$D,0),MATCH('2018'!N$6,DataEx!$7:$7,0))</f>
        <v>0</v>
      </c>
      <c r="O62" s="237">
        <f>+INDEX(DataEx!$1:$1048576,MATCH('2018'!$A62,DataEx!$D:$D,0),MATCH('2018'!O$6,DataEx!$7:$7,0))</f>
        <v>0</v>
      </c>
      <c r="P62" s="237">
        <f>+INDEX(DataEx!$1:$1048576,MATCH('2018'!$A62,DataEx!$D:$D,0),MATCH('2018'!P$6,DataEx!$7:$7,0))</f>
        <v>0</v>
      </c>
      <c r="Q62" s="237">
        <f>+INDEX(DataEx!$1:$1048576,MATCH('2018'!$A62,DataEx!$D:$D,0),MATCH('2018'!Q$6,DataEx!$7:$7,0))</f>
        <v>0</v>
      </c>
      <c r="R62" s="237">
        <f>+INDEX(DataEx!$1:$1048576,MATCH('2018'!$A62,DataEx!$D:$D,0),MATCH('2018'!R$6,DataEx!$7:$7,0))</f>
        <v>0</v>
      </c>
      <c r="S62" s="290">
        <f t="shared" si="3"/>
        <v>24535941.960000001</v>
      </c>
      <c r="T62" s="291">
        <f t="shared" si="4"/>
        <v>5.5792668804147622E-3</v>
      </c>
    </row>
    <row r="63" spans="1:22">
      <c r="A63" s="170">
        <v>7512</v>
      </c>
      <c r="B63" s="430" t="str">
        <f>+VLOOKUP($A63,Master!$D$25:$G$223,4,FALSE)</f>
        <v>Foreign Loans and Borrowings</v>
      </c>
      <c r="C63" s="431"/>
      <c r="D63" s="431"/>
      <c r="E63" s="431"/>
      <c r="F63" s="431"/>
      <c r="G63" s="237">
        <f>+INDEX(DataEx!$1:$1048576,MATCH('2018'!$A63,DataEx!$D:$D,0),MATCH('2018'!G$6,DataEx!$7:$7,0))</f>
        <v>220322.84</v>
      </c>
      <c r="H63" s="237">
        <f>+INDEX(DataEx!$1:$1048576,MATCH('2018'!$A63,DataEx!$D:$D,0),MATCH('2018'!H$6,DataEx!$7:$7,0))</f>
        <v>0</v>
      </c>
      <c r="I63" s="237">
        <f>+INDEX(DataEx!$1:$1048576,MATCH('2018'!$A63,DataEx!$D:$D,0),MATCH('2018'!I$6,DataEx!$7:$7,0))</f>
        <v>0</v>
      </c>
      <c r="J63" s="237">
        <f>+INDEX(DataEx!$1:$1048576,MATCH('2018'!$A63,DataEx!$D:$D,0),MATCH('2018'!J$6,DataEx!$7:$7,0))</f>
        <v>0</v>
      </c>
      <c r="K63" s="237">
        <f>+INDEX(DataEx!$1:$1048576,MATCH('2018'!$A63,DataEx!$D:$D,0),MATCH('2018'!K$6,DataEx!$7:$7,0))</f>
        <v>0</v>
      </c>
      <c r="L63" s="237">
        <f>+INDEX(DataEx!$1:$1048576,MATCH('2018'!$A63,DataEx!$D:$D,0),MATCH('2018'!L$6,DataEx!$7:$7,0))</f>
        <v>0</v>
      </c>
      <c r="M63" s="237">
        <f>+INDEX(DataEx!$1:$1048576,MATCH('2018'!$A63,DataEx!$D:$D,0),MATCH('2018'!M$6,DataEx!$7:$7,0))</f>
        <v>0</v>
      </c>
      <c r="N63" s="237">
        <f>+INDEX(DataEx!$1:$1048576,MATCH('2018'!$A63,DataEx!$D:$D,0),MATCH('2018'!N$6,DataEx!$7:$7,0))</f>
        <v>0</v>
      </c>
      <c r="O63" s="237">
        <f>+INDEX(DataEx!$1:$1048576,MATCH('2018'!$A63,DataEx!$D:$D,0),MATCH('2018'!O$6,DataEx!$7:$7,0))</f>
        <v>0</v>
      </c>
      <c r="P63" s="237">
        <f>+INDEX(DataEx!$1:$1048576,MATCH('2018'!$A63,DataEx!$D:$D,0),MATCH('2018'!P$6,DataEx!$7:$7,0))</f>
        <v>0</v>
      </c>
      <c r="Q63" s="237">
        <f>+INDEX(DataEx!$1:$1048576,MATCH('2018'!$A63,DataEx!$D:$D,0),MATCH('2018'!Q$6,DataEx!$7:$7,0))</f>
        <v>0</v>
      </c>
      <c r="R63" s="237">
        <f>+INDEX(DataEx!$1:$1048576,MATCH('2018'!$A63,DataEx!$D:$D,0),MATCH('2018'!R$6,DataEx!$7:$7,0))</f>
        <v>0</v>
      </c>
      <c r="S63" s="290">
        <f t="shared" si="3"/>
        <v>220322.84</v>
      </c>
      <c r="T63" s="291">
        <f t="shared" si="4"/>
        <v>5.0099561134229254E-5</v>
      </c>
    </row>
    <row r="64" spans="1:22">
      <c r="A64" s="170">
        <v>72</v>
      </c>
      <c r="B64" s="430" t="str">
        <f>+VLOOKUP($A64,Master!$D$25:$G$223,4,FALSE)</f>
        <v>Revenues from Selling Assets</v>
      </c>
      <c r="C64" s="431"/>
      <c r="D64" s="431"/>
      <c r="E64" s="431"/>
      <c r="F64" s="431"/>
      <c r="G64" s="237">
        <f>+INDEX(DataEx!$1:$1048576,MATCH('2018'!$A64,DataEx!$D:$D,0),MATCH('2018'!G$6,DataEx!$7:$7,0))</f>
        <v>136671.79999999999</v>
      </c>
      <c r="H64" s="237">
        <f>+INDEX(DataEx!$1:$1048576,MATCH('2018'!$A64,DataEx!$D:$D,0),MATCH('2018'!H$6,DataEx!$7:$7,0))</f>
        <v>0</v>
      </c>
      <c r="I64" s="237">
        <f>+INDEX(DataEx!$1:$1048576,MATCH('2018'!$A64,DataEx!$D:$D,0),MATCH('2018'!I$6,DataEx!$7:$7,0))</f>
        <v>0</v>
      </c>
      <c r="J64" s="237">
        <f>+INDEX(DataEx!$1:$1048576,MATCH('2018'!$A64,DataEx!$D:$D,0),MATCH('2018'!J$6,DataEx!$7:$7,0))</f>
        <v>0</v>
      </c>
      <c r="K64" s="237">
        <f>+INDEX(DataEx!$1:$1048576,MATCH('2018'!$A64,DataEx!$D:$D,0),MATCH('2018'!K$6,DataEx!$7:$7,0))</f>
        <v>0</v>
      </c>
      <c r="L64" s="237">
        <f>+INDEX(DataEx!$1:$1048576,MATCH('2018'!$A64,DataEx!$D:$D,0),MATCH('2018'!L$6,DataEx!$7:$7,0))</f>
        <v>0</v>
      </c>
      <c r="M64" s="237">
        <f>+INDEX(DataEx!$1:$1048576,MATCH('2018'!$A64,DataEx!$D:$D,0),MATCH('2018'!M$6,DataEx!$7:$7,0))</f>
        <v>0</v>
      </c>
      <c r="N64" s="237">
        <f>+INDEX(DataEx!$1:$1048576,MATCH('2018'!$A64,DataEx!$D:$D,0),MATCH('2018'!N$6,DataEx!$7:$7,0))</f>
        <v>0</v>
      </c>
      <c r="O64" s="237">
        <f>+INDEX(DataEx!$1:$1048576,MATCH('2018'!$A64,DataEx!$D:$D,0),MATCH('2018'!O$6,DataEx!$7:$7,0))</f>
        <v>0</v>
      </c>
      <c r="P64" s="237">
        <f>+INDEX(DataEx!$1:$1048576,MATCH('2018'!$A64,DataEx!$D:$D,0),MATCH('2018'!P$6,DataEx!$7:$7,0))</f>
        <v>0</v>
      </c>
      <c r="Q64" s="237">
        <f>+INDEX(DataEx!$1:$1048576,MATCH('2018'!$A64,DataEx!$D:$D,0),MATCH('2018'!Q$6,DataEx!$7:$7,0))</f>
        <v>0</v>
      </c>
      <c r="R64" s="237">
        <f>+INDEX(DataEx!$1:$1048576,MATCH('2018'!$A64,DataEx!$D:$D,0),MATCH('2018'!R$6,DataEx!$7:$7,0))</f>
        <v>0</v>
      </c>
      <c r="S64" s="290">
        <f t="shared" si="3"/>
        <v>136671.79999999999</v>
      </c>
      <c r="T64" s="291">
        <f t="shared" si="4"/>
        <v>3.1078018054892328E-5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25863487.080000006</v>
      </c>
      <c r="H65" s="251">
        <f t="shared" ref="H65:R65" si="14">-H60-SUM(H62:H64)</f>
        <v>0</v>
      </c>
      <c r="I65" s="251">
        <f t="shared" si="14"/>
        <v>0</v>
      </c>
      <c r="J65" s="251">
        <f t="shared" si="14"/>
        <v>0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25863487.080000006</v>
      </c>
      <c r="T65" s="297">
        <f t="shared" si="4"/>
        <v>5.8811394774541254E-3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2018-01p</v>
      </c>
      <c r="H100" s="69" t="str">
        <f t="shared" si="15"/>
        <v>2018-02p</v>
      </c>
      <c r="I100" s="69" t="str">
        <f t="shared" si="15"/>
        <v>2018-03p</v>
      </c>
      <c r="J100" s="69" t="str">
        <f t="shared" si="15"/>
        <v>2018-04p</v>
      </c>
      <c r="K100" s="69" t="str">
        <f t="shared" si="15"/>
        <v>2018-05p</v>
      </c>
      <c r="L100" s="69" t="str">
        <f t="shared" si="15"/>
        <v>2018-06p</v>
      </c>
      <c r="M100" s="69" t="str">
        <f t="shared" si="15"/>
        <v>2018-07p</v>
      </c>
      <c r="N100" s="69" t="str">
        <f t="shared" si="15"/>
        <v>2018-08p</v>
      </c>
      <c r="O100" s="69" t="str">
        <f t="shared" si="15"/>
        <v>2018-09p</v>
      </c>
      <c r="P100" s="69" t="str">
        <f t="shared" si="15"/>
        <v>2018-10p</v>
      </c>
      <c r="Q100" s="69" t="str">
        <f t="shared" si="15"/>
        <v>2018-11p</v>
      </c>
      <c r="R100" s="69" t="str">
        <f t="shared" si="15"/>
        <v>2018-12p</v>
      </c>
    </row>
    <row r="101" spans="1:21" ht="15.75" customHeight="1" thickBot="1">
      <c r="B101" s="516" t="str">
        <f>+Master!G250</f>
        <v>Planned Budget Execution</v>
      </c>
      <c r="C101" s="517"/>
      <c r="D101" s="517"/>
      <c r="E101" s="517"/>
      <c r="F101" s="517"/>
      <c r="G101" s="510">
        <v>2018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GDP</v>
      </c>
      <c r="T101" s="117">
        <f>+T7</f>
        <v>4397700000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10" t="str">
        <f>+Master!G244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512" t="str">
        <f>+VLOOKUP(LEFT($A104,LEN(A104)-1)*1,Master!$D$25:$G$223,4,FALSE)</f>
        <v>Total Revenues</v>
      </c>
      <c r="C104" s="513"/>
      <c r="D104" s="513"/>
      <c r="E104" s="513"/>
      <c r="F104" s="513"/>
      <c r="G104" s="97">
        <f t="shared" ref="G104:R104" si="18">+G105+G113+SUM(G118:G122)</f>
        <v>80524770.855568931</v>
      </c>
      <c r="H104" s="97">
        <f t="shared" si="18"/>
        <v>96845894.734958217</v>
      </c>
      <c r="I104" s="97">
        <f t="shared" si="18"/>
        <v>146399218.28613439</v>
      </c>
      <c r="J104" s="97">
        <f t="shared" si="18"/>
        <v>135428806.55208561</v>
      </c>
      <c r="K104" s="97">
        <f t="shared" si="18"/>
        <v>137198433.09630129</v>
      </c>
      <c r="L104" s="97">
        <f t="shared" si="18"/>
        <v>147397563.13339874</v>
      </c>
      <c r="M104" s="97">
        <f t="shared" si="18"/>
        <v>159479461.28008562</v>
      </c>
      <c r="N104" s="97">
        <f t="shared" si="18"/>
        <v>164393248.71940091</v>
      </c>
      <c r="O104" s="97">
        <f t="shared" si="18"/>
        <v>152786589.37047243</v>
      </c>
      <c r="P104" s="97">
        <f t="shared" si="18"/>
        <v>152011105.38488871</v>
      </c>
      <c r="Q104" s="97">
        <f t="shared" si="18"/>
        <v>137712392.37608793</v>
      </c>
      <c r="R104" s="97">
        <f t="shared" si="18"/>
        <v>198068607.6239053</v>
      </c>
      <c r="S104" s="122">
        <f>+SUM(G104:R104)</f>
        <v>1708246091.4132881</v>
      </c>
      <c r="T104" s="123">
        <f>+S104/$T$7</f>
        <v>0.38844079664672171</v>
      </c>
    </row>
    <row r="105" spans="1:21">
      <c r="A105" s="138" t="str">
        <f t="shared" si="17"/>
        <v>711p</v>
      </c>
      <c r="B105" s="514" t="str">
        <f>+VLOOKUP(LEFT($A105,LEN(A105)-1)*1,Master!$D$25:$G$223,4,FALSE)</f>
        <v>Taxes</v>
      </c>
      <c r="C105" s="515"/>
      <c r="D105" s="515"/>
      <c r="E105" s="515"/>
      <c r="F105" s="515"/>
      <c r="G105" s="81">
        <f t="shared" ref="G105:R105" si="19">+SUM(G106:G112)</f>
        <v>60109816.050396062</v>
      </c>
      <c r="H105" s="81">
        <f t="shared" si="19"/>
        <v>57071387.698143646</v>
      </c>
      <c r="I105" s="81">
        <f t="shared" si="19"/>
        <v>100089058.0271076</v>
      </c>
      <c r="J105" s="81">
        <f t="shared" si="19"/>
        <v>90479064.507598534</v>
      </c>
      <c r="K105" s="81">
        <f t="shared" si="19"/>
        <v>87547020.248852983</v>
      </c>
      <c r="L105" s="81">
        <f t="shared" si="19"/>
        <v>95858615.9126039</v>
      </c>
      <c r="M105" s="81">
        <f t="shared" si="19"/>
        <v>100385808.64930755</v>
      </c>
      <c r="N105" s="81">
        <f t="shared" si="19"/>
        <v>111414256.15828978</v>
      </c>
      <c r="O105" s="81">
        <f t="shared" si="19"/>
        <v>103320065.36997487</v>
      </c>
      <c r="P105" s="81">
        <f t="shared" si="19"/>
        <v>96875847.045456797</v>
      </c>
      <c r="Q105" s="81">
        <f t="shared" si="19"/>
        <v>83438319.764974207</v>
      </c>
      <c r="R105" s="82">
        <f t="shared" si="19"/>
        <v>99732798.326922998</v>
      </c>
      <c r="S105" s="124">
        <f t="shared" ref="S105:S159" si="20">+SUM(G105:R105)</f>
        <v>1086322057.759629</v>
      </c>
      <c r="T105" s="125">
        <f t="shared" ref="T105:T159" si="21">+S105/$T$7</f>
        <v>0.24702050111640836</v>
      </c>
      <c r="U105" s="303"/>
    </row>
    <row r="106" spans="1:21">
      <c r="A106" s="138" t="str">
        <f t="shared" si="17"/>
        <v>7111p</v>
      </c>
      <c r="B106" s="496" t="str">
        <f>+VLOOKUP(LEFT($A106,LEN(A106)-1)*1,Master!$D$25:$G$223,4,FALSE)</f>
        <v>Personal Income Tax</v>
      </c>
      <c r="C106" s="497"/>
      <c r="D106" s="497"/>
      <c r="E106" s="497"/>
      <c r="F106" s="497"/>
      <c r="G106" s="91">
        <f>+SUM(DataEx!ET221)</f>
        <v>4618143.9894055836</v>
      </c>
      <c r="H106" s="91">
        <f>+SUM(DataEx!EU221)</f>
        <v>9284899.6687729731</v>
      </c>
      <c r="I106" s="91">
        <f>+SUM(DataEx!EV221)</f>
        <v>10892199.316978985</v>
      </c>
      <c r="J106" s="91">
        <f>+SUM(DataEx!EW221)</f>
        <v>10455826.187565433</v>
      </c>
      <c r="K106" s="91">
        <f>+SUM(DataEx!EX221)</f>
        <v>11769547.01149036</v>
      </c>
      <c r="L106" s="91">
        <f>+SUM(DataEx!EY221)</f>
        <v>11642228.889617292</v>
      </c>
      <c r="M106" s="91">
        <f>+SUM(DataEx!EZ221)</f>
        <v>12670329.157513712</v>
      </c>
      <c r="N106" s="91">
        <f>+SUM(DataEx!FA221)</f>
        <v>12548950.360382685</v>
      </c>
      <c r="O106" s="91">
        <f>+SUM(DataEx!FB221)</f>
        <v>11510602.880926838</v>
      </c>
      <c r="P106" s="91">
        <f>+SUM(DataEx!FC221)</f>
        <v>12249875.762775112</v>
      </c>
      <c r="Q106" s="91">
        <f>+SUM(DataEx!FD221)</f>
        <v>9188011.5097490586</v>
      </c>
      <c r="R106" s="91">
        <f>+SUM(DataEx!FE221)</f>
        <v>17303789.852902249</v>
      </c>
      <c r="S106" s="126">
        <f t="shared" si="20"/>
        <v>134134404.58808027</v>
      </c>
      <c r="T106" s="127">
        <f t="shared" si="21"/>
        <v>3.0501035675030191E-2</v>
      </c>
    </row>
    <row r="107" spans="1:21">
      <c r="A107" s="138" t="str">
        <f t="shared" si="17"/>
        <v>7112p</v>
      </c>
      <c r="B107" s="496" t="str">
        <f>+VLOOKUP(LEFT($A107,LEN(A107)-1)*1,Master!$D$25:$G$223,4,FALSE)</f>
        <v>Corporate Income Tax</v>
      </c>
      <c r="C107" s="497"/>
      <c r="D107" s="497"/>
      <c r="E107" s="497"/>
      <c r="F107" s="497"/>
      <c r="G107" s="91">
        <f>+SUM(DataEx!ET222)</f>
        <v>640697.66654902068</v>
      </c>
      <c r="H107" s="91">
        <f>+SUM(DataEx!EU222)</f>
        <v>1258489.341576278</v>
      </c>
      <c r="I107" s="91">
        <f>+SUM(DataEx!EV222)</f>
        <v>17846125.068047047</v>
      </c>
      <c r="J107" s="91">
        <f>+SUM(DataEx!EW222)</f>
        <v>14699092.518372357</v>
      </c>
      <c r="K107" s="91">
        <f>+SUM(DataEx!EX222)</f>
        <v>2718750.0754643138</v>
      </c>
      <c r="L107" s="91">
        <f>+SUM(DataEx!EY222)</f>
        <v>2526432.7594556934</v>
      </c>
      <c r="M107" s="91">
        <f>+SUM(DataEx!EZ222)</f>
        <v>2454704.3834308567</v>
      </c>
      <c r="N107" s="91">
        <f>+SUM(DataEx!FA222)</f>
        <v>2544621.6123291762</v>
      </c>
      <c r="O107" s="91">
        <f>+SUM(DataEx!FB222)</f>
        <v>1118291.2587748629</v>
      </c>
      <c r="P107" s="91">
        <f>+SUM(DataEx!FC222)</f>
        <v>1710454.4471528837</v>
      </c>
      <c r="Q107" s="91">
        <f>+SUM(DataEx!FD222)</f>
        <v>676421.92401853995</v>
      </c>
      <c r="R107" s="91">
        <f>+SUM(DataEx!FE222)</f>
        <v>1686954.7184825146</v>
      </c>
      <c r="S107" s="126">
        <f t="shared" si="20"/>
        <v>49881035.773653544</v>
      </c>
      <c r="T107" s="127">
        <f t="shared" si="21"/>
        <v>1.1342528088240112E-2</v>
      </c>
    </row>
    <row r="108" spans="1:21">
      <c r="A108" s="138" t="str">
        <f t="shared" si="17"/>
        <v>7113p</v>
      </c>
      <c r="B108" s="496" t="str">
        <f>+VLOOKUP(LEFT($A108,LEN(A108)-1)*1,Master!$D$25:$G$223,4,FALSE)</f>
        <v xml:space="preserve">Taxes on Sales of Property </v>
      </c>
      <c r="C108" s="497"/>
      <c r="D108" s="497"/>
      <c r="E108" s="497"/>
      <c r="F108" s="497"/>
      <c r="G108" s="91">
        <f>+SUM(DataEx!ET223)</f>
        <v>131310.10512390421</v>
      </c>
      <c r="H108" s="91">
        <f>+SUM(DataEx!EU223)</f>
        <v>241173.06208160633</v>
      </c>
      <c r="I108" s="91">
        <f>+SUM(DataEx!EV223)</f>
        <v>197793.08388741218</v>
      </c>
      <c r="J108" s="91">
        <f>+SUM(DataEx!EW223)</f>
        <v>209772.37284527504</v>
      </c>
      <c r="K108" s="91">
        <f>+SUM(DataEx!EX223)</f>
        <v>399270.53764722234</v>
      </c>
      <c r="L108" s="91">
        <f>+SUM(DataEx!EY223)</f>
        <v>214584.58779897663</v>
      </c>
      <c r="M108" s="91">
        <f>+SUM(DataEx!EZ223)</f>
        <v>314113.94562445628</v>
      </c>
      <c r="N108" s="91">
        <f>+SUM(DataEx!FA223)</f>
        <v>340718.21098900295</v>
      </c>
      <c r="O108" s="91">
        <f>+SUM(DataEx!FB223)</f>
        <v>258912.16492020246</v>
      </c>
      <c r="P108" s="91">
        <f>+SUM(DataEx!FC223)</f>
        <v>437182.06640708697</v>
      </c>
      <c r="Q108" s="91">
        <f>+SUM(DataEx!FD223)</f>
        <v>370142.87079353741</v>
      </c>
      <c r="R108" s="91">
        <f>+SUM(DataEx!FE223)</f>
        <v>290416.69112942234</v>
      </c>
      <c r="S108" s="126">
        <f t="shared" si="20"/>
        <v>3405389.6992481048</v>
      </c>
      <c r="T108" s="127">
        <f t="shared" si="21"/>
        <v>7.7435698188782877E-4</v>
      </c>
    </row>
    <row r="109" spans="1:21">
      <c r="A109" s="138" t="str">
        <f t="shared" si="17"/>
        <v>7114p</v>
      </c>
      <c r="B109" s="496" t="str">
        <f>+VLOOKUP(LEFT($A109,LEN(A109)-1)*1,Master!$D$25:$G$223,4,FALSE)</f>
        <v>Value Added Tax</v>
      </c>
      <c r="C109" s="497"/>
      <c r="D109" s="497"/>
      <c r="E109" s="497"/>
      <c r="F109" s="497"/>
      <c r="G109" s="91">
        <f>+SUM(DataEx!ET224)</f>
        <v>37523468.66235248</v>
      </c>
      <c r="H109" s="91">
        <f>+SUM(DataEx!EU224)</f>
        <v>30333658.787046466</v>
      </c>
      <c r="I109" s="91">
        <f>+SUM(DataEx!EV224)</f>
        <v>51631749.35770648</v>
      </c>
      <c r="J109" s="91">
        <f>+SUM(DataEx!EW224)</f>
        <v>44826373.040359117</v>
      </c>
      <c r="K109" s="91">
        <f>+SUM(DataEx!EX224)</f>
        <v>49873452.162422307</v>
      </c>
      <c r="L109" s="91">
        <f>+SUM(DataEx!EY224)</f>
        <v>57444085.190202698</v>
      </c>
      <c r="M109" s="91">
        <f>+SUM(DataEx!EZ224)</f>
        <v>58270263.375414416</v>
      </c>
      <c r="N109" s="91">
        <f>+SUM(DataEx!FA224)</f>
        <v>63955202.344856046</v>
      </c>
      <c r="O109" s="91">
        <f>+SUM(DataEx!FB224)</f>
        <v>60119888.964981407</v>
      </c>
      <c r="P109" s="91">
        <f>+SUM(DataEx!FC224)</f>
        <v>56319427.782048695</v>
      </c>
      <c r="Q109" s="91">
        <f>+SUM(DataEx!FD224)</f>
        <v>50563201.687991545</v>
      </c>
      <c r="R109" s="91">
        <f>+SUM(DataEx!FE224)</f>
        <v>56478824.882279612</v>
      </c>
      <c r="S109" s="126">
        <f t="shared" si="20"/>
        <v>617339596.23766124</v>
      </c>
      <c r="T109" s="127">
        <f t="shared" si="21"/>
        <v>0.14037783301217938</v>
      </c>
    </row>
    <row r="110" spans="1:21">
      <c r="A110" s="138" t="str">
        <f t="shared" si="17"/>
        <v>7115p</v>
      </c>
      <c r="B110" s="496" t="str">
        <f>+VLOOKUP(LEFT($A110,LEN(A110)-1)*1,Master!$D$25:$G$223,4,FALSE)</f>
        <v>Excises</v>
      </c>
      <c r="C110" s="497"/>
      <c r="D110" s="497"/>
      <c r="E110" s="497"/>
      <c r="F110" s="497"/>
      <c r="G110" s="91">
        <f>+SUM(DataEx!ET225)</f>
        <v>15514613.247426104</v>
      </c>
      <c r="H110" s="91">
        <f>+SUM(DataEx!EU225)</f>
        <v>13720024.892780244</v>
      </c>
      <c r="I110" s="91">
        <f>+SUM(DataEx!EV225)</f>
        <v>16442956.06471758</v>
      </c>
      <c r="J110" s="91">
        <f>+SUM(DataEx!EW225)</f>
        <v>17374028.269881994</v>
      </c>
      <c r="K110" s="91">
        <f>+SUM(DataEx!EX225)</f>
        <v>19701009.727677468</v>
      </c>
      <c r="L110" s="91">
        <f>+SUM(DataEx!EY225)</f>
        <v>20749639.846713897</v>
      </c>
      <c r="M110" s="91">
        <f>+SUM(DataEx!EZ225)</f>
        <v>23250436.480347391</v>
      </c>
      <c r="N110" s="91">
        <f>+SUM(DataEx!FA225)</f>
        <v>28321045.89384304</v>
      </c>
      <c r="O110" s="91">
        <f>+SUM(DataEx!FB225)</f>
        <v>27321859.077326633</v>
      </c>
      <c r="P110" s="91">
        <f>+SUM(DataEx!FC225)</f>
        <v>23123818.514601152</v>
      </c>
      <c r="Q110" s="91">
        <f>+SUM(DataEx!FD225)</f>
        <v>20002538.917064004</v>
      </c>
      <c r="R110" s="91">
        <f>+SUM(DataEx!FE225)</f>
        <v>20850235.007634521</v>
      </c>
      <c r="S110" s="126">
        <f t="shared" si="20"/>
        <v>246372205.940014</v>
      </c>
      <c r="T110" s="127">
        <f t="shared" si="21"/>
        <v>5.6022967901406193E-2</v>
      </c>
    </row>
    <row r="111" spans="1:21">
      <c r="A111" s="138" t="str">
        <f t="shared" si="17"/>
        <v>7116p</v>
      </c>
      <c r="B111" s="496" t="str">
        <f>+VLOOKUP(LEFT($A111,LEN(A111)-1)*1,Master!$D$25:$G$223,4,FALSE)</f>
        <v>Tax on International Trade and Transactions</v>
      </c>
      <c r="C111" s="497"/>
      <c r="D111" s="497"/>
      <c r="E111" s="497"/>
      <c r="F111" s="497"/>
      <c r="G111" s="91">
        <f>+SUM(DataEx!ET226)</f>
        <v>1059328.2399936907</v>
      </c>
      <c r="H111" s="91">
        <f>+SUM(DataEx!EU226)</f>
        <v>1579115.3478017247</v>
      </c>
      <c r="I111" s="91">
        <f>+SUM(DataEx!EV226)</f>
        <v>2201970.6838855804</v>
      </c>
      <c r="J111" s="91">
        <f>+SUM(DataEx!EW226)</f>
        <v>1985124.6631421652</v>
      </c>
      <c r="K111" s="91">
        <f>+SUM(DataEx!EX226)</f>
        <v>2257551.068690625</v>
      </c>
      <c r="L111" s="91">
        <f>+SUM(DataEx!EY226)</f>
        <v>2335126.2501745019</v>
      </c>
      <c r="M111" s="91">
        <f>+SUM(DataEx!EZ226)</f>
        <v>2493589.0518439799</v>
      </c>
      <c r="N111" s="91">
        <f>+SUM(DataEx!FA226)</f>
        <v>2829722.9926499384</v>
      </c>
      <c r="O111" s="91">
        <f>+SUM(DataEx!FB226)</f>
        <v>2126761.4806041955</v>
      </c>
      <c r="P111" s="91">
        <f>+SUM(DataEx!FC226)</f>
        <v>2143288.3925889055</v>
      </c>
      <c r="Q111" s="91">
        <f>+SUM(DataEx!FD226)</f>
        <v>1869250.9820304157</v>
      </c>
      <c r="R111" s="91">
        <f>+SUM(DataEx!FE226)</f>
        <v>2260026.1546102823</v>
      </c>
      <c r="S111" s="126">
        <f t="shared" si="20"/>
        <v>25140855.308016006</v>
      </c>
      <c r="T111" s="127">
        <f t="shared" si="21"/>
        <v>5.7168190890729258E-3</v>
      </c>
    </row>
    <row r="112" spans="1:21">
      <c r="A112" s="138" t="str">
        <f t="shared" si="17"/>
        <v>7118p</v>
      </c>
      <c r="B112" s="496" t="str">
        <f>+VLOOKUP(LEFT($A112,LEN(A112)-1)*1,Master!$D$25:$G$223,4,FALSE)</f>
        <v>Other Republic Taxes</v>
      </c>
      <c r="C112" s="497"/>
      <c r="D112" s="497"/>
      <c r="E112" s="497"/>
      <c r="F112" s="497"/>
      <c r="G112" s="91">
        <f>+SUM(DataEx!ET228)</f>
        <v>622254.13954528561</v>
      </c>
      <c r="H112" s="91">
        <f>+SUM(DataEx!EU228)</f>
        <v>654026.59808434988</v>
      </c>
      <c r="I112" s="91">
        <f>+SUM(DataEx!EV228)</f>
        <v>876264.45188452152</v>
      </c>
      <c r="J112" s="91">
        <f>+SUM(DataEx!EW228)</f>
        <v>928847.45543220767</v>
      </c>
      <c r="K112" s="91">
        <f>+SUM(DataEx!EX228)</f>
        <v>827439.66546069668</v>
      </c>
      <c r="L112" s="91">
        <f>+SUM(DataEx!EY228)</f>
        <v>946518.38864083635</v>
      </c>
      <c r="M112" s="91">
        <f>+SUM(DataEx!EZ228)</f>
        <v>932372.255132725</v>
      </c>
      <c r="N112" s="91">
        <f>+SUM(DataEx!FA228)</f>
        <v>873994.74323988287</v>
      </c>
      <c r="O112" s="91">
        <f>+SUM(DataEx!FB228)</f>
        <v>863749.54244072409</v>
      </c>
      <c r="P112" s="91">
        <f>+SUM(DataEx!FC228)</f>
        <v>891800.07988296391</v>
      </c>
      <c r="Q112" s="91">
        <f>+SUM(DataEx!FD228)</f>
        <v>768751.87332710018</v>
      </c>
      <c r="R112" s="91">
        <f>+SUM(DataEx!FE228)</f>
        <v>862551.01988440065</v>
      </c>
      <c r="S112" s="126">
        <f t="shared" si="20"/>
        <v>10048570.212955695</v>
      </c>
      <c r="T112" s="127">
        <f t="shared" si="21"/>
        <v>2.2849603685916944E-3</v>
      </c>
    </row>
    <row r="113" spans="1:20">
      <c r="A113" s="138" t="str">
        <f t="shared" si="17"/>
        <v>712p</v>
      </c>
      <c r="B113" s="508" t="str">
        <f>+VLOOKUP(LEFT($A113,LEN(A113)-1)*1,Master!$D$25:$G$223,4,FALSE)</f>
        <v>Contributions</v>
      </c>
      <c r="C113" s="509"/>
      <c r="D113" s="509"/>
      <c r="E113" s="509"/>
      <c r="F113" s="509"/>
      <c r="G113" s="83">
        <f>+SUM(G114:G117)</f>
        <v>16036024.793189028</v>
      </c>
      <c r="H113" s="83">
        <f t="shared" ref="H113:R113" si="22">+SUM(H114:H117)</f>
        <v>33298857.555693239</v>
      </c>
      <c r="I113" s="83">
        <f t="shared" si="22"/>
        <v>38781041.11782629</v>
      </c>
      <c r="J113" s="83">
        <f t="shared" si="22"/>
        <v>37207534.891815409</v>
      </c>
      <c r="K113" s="83">
        <f t="shared" si="22"/>
        <v>41975290.997073464</v>
      </c>
      <c r="L113" s="83">
        <f t="shared" si="22"/>
        <v>42006469.716118105</v>
      </c>
      <c r="M113" s="83">
        <f t="shared" si="22"/>
        <v>46051473.215158872</v>
      </c>
      <c r="N113" s="83">
        <f t="shared" si="22"/>
        <v>45417168.712223172</v>
      </c>
      <c r="O113" s="83">
        <f t="shared" si="22"/>
        <v>41655229.490652964</v>
      </c>
      <c r="P113" s="83">
        <f t="shared" si="22"/>
        <v>44149999.143204302</v>
      </c>
      <c r="Q113" s="83">
        <f t="shared" si="22"/>
        <v>45501177.426736034</v>
      </c>
      <c r="R113" s="84">
        <f t="shared" si="22"/>
        <v>79468127.972333685</v>
      </c>
      <c r="S113" s="128">
        <f t="shared" si="20"/>
        <v>511548395.03202456</v>
      </c>
      <c r="T113" s="129">
        <f t="shared" si="21"/>
        <v>0.11632180344999081</v>
      </c>
    </row>
    <row r="114" spans="1:20">
      <c r="A114" s="138" t="str">
        <f t="shared" si="17"/>
        <v>7121p</v>
      </c>
      <c r="B114" s="496" t="str">
        <f>+VLOOKUP(LEFT($A114,LEN(A114)-1)*1,Master!$D$25:$G$223,4,FALSE)</f>
        <v>Contributions for Pension and Disability Insurance</v>
      </c>
      <c r="C114" s="497"/>
      <c r="D114" s="497"/>
      <c r="E114" s="497"/>
      <c r="F114" s="497"/>
      <c r="G114" s="91">
        <f>+SUM(DataEx!ET230)</f>
        <v>9626465.1714532841</v>
      </c>
      <c r="H114" s="91">
        <f>+SUM(DataEx!EU230)</f>
        <v>19323119.320571974</v>
      </c>
      <c r="I114" s="91">
        <f>+SUM(DataEx!EV230)</f>
        <v>22661236.870072275</v>
      </c>
      <c r="J114" s="91">
        <f>+SUM(DataEx!EW230)</f>
        <v>21671712.932408508</v>
      </c>
      <c r="K114" s="91">
        <f>+SUM(DataEx!EX230)</f>
        <v>24422592.65266164</v>
      </c>
      <c r="L114" s="91">
        <f>+SUM(DataEx!EY230)</f>
        <v>24347303.194317084</v>
      </c>
      <c r="M114" s="91">
        <f>+SUM(DataEx!EZ230)</f>
        <v>27063230.092681259</v>
      </c>
      <c r="N114" s="91">
        <f>+SUM(DataEx!FA230)</f>
        <v>26617527.74049912</v>
      </c>
      <c r="O114" s="91">
        <f>+SUM(DataEx!FB230)</f>
        <v>24086861.224745333</v>
      </c>
      <c r="P114" s="91">
        <f>+SUM(DataEx!FC230)</f>
        <v>26037673.197168887</v>
      </c>
      <c r="Q114" s="91">
        <f>+SUM(DataEx!FD230)</f>
        <v>29266737.475276843</v>
      </c>
      <c r="R114" s="91">
        <f>+SUM(DataEx!FE230)</f>
        <v>48371655.090694487</v>
      </c>
      <c r="S114" s="126">
        <f t="shared" si="20"/>
        <v>303496114.9625507</v>
      </c>
      <c r="T114" s="127">
        <f t="shared" si="21"/>
        <v>6.901246446154824E-2</v>
      </c>
    </row>
    <row r="115" spans="1:20">
      <c r="A115" s="138" t="str">
        <f t="shared" si="17"/>
        <v>7122p</v>
      </c>
      <c r="B115" s="496" t="str">
        <f>+VLOOKUP(LEFT($A115,LEN(A115)-1)*1,Master!$D$25:$G$223,4,FALSE)</f>
        <v>Contributions for Health Insurance</v>
      </c>
      <c r="C115" s="497"/>
      <c r="D115" s="497"/>
      <c r="E115" s="497"/>
      <c r="F115" s="497"/>
      <c r="G115" s="91">
        <f>+SUM(DataEx!ET231)</f>
        <v>5931594.0843413193</v>
      </c>
      <c r="H115" s="91">
        <f>+SUM(DataEx!EU231)</f>
        <v>12036824.766470727</v>
      </c>
      <c r="I115" s="91">
        <f>+SUM(DataEx!EV231)</f>
        <v>14087280.929414179</v>
      </c>
      <c r="J115" s="91">
        <f>+SUM(DataEx!EW231)</f>
        <v>13443904.154916795</v>
      </c>
      <c r="K115" s="91">
        <f>+SUM(DataEx!EX231)</f>
        <v>15166634.423399368</v>
      </c>
      <c r="L115" s="91">
        <f>+SUM(DataEx!EY231)</f>
        <v>15076261.65313234</v>
      </c>
      <c r="M115" s="91">
        <f>+SUM(DataEx!EZ231)</f>
        <v>16282027.13815942</v>
      </c>
      <c r="N115" s="91">
        <f>+SUM(DataEx!FA231)</f>
        <v>16112166.956787322</v>
      </c>
      <c r="O115" s="91">
        <f>+SUM(DataEx!FB231)</f>
        <v>14895429.070452023</v>
      </c>
      <c r="P115" s="91">
        <f>+SUM(DataEx!FC231)</f>
        <v>15879931.744340258</v>
      </c>
      <c r="Q115" s="91">
        <f>+SUM(DataEx!FD231)</f>
        <v>14507425.295348117</v>
      </c>
      <c r="R115" s="91">
        <f>+SUM(DataEx!FE231)</f>
        <v>27518230.363804266</v>
      </c>
      <c r="S115" s="126">
        <f t="shared" si="20"/>
        <v>180937710.58056611</v>
      </c>
      <c r="T115" s="127">
        <f t="shared" si="21"/>
        <v>4.1143713891481026E-2</v>
      </c>
    </row>
    <row r="116" spans="1:20">
      <c r="A116" s="138" t="str">
        <f t="shared" si="17"/>
        <v>7123p</v>
      </c>
      <c r="B116" s="496" t="str">
        <f>+VLOOKUP(LEFT($A116,LEN(A116)-1)*1,Master!$D$25:$G$223,4,FALSE)</f>
        <v>Contributions for  Unemployment Insurance</v>
      </c>
      <c r="C116" s="497"/>
      <c r="D116" s="497"/>
      <c r="E116" s="497"/>
      <c r="F116" s="497"/>
      <c r="G116" s="91">
        <f>+SUM(DataEx!ET232)</f>
        <v>41461.016125474722</v>
      </c>
      <c r="H116" s="91">
        <f>+SUM(DataEx!EU232)</f>
        <v>1089835.9035174672</v>
      </c>
      <c r="I116" s="91">
        <f>+SUM(DataEx!EV232)</f>
        <v>1007647.8226283678</v>
      </c>
      <c r="J116" s="91">
        <f>+SUM(DataEx!EW232)</f>
        <v>1115720.629942816</v>
      </c>
      <c r="K116" s="91">
        <f>+SUM(DataEx!EX232)</f>
        <v>1279706.4140658588</v>
      </c>
      <c r="L116" s="91">
        <f>+SUM(DataEx!EY232)</f>
        <v>1486615.3225560505</v>
      </c>
      <c r="M116" s="91">
        <f>+SUM(DataEx!EZ232)</f>
        <v>1526583.0992700772</v>
      </c>
      <c r="N116" s="91">
        <f>+SUM(DataEx!FA232)</f>
        <v>1509125.8519229586</v>
      </c>
      <c r="O116" s="91">
        <f>+SUM(DataEx!FB232)</f>
        <v>1600961.2292083206</v>
      </c>
      <c r="P116" s="91">
        <f>+SUM(DataEx!FC232)</f>
        <v>1102624.1581454086</v>
      </c>
      <c r="Q116" s="91">
        <f>+SUM(DataEx!FD232)</f>
        <v>1132609.3818553921</v>
      </c>
      <c r="R116" s="91">
        <f>+SUM(DataEx!FE232)</f>
        <v>1420280.5236315699</v>
      </c>
      <c r="S116" s="126">
        <f t="shared" si="20"/>
        <v>14313171.352869764</v>
      </c>
      <c r="T116" s="127">
        <f t="shared" si="21"/>
        <v>3.2546948070286204E-3</v>
      </c>
    </row>
    <row r="117" spans="1:20">
      <c r="A117" s="138" t="str">
        <f t="shared" si="17"/>
        <v>7124p</v>
      </c>
      <c r="B117" s="496" t="str">
        <f>+VLOOKUP(LEFT($A117,LEN(A117)-1)*1,Master!$D$25:$G$223,4,FALSE)</f>
        <v>Other contributions</v>
      </c>
      <c r="C117" s="497"/>
      <c r="D117" s="497"/>
      <c r="E117" s="497"/>
      <c r="F117" s="497"/>
      <c r="G117" s="91">
        <f>+SUM(DataEx!ET233)</f>
        <v>436504.52126895066</v>
      </c>
      <c r="H117" s="91">
        <f>+SUM(DataEx!EU233)</f>
        <v>849077.56513307139</v>
      </c>
      <c r="I117" s="91">
        <f>+SUM(DataEx!EV233)</f>
        <v>1024875.4957114622</v>
      </c>
      <c r="J117" s="91">
        <f>+SUM(DataEx!EW233)</f>
        <v>976197.17454728554</v>
      </c>
      <c r="K117" s="91">
        <f>+SUM(DataEx!EX233)</f>
        <v>1106357.5069465931</v>
      </c>
      <c r="L117" s="91">
        <f>+SUM(DataEx!EY233)</f>
        <v>1096289.5461126356</v>
      </c>
      <c r="M117" s="91">
        <f>+SUM(DataEx!EZ233)</f>
        <v>1179632.8850481117</v>
      </c>
      <c r="N117" s="91">
        <f>+SUM(DataEx!FA233)</f>
        <v>1178348.1630137677</v>
      </c>
      <c r="O117" s="91">
        <f>+SUM(DataEx!FB233)</f>
        <v>1071977.9662472883</v>
      </c>
      <c r="P117" s="91">
        <f>+SUM(DataEx!FC233)</f>
        <v>1129770.0435497572</v>
      </c>
      <c r="Q117" s="91">
        <f>+SUM(DataEx!FD233)</f>
        <v>594405.2742556826</v>
      </c>
      <c r="R117" s="91">
        <f>+SUM(DataEx!FE233)</f>
        <v>2157961.9942033547</v>
      </c>
      <c r="S117" s="126">
        <f t="shared" si="20"/>
        <v>12801398.136037961</v>
      </c>
      <c r="T117" s="127">
        <f t="shared" si="21"/>
        <v>2.9109302899329105E-3</v>
      </c>
    </row>
    <row r="118" spans="1:20">
      <c r="A118" s="138" t="str">
        <f t="shared" si="17"/>
        <v>713p</v>
      </c>
      <c r="B118" s="500" t="str">
        <f>+VLOOKUP(LEFT($A118,LEN(A118)-1)*1,Master!$D$25:$G$223,4,FALSE)</f>
        <v>Duties</v>
      </c>
      <c r="C118" s="501"/>
      <c r="D118" s="501"/>
      <c r="E118" s="501"/>
      <c r="F118" s="501"/>
      <c r="G118" s="85">
        <f>+SUM(DataEx!ET234)</f>
        <v>822573.87303189654</v>
      </c>
      <c r="H118" s="85">
        <f>+SUM(DataEx!EU234)</f>
        <v>1133629.2497310659</v>
      </c>
      <c r="I118" s="85">
        <f>+SUM(DataEx!EV234)</f>
        <v>1448083.4033842015</v>
      </c>
      <c r="J118" s="85">
        <f>+SUM(DataEx!EW234)</f>
        <v>1280352.3214474013</v>
      </c>
      <c r="K118" s="85">
        <f>+SUM(DataEx!EX234)</f>
        <v>1486748.6512005788</v>
      </c>
      <c r="L118" s="85">
        <f>+SUM(DataEx!EY234)</f>
        <v>1904639.0114442713</v>
      </c>
      <c r="M118" s="85">
        <f>+SUM(DataEx!EZ234)</f>
        <v>1976601.3037568249</v>
      </c>
      <c r="N118" s="85">
        <f>+SUM(DataEx!FA234)</f>
        <v>2077189.4907324244</v>
      </c>
      <c r="O118" s="85">
        <f>+SUM(DataEx!FB234)</f>
        <v>1740400.529807793</v>
      </c>
      <c r="P118" s="85">
        <f>+SUM(DataEx!FC234)</f>
        <v>1738536.9681342742</v>
      </c>
      <c r="Q118" s="85">
        <f>+SUM(DataEx!FD234)</f>
        <v>1518924.626238036</v>
      </c>
      <c r="R118" s="85">
        <f>+SUM(DataEx!FE234)</f>
        <v>1552013.287896733</v>
      </c>
      <c r="S118" s="128">
        <f t="shared" si="20"/>
        <v>18679692.716805503</v>
      </c>
      <c r="T118" s="129">
        <f t="shared" si="21"/>
        <v>4.2476050473669201E-3</v>
      </c>
    </row>
    <row r="119" spans="1:20">
      <c r="A119" s="138" t="str">
        <f t="shared" si="17"/>
        <v>714p</v>
      </c>
      <c r="B119" s="500" t="str">
        <f>+VLOOKUP(LEFT($A119,LEN(A119)-1)*1,Master!$D$25:$G$223,4,FALSE)</f>
        <v>Fees</v>
      </c>
      <c r="C119" s="501"/>
      <c r="D119" s="501"/>
      <c r="E119" s="501"/>
      <c r="F119" s="501"/>
      <c r="G119" s="85">
        <f>+SUM(DataEx!ET241)</f>
        <v>1628645.8771561999</v>
      </c>
      <c r="H119" s="85">
        <f>+SUM(DataEx!EU241)</f>
        <v>1380031.1293454219</v>
      </c>
      <c r="I119" s="85">
        <f>+SUM(DataEx!EV241)</f>
        <v>1513465.5609304141</v>
      </c>
      <c r="J119" s="85">
        <f>+SUM(DataEx!EW241)</f>
        <v>2241837.9949164656</v>
      </c>
      <c r="K119" s="85">
        <f>+SUM(DataEx!EX241)</f>
        <v>1621166.4175876416</v>
      </c>
      <c r="L119" s="85">
        <f>+SUM(DataEx!EY241)</f>
        <v>1779175.5138106563</v>
      </c>
      <c r="M119" s="85">
        <f>+SUM(DataEx!EZ241)</f>
        <v>2789154.8984436481</v>
      </c>
      <c r="N119" s="85">
        <f>+SUM(DataEx!FA241)</f>
        <v>1899136.8492286047</v>
      </c>
      <c r="O119" s="85">
        <f>+SUM(DataEx!FB241)</f>
        <v>2473603.0943140839</v>
      </c>
      <c r="P119" s="85">
        <f>+SUM(DataEx!FC241)</f>
        <v>3082793.0316223907</v>
      </c>
      <c r="Q119" s="85">
        <f>+SUM(DataEx!FD241)</f>
        <v>2177694.0229320209</v>
      </c>
      <c r="R119" s="85">
        <f>+SUM(DataEx!FE241)</f>
        <v>3384627.4746935703</v>
      </c>
      <c r="S119" s="128">
        <f t="shared" si="20"/>
        <v>25971331.864981119</v>
      </c>
      <c r="T119" s="129">
        <f t="shared" si="21"/>
        <v>5.9056624746983916E-3</v>
      </c>
    </row>
    <row r="120" spans="1:20">
      <c r="A120" s="138" t="str">
        <f t="shared" si="17"/>
        <v>715p</v>
      </c>
      <c r="B120" s="500" t="str">
        <f>+VLOOKUP(LEFT($A120,LEN(A120)-1)*1,Master!$D$25:$G$223,4,FALSE)</f>
        <v>Other revenues</v>
      </c>
      <c r="C120" s="501"/>
      <c r="D120" s="501"/>
      <c r="E120" s="501"/>
      <c r="F120" s="501"/>
      <c r="G120" s="85">
        <f>+SUM(DataEx!ET251)</f>
        <v>1619178.9062074635</v>
      </c>
      <c r="H120" s="85">
        <f>+SUM(DataEx!EU251)</f>
        <v>2491636.2612391906</v>
      </c>
      <c r="I120" s="85">
        <f>+SUM(DataEx!EV251)</f>
        <v>2401948.1112873731</v>
      </c>
      <c r="J120" s="85">
        <f>+SUM(DataEx!EW251)</f>
        <v>3344600.0761654307</v>
      </c>
      <c r="K120" s="85">
        <f>+SUM(DataEx!EX251)</f>
        <v>2468145.0633592824</v>
      </c>
      <c r="L120" s="85">
        <f>+SUM(DataEx!EY251)</f>
        <v>3716136.5833768267</v>
      </c>
      <c r="M120" s="85">
        <f>+SUM(DataEx!EZ251)</f>
        <v>5285667.7694355203</v>
      </c>
      <c r="N120" s="85">
        <f>+SUM(DataEx!FA251)</f>
        <v>2802778.4155728412</v>
      </c>
      <c r="O120" s="85">
        <f>+SUM(DataEx!FB251)</f>
        <v>2001789.7120972713</v>
      </c>
      <c r="P120" s="85">
        <f>+SUM(DataEx!FC251)</f>
        <v>3126959.9936437784</v>
      </c>
      <c r="Q120" s="85">
        <f>+SUM(DataEx!FD251)</f>
        <v>2101144.0239198939</v>
      </c>
      <c r="R120" s="85">
        <f>+SUM(DataEx!FE251)</f>
        <v>5027417.6954201264</v>
      </c>
      <c r="S120" s="128">
        <f t="shared" si="20"/>
        <v>36387402.611725003</v>
      </c>
      <c r="T120" s="129">
        <f t="shared" si="21"/>
        <v>8.274189374383201E-3</v>
      </c>
    </row>
    <row r="121" spans="1:20">
      <c r="A121" s="138" t="str">
        <f t="shared" si="17"/>
        <v>73p</v>
      </c>
      <c r="B121" s="500" t="str">
        <f>+VLOOKUP(LEFT($A121,LEN(A121)-1)*1,Master!$D$25:$G$223,4,FALSE)</f>
        <v>Receipts from Repayment of Loans and Funds Carried over from Previous Year</v>
      </c>
      <c r="C121" s="501"/>
      <c r="D121" s="501"/>
      <c r="E121" s="501"/>
      <c r="F121" s="501"/>
      <c r="G121" s="85">
        <f>+SUM(DataEx!ET260)</f>
        <v>115670.29223974149</v>
      </c>
      <c r="H121" s="85">
        <f>+SUM(DataEx!EU260)</f>
        <v>384817.198982934</v>
      </c>
      <c r="I121" s="85">
        <f>+SUM(DataEx!EV260)</f>
        <v>96971.655429863298</v>
      </c>
      <c r="J121" s="85">
        <f>+SUM(DataEx!EW260)</f>
        <v>51648.628696593361</v>
      </c>
      <c r="K121" s="85">
        <f>+SUM(DataEx!EX260)</f>
        <v>261705.39724525085</v>
      </c>
      <c r="L121" s="85">
        <f>+SUM(DataEx!EY260)</f>
        <v>1101596.4636247132</v>
      </c>
      <c r="M121" s="85">
        <f>+SUM(DataEx!EZ260)</f>
        <v>453029.30888644891</v>
      </c>
      <c r="N121" s="85">
        <f>+SUM(DataEx!FA260)</f>
        <v>109871.96289508636</v>
      </c>
      <c r="O121" s="85">
        <f>+SUM(DataEx!FB260)</f>
        <v>140126.69896206958</v>
      </c>
      <c r="P121" s="85">
        <f>+SUM(DataEx!FC260)</f>
        <v>464568.40580190485</v>
      </c>
      <c r="Q121" s="85">
        <f>+SUM(DataEx!FD260)</f>
        <v>760023.54354085727</v>
      </c>
      <c r="R121" s="85">
        <f>+SUM(DataEx!FE260)</f>
        <v>887181.871817537</v>
      </c>
      <c r="S121" s="128">
        <f t="shared" si="20"/>
        <v>4827211.4281230001</v>
      </c>
      <c r="T121" s="129">
        <f t="shared" si="21"/>
        <v>1.0976672870188962E-3</v>
      </c>
    </row>
    <row r="122" spans="1:20" ht="13.5" thickBot="1">
      <c r="A122" s="138" t="str">
        <f t="shared" si="17"/>
        <v>74p</v>
      </c>
      <c r="B122" s="502" t="str">
        <f>+VLOOKUP(LEFT($A122,LEN(A122)-1)*1,Master!$D$25:$G$223,4,FALSE)</f>
        <v>Grants and Transfers</v>
      </c>
      <c r="C122" s="503"/>
      <c r="D122" s="503"/>
      <c r="E122" s="503"/>
      <c r="F122" s="503"/>
      <c r="G122" s="85">
        <f>+SUM(DataEx!ET263)</f>
        <v>192861.06334854156</v>
      </c>
      <c r="H122" s="85">
        <f>+SUM(DataEx!EU263)</f>
        <v>1085535.6418227185</v>
      </c>
      <c r="I122" s="85">
        <f>+SUM(DataEx!EV263)</f>
        <v>2068650.4101686741</v>
      </c>
      <c r="J122" s="85">
        <f>+SUM(DataEx!EW263)</f>
        <v>823768.13144576456</v>
      </c>
      <c r="K122" s="85">
        <f>+SUM(DataEx!EX263)</f>
        <v>1838356.3209820921</v>
      </c>
      <c r="L122" s="85">
        <f>+SUM(DataEx!EY263)</f>
        <v>1030929.9324202725</v>
      </c>
      <c r="M122" s="85">
        <f>+SUM(DataEx!EZ263)</f>
        <v>2537726.1350967488</v>
      </c>
      <c r="N122" s="85">
        <f>+SUM(DataEx!FA263)</f>
        <v>672847.13045898406</v>
      </c>
      <c r="O122" s="85">
        <f>+SUM(DataEx!FB263)</f>
        <v>1455374.4746633945</v>
      </c>
      <c r="P122" s="85">
        <f>+SUM(DataEx!FC263)</f>
        <v>2572400.7970252517</v>
      </c>
      <c r="Q122" s="85">
        <f>+SUM(DataEx!FD263)</f>
        <v>2215108.9677468878</v>
      </c>
      <c r="R122" s="85">
        <f>+SUM(DataEx!FE263)</f>
        <v>8016440.9948206674</v>
      </c>
      <c r="S122" s="130">
        <f t="shared" si="20"/>
        <v>24510000</v>
      </c>
      <c r="T122" s="131">
        <f t="shared" si="21"/>
        <v>5.5733678968551744E-3</v>
      </c>
    </row>
    <row r="123" spans="1:20" ht="13.5" thickBot="1">
      <c r="A123" s="138" t="str">
        <f t="shared" si="17"/>
        <v>4p</v>
      </c>
      <c r="B123" s="486" t="str">
        <f>+VLOOKUP(LEFT($A123,LEN(A123)-1)*1,Master!$D$25:$G$223,4,FALSE)</f>
        <v>Total Expenditures</v>
      </c>
      <c r="C123" s="487"/>
      <c r="D123" s="487"/>
      <c r="E123" s="487"/>
      <c r="F123" s="487"/>
      <c r="G123" s="97">
        <f>+G125+G136+G142+SUM(G143:G146)</f>
        <v>145769475.38066667</v>
      </c>
      <c r="H123" s="97">
        <f>+H125+H136+H142+SUM(H143:H146)</f>
        <v>145769475.38066667</v>
      </c>
      <c r="I123" s="97">
        <f t="shared" ref="I123:R123" si="23">+I125+I136+I142+SUM(I143:I146)</f>
        <v>145769475.38066667</v>
      </c>
      <c r="J123" s="97">
        <f t="shared" si="23"/>
        <v>145888475.26466668</v>
      </c>
      <c r="K123" s="97">
        <f t="shared" si="23"/>
        <v>146245474.91666669</v>
      </c>
      <c r="L123" s="97">
        <f t="shared" si="23"/>
        <v>145769475.38066667</v>
      </c>
      <c r="M123" s="97">
        <f t="shared" si="23"/>
        <v>157863102.90766668</v>
      </c>
      <c r="N123" s="97">
        <f t="shared" si="23"/>
        <v>157863102.90766668</v>
      </c>
      <c r="O123" s="97">
        <f t="shared" si="23"/>
        <v>157863102.90766668</v>
      </c>
      <c r="P123" s="97">
        <f t="shared" si="23"/>
        <v>157863102.90766668</v>
      </c>
      <c r="Q123" s="97">
        <f t="shared" si="23"/>
        <v>157863102.90766668</v>
      </c>
      <c r="R123" s="97">
        <f t="shared" si="23"/>
        <v>157863102.90766668</v>
      </c>
      <c r="S123" s="132">
        <f>+SUM(G123:R123)</f>
        <v>1822390469.1500003</v>
      </c>
      <c r="T123" s="133">
        <f t="shared" si="21"/>
        <v>0.41439626831070797</v>
      </c>
    </row>
    <row r="124" spans="1:20" ht="13.5" thickBot="1">
      <c r="A124" s="138" t="str">
        <f t="shared" si="17"/>
        <v>41p</v>
      </c>
      <c r="B124" s="504" t="str">
        <f>+VLOOKUP(LEFT($A124,LEN(A124)-1)*1,Master!$D$25:$G$223,4,FALSE)</f>
        <v>Current Expenditures</v>
      </c>
      <c r="C124" s="505"/>
      <c r="D124" s="505"/>
      <c r="E124" s="505"/>
      <c r="F124" s="505"/>
      <c r="G124" s="80">
        <f t="shared" ref="G124:R124" si="24">+G123-G143</f>
        <v>124297392.04733334</v>
      </c>
      <c r="H124" s="80">
        <f t="shared" si="24"/>
        <v>124297392.04733334</v>
      </c>
      <c r="I124" s="80">
        <f t="shared" si="24"/>
        <v>124297392.04733334</v>
      </c>
      <c r="J124" s="80">
        <f t="shared" si="24"/>
        <v>124416391.93133335</v>
      </c>
      <c r="K124" s="80">
        <f t="shared" si="24"/>
        <v>124773391.58333336</v>
      </c>
      <c r="L124" s="80">
        <f t="shared" si="24"/>
        <v>124297392.04733334</v>
      </c>
      <c r="M124" s="80">
        <f t="shared" si="24"/>
        <v>130872686.24100003</v>
      </c>
      <c r="N124" s="80">
        <f t="shared" si="24"/>
        <v>130872686.24100003</v>
      </c>
      <c r="O124" s="80">
        <f t="shared" si="24"/>
        <v>130872686.24100003</v>
      </c>
      <c r="P124" s="80">
        <f t="shared" si="24"/>
        <v>130872686.24100003</v>
      </c>
      <c r="Q124" s="80">
        <f t="shared" si="24"/>
        <v>130872686.24100003</v>
      </c>
      <c r="R124" s="80">
        <f t="shared" si="24"/>
        <v>130872686.24100003</v>
      </c>
      <c r="S124" s="134">
        <f t="shared" si="20"/>
        <v>1531615469.1500001</v>
      </c>
      <c r="T124" s="135">
        <f t="shared" si="21"/>
        <v>0.34827647842053805</v>
      </c>
    </row>
    <row r="125" spans="1:20">
      <c r="A125" s="138" t="str">
        <f t="shared" si="17"/>
        <v>40p</v>
      </c>
      <c r="B125" s="506" t="str">
        <f>+VLOOKUP(LEFT($A125,LEN(A125)-1)*1,Master!$D$25:$G$223,4,FALSE)</f>
        <v>Current Budgetary Expenditures</v>
      </c>
      <c r="C125" s="507"/>
      <c r="D125" s="507"/>
      <c r="E125" s="507"/>
      <c r="F125" s="507"/>
      <c r="G125" s="89">
        <f t="shared" ref="G125:R125" si="25">+SUM(G126:G135)</f>
        <v>61981026.661833338</v>
      </c>
      <c r="H125" s="89">
        <f t="shared" si="25"/>
        <v>61981026.661833338</v>
      </c>
      <c r="I125" s="89">
        <f t="shared" si="25"/>
        <v>61981026.661833338</v>
      </c>
      <c r="J125" s="89">
        <f t="shared" si="25"/>
        <v>61981026.661833338</v>
      </c>
      <c r="K125" s="89">
        <f t="shared" si="25"/>
        <v>61981026.661833338</v>
      </c>
      <c r="L125" s="89">
        <f t="shared" si="25"/>
        <v>61981026.661833338</v>
      </c>
      <c r="M125" s="89">
        <f t="shared" si="25"/>
        <v>68140897.7315</v>
      </c>
      <c r="N125" s="89">
        <f t="shared" si="25"/>
        <v>68140897.7315</v>
      </c>
      <c r="O125" s="89">
        <f t="shared" si="25"/>
        <v>68140897.7315</v>
      </c>
      <c r="P125" s="89">
        <f t="shared" si="25"/>
        <v>68140897.7315</v>
      </c>
      <c r="Q125" s="89">
        <f t="shared" si="25"/>
        <v>68140897.7315</v>
      </c>
      <c r="R125" s="90">
        <f t="shared" si="25"/>
        <v>68140897.7315</v>
      </c>
      <c r="S125" s="124">
        <f t="shared" si="20"/>
        <v>780731546.36000013</v>
      </c>
      <c r="T125" s="125">
        <f t="shared" si="21"/>
        <v>0.17753178851672469</v>
      </c>
    </row>
    <row r="126" spans="1:20">
      <c r="A126" s="138" t="str">
        <f t="shared" si="17"/>
        <v>411p</v>
      </c>
      <c r="B126" s="496" t="str">
        <f>+VLOOKUP(LEFT($A126,LEN(A126)-1)*1,Master!$D$25:$G$223,4,FALSE)</f>
        <v>Gross Salaries and Contributions</v>
      </c>
      <c r="C126" s="497"/>
      <c r="D126" s="497"/>
      <c r="E126" s="497"/>
      <c r="F126" s="497"/>
      <c r="G126" s="91">
        <f>+SUM(DataEx!ET272)</f>
        <v>36581480.009166665</v>
      </c>
      <c r="H126" s="91">
        <f>+SUM(DataEx!EU272)</f>
        <v>36581480.009166665</v>
      </c>
      <c r="I126" s="91">
        <f>+SUM(DataEx!EV272)</f>
        <v>36581480.009166665</v>
      </c>
      <c r="J126" s="91">
        <f>+SUM(DataEx!EW272)</f>
        <v>36581480.009166665</v>
      </c>
      <c r="K126" s="91">
        <f>+SUM(DataEx!EX272)</f>
        <v>36581480.009166665</v>
      </c>
      <c r="L126" s="91">
        <f>+SUM(DataEx!EY272)</f>
        <v>36581480.009166665</v>
      </c>
      <c r="M126" s="91">
        <f>+SUM(DataEx!EZ272)</f>
        <v>36581480.009166665</v>
      </c>
      <c r="N126" s="91">
        <f>+SUM(DataEx!FA272)</f>
        <v>36581480.009166665</v>
      </c>
      <c r="O126" s="91">
        <f>+SUM(DataEx!FB272)</f>
        <v>36581480.009166665</v>
      </c>
      <c r="P126" s="91">
        <f>+SUM(DataEx!FC272)</f>
        <v>36581480.009166665</v>
      </c>
      <c r="Q126" s="91">
        <f>+SUM(DataEx!FD272)</f>
        <v>36581480.009166665</v>
      </c>
      <c r="R126" s="91">
        <f>+SUM(DataEx!FE272)</f>
        <v>36581480.009166665</v>
      </c>
      <c r="S126" s="126">
        <f t="shared" si="20"/>
        <v>438977760.10999995</v>
      </c>
      <c r="T126" s="127">
        <f t="shared" si="21"/>
        <v>9.9819851310912519E-2</v>
      </c>
    </row>
    <row r="127" spans="1:20">
      <c r="A127" s="138" t="str">
        <f t="shared" si="17"/>
        <v>412p</v>
      </c>
      <c r="B127" s="496" t="str">
        <f>+VLOOKUP(LEFT($A127,LEN(A127)-1)*1,Master!$D$25:$G$223,4,FALSE)</f>
        <v>Other Personal Income</v>
      </c>
      <c r="C127" s="497"/>
      <c r="D127" s="497"/>
      <c r="E127" s="497"/>
      <c r="F127" s="497"/>
      <c r="G127" s="91">
        <f>+SUM(DataEx!ET278)</f>
        <v>1045765.8483333333</v>
      </c>
      <c r="H127" s="91">
        <f>+SUM(DataEx!EU278)</f>
        <v>1045765.8483333333</v>
      </c>
      <c r="I127" s="91">
        <f>+SUM(DataEx!EV278)</f>
        <v>1045765.8483333333</v>
      </c>
      <c r="J127" s="91">
        <f>+SUM(DataEx!EW278)</f>
        <v>1045765.8483333333</v>
      </c>
      <c r="K127" s="91">
        <f>+SUM(DataEx!EX278)</f>
        <v>1045765.8483333333</v>
      </c>
      <c r="L127" s="91">
        <f>+SUM(DataEx!EY278)</f>
        <v>1045765.8483333333</v>
      </c>
      <c r="M127" s="91">
        <f>+SUM(DataEx!EZ278)</f>
        <v>1045765.8483333333</v>
      </c>
      <c r="N127" s="91">
        <f>+SUM(DataEx!FA278)</f>
        <v>1045765.8483333333</v>
      </c>
      <c r="O127" s="91">
        <f>+SUM(DataEx!FB278)</f>
        <v>1045765.8483333333</v>
      </c>
      <c r="P127" s="91">
        <f>+SUM(DataEx!FC278)</f>
        <v>1045765.8483333333</v>
      </c>
      <c r="Q127" s="91">
        <f>+SUM(DataEx!FD278)</f>
        <v>1045765.8483333333</v>
      </c>
      <c r="R127" s="91">
        <f>+SUM(DataEx!FE278)</f>
        <v>1045765.8483333333</v>
      </c>
      <c r="S127" s="126">
        <f t="shared" si="20"/>
        <v>12549190.179999998</v>
      </c>
      <c r="T127" s="127">
        <f t="shared" si="21"/>
        <v>2.8535803215317093E-3</v>
      </c>
    </row>
    <row r="128" spans="1:20">
      <c r="A128" s="138" t="str">
        <f t="shared" si="17"/>
        <v>413p</v>
      </c>
      <c r="B128" s="496" t="str">
        <f>+VLOOKUP(LEFT($A128,LEN(A128)-1)*1,Master!$D$25:$G$223,4,FALSE)</f>
        <v>Expenditures for Supplies</v>
      </c>
      <c r="C128" s="497"/>
      <c r="D128" s="497"/>
      <c r="E128" s="497"/>
      <c r="F128" s="497"/>
      <c r="G128" s="91">
        <f>+SUM(DataEx!ET286)</f>
        <v>2429373.3213333334</v>
      </c>
      <c r="H128" s="91">
        <f>+SUM(DataEx!EU286)</f>
        <v>2429373.3213333334</v>
      </c>
      <c r="I128" s="91">
        <f>+SUM(DataEx!EV286)</f>
        <v>2429373.3213333334</v>
      </c>
      <c r="J128" s="91">
        <f>+SUM(DataEx!EW286)</f>
        <v>2429373.3213333334</v>
      </c>
      <c r="K128" s="91">
        <f>+SUM(DataEx!EX286)</f>
        <v>2429373.3213333334</v>
      </c>
      <c r="L128" s="91">
        <f>+SUM(DataEx!EY286)</f>
        <v>2429373.3213333334</v>
      </c>
      <c r="M128" s="91">
        <f>+SUM(DataEx!EZ286)</f>
        <v>3644059.9819999994</v>
      </c>
      <c r="N128" s="91">
        <f>+SUM(DataEx!FA286)</f>
        <v>3644059.9819999994</v>
      </c>
      <c r="O128" s="91">
        <f>+SUM(DataEx!FB286)</f>
        <v>3644059.9819999994</v>
      </c>
      <c r="P128" s="91">
        <f>+SUM(DataEx!FC286)</f>
        <v>3644059.9819999994</v>
      </c>
      <c r="Q128" s="91">
        <f>+SUM(DataEx!FD286)</f>
        <v>3644059.9819999994</v>
      </c>
      <c r="R128" s="91">
        <f>+SUM(DataEx!FE286)</f>
        <v>3644059.9819999994</v>
      </c>
      <c r="S128" s="126">
        <f t="shared" si="20"/>
        <v>36440599.82</v>
      </c>
      <c r="T128" s="127">
        <f t="shared" si="21"/>
        <v>8.2862859722127469E-3</v>
      </c>
    </row>
    <row r="129" spans="1:20">
      <c r="A129" s="138" t="str">
        <f t="shared" si="17"/>
        <v>414p</v>
      </c>
      <c r="B129" s="496" t="str">
        <f>+VLOOKUP(LEFT($A129,LEN(A129)-1)*1,Master!$D$25:$G$223,4,FALSE)</f>
        <v>Expenditures for Services</v>
      </c>
      <c r="C129" s="497"/>
      <c r="D129" s="497"/>
      <c r="E129" s="497"/>
      <c r="F129" s="497"/>
      <c r="G129" s="91">
        <f>+SUM(DataEx!ET293)</f>
        <v>3986420.5893333331</v>
      </c>
      <c r="H129" s="91">
        <f>+SUM(DataEx!EU293)</f>
        <v>3986420.5893333331</v>
      </c>
      <c r="I129" s="91">
        <f>+SUM(DataEx!EV293)</f>
        <v>3986420.5893333331</v>
      </c>
      <c r="J129" s="91">
        <f>+SUM(DataEx!EW293)</f>
        <v>3986420.5893333331</v>
      </c>
      <c r="K129" s="91">
        <f>+SUM(DataEx!EX293)</f>
        <v>3986420.5893333331</v>
      </c>
      <c r="L129" s="91">
        <f>+SUM(DataEx!EY293)</f>
        <v>3986420.5893333331</v>
      </c>
      <c r="M129" s="91">
        <f>+SUM(DataEx!EZ293)</f>
        <v>5979630.8839999996</v>
      </c>
      <c r="N129" s="91">
        <f>+SUM(DataEx!FA293)</f>
        <v>5979630.8839999996</v>
      </c>
      <c r="O129" s="91">
        <f>+SUM(DataEx!FB293)</f>
        <v>5979630.8839999996</v>
      </c>
      <c r="P129" s="91">
        <f>+SUM(DataEx!FC293)</f>
        <v>5979630.8839999996</v>
      </c>
      <c r="Q129" s="91">
        <f>+SUM(DataEx!FD293)</f>
        <v>5979630.8839999996</v>
      </c>
      <c r="R129" s="91">
        <f>+SUM(DataEx!FE293)</f>
        <v>5979630.8839999996</v>
      </c>
      <c r="S129" s="126">
        <f t="shared" si="20"/>
        <v>59796308.840000004</v>
      </c>
      <c r="T129" s="127">
        <f t="shared" si="21"/>
        <v>1.3597177806580714E-2</v>
      </c>
    </row>
    <row r="130" spans="1:20">
      <c r="A130" s="138" t="str">
        <f t="shared" si="17"/>
        <v>415p</v>
      </c>
      <c r="B130" s="496" t="str">
        <f>+VLOOKUP(LEFT($A130,LEN(A130)-1)*1,Master!$D$25:$G$223,4,FALSE)</f>
        <v>Current Maintenance</v>
      </c>
      <c r="C130" s="497"/>
      <c r="D130" s="497"/>
      <c r="E130" s="497"/>
      <c r="F130" s="497"/>
      <c r="G130" s="91">
        <f>+SUM(DataEx!ET303)</f>
        <v>1860319.3983333334</v>
      </c>
      <c r="H130" s="91">
        <f>+SUM(DataEx!EU303)</f>
        <v>1860319.3983333334</v>
      </c>
      <c r="I130" s="91">
        <f>+SUM(DataEx!EV303)</f>
        <v>1860319.3983333334</v>
      </c>
      <c r="J130" s="91">
        <f>+SUM(DataEx!EW303)</f>
        <v>1860319.3983333334</v>
      </c>
      <c r="K130" s="91">
        <f>+SUM(DataEx!EX303)</f>
        <v>1860319.3983333334</v>
      </c>
      <c r="L130" s="91">
        <f>+SUM(DataEx!EY303)</f>
        <v>1860319.3983333334</v>
      </c>
      <c r="M130" s="91">
        <f>+SUM(DataEx!EZ303)</f>
        <v>1860319.3983333334</v>
      </c>
      <c r="N130" s="91">
        <f>+SUM(DataEx!FA303)</f>
        <v>1860319.3983333334</v>
      </c>
      <c r="O130" s="91">
        <f>+SUM(DataEx!FB303)</f>
        <v>1860319.3983333334</v>
      </c>
      <c r="P130" s="91">
        <f>+SUM(DataEx!FC303)</f>
        <v>1860319.3983333334</v>
      </c>
      <c r="Q130" s="91">
        <f>+SUM(DataEx!FD303)</f>
        <v>1860319.3983333334</v>
      </c>
      <c r="R130" s="91">
        <f>+SUM(DataEx!FE303)</f>
        <v>1860319.3983333334</v>
      </c>
      <c r="S130" s="126">
        <f t="shared" si="20"/>
        <v>22323832.780000001</v>
      </c>
      <c r="T130" s="127">
        <f t="shared" si="21"/>
        <v>5.0762518543784252E-3</v>
      </c>
    </row>
    <row r="131" spans="1:20">
      <c r="A131" s="138" t="str">
        <f t="shared" si="17"/>
        <v>416p</v>
      </c>
      <c r="B131" s="496" t="str">
        <f>+VLOOKUP(LEFT($A131,LEN(A131)-1)*1,Master!$D$25:$G$223,4,FALSE)</f>
        <v>Interests</v>
      </c>
      <c r="C131" s="497"/>
      <c r="D131" s="497"/>
      <c r="E131" s="497"/>
      <c r="F131" s="497"/>
      <c r="G131" s="91">
        <f>+SUM(DataEx!ET307)</f>
        <v>7122725</v>
      </c>
      <c r="H131" s="91">
        <f>+SUM(DataEx!EU307)</f>
        <v>7122725</v>
      </c>
      <c r="I131" s="91">
        <f>+SUM(DataEx!EV307)</f>
        <v>7122725</v>
      </c>
      <c r="J131" s="91">
        <f>+SUM(DataEx!EW307)</f>
        <v>7122725</v>
      </c>
      <c r="K131" s="91">
        <f>+SUM(DataEx!EX307)</f>
        <v>7122725</v>
      </c>
      <c r="L131" s="91">
        <f>+SUM(DataEx!EY307)</f>
        <v>7122725</v>
      </c>
      <c r="M131" s="91">
        <f>+SUM(DataEx!EZ307)</f>
        <v>7122725</v>
      </c>
      <c r="N131" s="91">
        <f>+SUM(DataEx!FA307)</f>
        <v>7122725</v>
      </c>
      <c r="O131" s="91">
        <f>+SUM(DataEx!FB307)</f>
        <v>7122725</v>
      </c>
      <c r="P131" s="91">
        <f>+SUM(DataEx!FC307)</f>
        <v>7122725</v>
      </c>
      <c r="Q131" s="91">
        <f>+SUM(DataEx!FD307)</f>
        <v>7122725</v>
      </c>
      <c r="R131" s="91">
        <f>+SUM(DataEx!FE307)</f>
        <v>7122725</v>
      </c>
      <c r="S131" s="126">
        <f t="shared" si="20"/>
        <v>85472700</v>
      </c>
      <c r="T131" s="127">
        <f t="shared" si="21"/>
        <v>1.9435773245105398E-2</v>
      </c>
    </row>
    <row r="132" spans="1:20">
      <c r="A132" s="138" t="str">
        <f t="shared" si="17"/>
        <v>417p</v>
      </c>
      <c r="B132" s="496" t="str">
        <f>+VLOOKUP(LEFT($A132,LEN(A132)-1)*1,Master!$D$25:$G$223,4,FALSE)</f>
        <v>Rent</v>
      </c>
      <c r="C132" s="497"/>
      <c r="D132" s="497"/>
      <c r="E132" s="497"/>
      <c r="F132" s="497"/>
      <c r="G132" s="91">
        <f>+SUM(DataEx!ET310)</f>
        <v>800010.93333333347</v>
      </c>
      <c r="H132" s="91">
        <f>+SUM(DataEx!EU310)</f>
        <v>800010.93333333347</v>
      </c>
      <c r="I132" s="91">
        <f>+SUM(DataEx!EV310)</f>
        <v>800010.93333333347</v>
      </c>
      <c r="J132" s="91">
        <f>+SUM(DataEx!EW310)</f>
        <v>800010.93333333347</v>
      </c>
      <c r="K132" s="91">
        <f>+SUM(DataEx!EX310)</f>
        <v>800010.93333333347</v>
      </c>
      <c r="L132" s="91">
        <f>+SUM(DataEx!EY310)</f>
        <v>800010.93333333347</v>
      </c>
      <c r="M132" s="91">
        <f>+SUM(DataEx!EZ310)</f>
        <v>800010.93333333347</v>
      </c>
      <c r="N132" s="91">
        <f>+SUM(DataEx!FA310)</f>
        <v>800010.93333333347</v>
      </c>
      <c r="O132" s="91">
        <f>+SUM(DataEx!FB310)</f>
        <v>800010.93333333347</v>
      </c>
      <c r="P132" s="91">
        <f>+SUM(DataEx!FC310)</f>
        <v>800010.93333333347</v>
      </c>
      <c r="Q132" s="91">
        <f>+SUM(DataEx!FD310)</f>
        <v>800010.93333333347</v>
      </c>
      <c r="R132" s="91">
        <f>+SUM(DataEx!FE310)</f>
        <v>800010.93333333347</v>
      </c>
      <c r="S132" s="126">
        <f t="shared" si="20"/>
        <v>9600131.2000000011</v>
      </c>
      <c r="T132" s="127">
        <f t="shared" si="21"/>
        <v>2.1829891079427886E-3</v>
      </c>
    </row>
    <row r="133" spans="1:20">
      <c r="A133" s="138" t="str">
        <f t="shared" si="17"/>
        <v>418p</v>
      </c>
      <c r="B133" s="496" t="str">
        <f>+VLOOKUP(LEFT($A133,LEN(A133)-1)*1,Master!$D$25:$G$223,4,FALSE)</f>
        <v>Subsidies</v>
      </c>
      <c r="C133" s="497"/>
      <c r="D133" s="497"/>
      <c r="E133" s="497"/>
      <c r="F133" s="497"/>
      <c r="G133" s="91">
        <f>+SUM(DataEx!ET314)</f>
        <v>2250983.3333333335</v>
      </c>
      <c r="H133" s="91">
        <f>+SUM(DataEx!EU314)</f>
        <v>2250983.3333333335</v>
      </c>
      <c r="I133" s="91">
        <f>+SUM(DataEx!EV314)</f>
        <v>2250983.3333333335</v>
      </c>
      <c r="J133" s="91">
        <f>+SUM(DataEx!EW314)</f>
        <v>2250983.3333333335</v>
      </c>
      <c r="K133" s="91">
        <f>+SUM(DataEx!EX314)</f>
        <v>2250983.3333333335</v>
      </c>
      <c r="L133" s="91">
        <f>+SUM(DataEx!EY314)</f>
        <v>2250983.3333333335</v>
      </c>
      <c r="M133" s="91">
        <f>+SUM(DataEx!EZ314)</f>
        <v>2250983.3333333335</v>
      </c>
      <c r="N133" s="91">
        <f>+SUM(DataEx!FA314)</f>
        <v>2250983.3333333335</v>
      </c>
      <c r="O133" s="91">
        <f>+SUM(DataEx!FB314)</f>
        <v>2250983.3333333335</v>
      </c>
      <c r="P133" s="91">
        <f>+SUM(DataEx!FC314)</f>
        <v>2250983.3333333335</v>
      </c>
      <c r="Q133" s="91">
        <f>+SUM(DataEx!FD314)</f>
        <v>2250983.3333333335</v>
      </c>
      <c r="R133" s="91">
        <f>+SUM(DataEx!FE314)</f>
        <v>2250983.3333333335</v>
      </c>
      <c r="S133" s="126">
        <f t="shared" si="20"/>
        <v>27011799.999999996</v>
      </c>
      <c r="T133" s="127">
        <f t="shared" si="21"/>
        <v>6.1422561793664865E-3</v>
      </c>
    </row>
    <row r="134" spans="1:20">
      <c r="A134" s="138" t="str">
        <f t="shared" si="17"/>
        <v>419p</v>
      </c>
      <c r="B134" s="496" t="str">
        <f>+VLOOKUP(LEFT($A134,LEN(A134)-1)*1,Master!$D$25:$G$223,4,FALSE)</f>
        <v>Other expenditures</v>
      </c>
      <c r="C134" s="497"/>
      <c r="D134" s="497"/>
      <c r="E134" s="497"/>
      <c r="F134" s="497"/>
      <c r="G134" s="91">
        <f>+SUM(DataEx!ET318)</f>
        <v>2581823.9339999999</v>
      </c>
      <c r="H134" s="91">
        <f>+SUM(DataEx!EU318)</f>
        <v>2581823.9339999999</v>
      </c>
      <c r="I134" s="91">
        <f>+SUM(DataEx!EV318)</f>
        <v>2581823.9339999999</v>
      </c>
      <c r="J134" s="91">
        <f>+SUM(DataEx!EW318)</f>
        <v>2581823.9339999999</v>
      </c>
      <c r="K134" s="91">
        <f>+SUM(DataEx!EX318)</f>
        <v>2581823.9339999999</v>
      </c>
      <c r="L134" s="91">
        <f>+SUM(DataEx!EY318)</f>
        <v>2581823.9339999999</v>
      </c>
      <c r="M134" s="91">
        <f>+SUM(DataEx!EZ318)</f>
        <v>3872735.9010000005</v>
      </c>
      <c r="N134" s="91">
        <f>+SUM(DataEx!FA318)</f>
        <v>3872735.9010000005</v>
      </c>
      <c r="O134" s="91">
        <f>+SUM(DataEx!FB318)</f>
        <v>3872735.9010000005</v>
      </c>
      <c r="P134" s="91">
        <f>+SUM(DataEx!FC318)</f>
        <v>3872735.9010000005</v>
      </c>
      <c r="Q134" s="91">
        <f>+SUM(DataEx!FD318)</f>
        <v>3872735.9010000005</v>
      </c>
      <c r="R134" s="91">
        <f>+SUM(DataEx!FE318)</f>
        <v>3872735.9010000005</v>
      </c>
      <c r="S134" s="126">
        <f t="shared" si="20"/>
        <v>38727359.010000005</v>
      </c>
      <c r="T134" s="127">
        <f t="shared" si="21"/>
        <v>8.8062757827955529E-3</v>
      </c>
    </row>
    <row r="135" spans="1:20">
      <c r="A135" s="138" t="str">
        <f t="shared" si="17"/>
        <v>440p</v>
      </c>
      <c r="B135" s="496" t="str">
        <f>+VLOOKUP(LEFT($A135,LEN(A135)-1)*1,Master!$D$25:$G$223,4,FALSE)</f>
        <v>Current Capital Expenditure</v>
      </c>
      <c r="C135" s="497"/>
      <c r="D135" s="497"/>
      <c r="E135" s="497"/>
      <c r="F135" s="497"/>
      <c r="G135" s="91">
        <f>+SUM(DataEx!ET376)</f>
        <v>3322124.294666667</v>
      </c>
      <c r="H135" s="91">
        <f>+SUM(DataEx!EU376)</f>
        <v>3322124.294666667</v>
      </c>
      <c r="I135" s="91">
        <f>+SUM(DataEx!EV376)</f>
        <v>3322124.294666667</v>
      </c>
      <c r="J135" s="91">
        <f>+SUM(DataEx!EW376)</f>
        <v>3322124.294666667</v>
      </c>
      <c r="K135" s="91">
        <f>+SUM(DataEx!EX376)</f>
        <v>3322124.294666667</v>
      </c>
      <c r="L135" s="91">
        <f>+SUM(DataEx!EY376)</f>
        <v>3322124.294666667</v>
      </c>
      <c r="M135" s="91">
        <f>+SUM(DataEx!EZ376)</f>
        <v>4983186.4420000007</v>
      </c>
      <c r="N135" s="91">
        <f>+SUM(DataEx!FA376)</f>
        <v>4983186.4420000007</v>
      </c>
      <c r="O135" s="91">
        <f>+SUM(DataEx!FB376)</f>
        <v>4983186.4420000007</v>
      </c>
      <c r="P135" s="91">
        <f>+SUM(DataEx!FC376)</f>
        <v>4983186.4420000007</v>
      </c>
      <c r="Q135" s="91">
        <f>+SUM(DataEx!FD376)</f>
        <v>4983186.4420000007</v>
      </c>
      <c r="R135" s="91">
        <f>+SUM(DataEx!FE376)</f>
        <v>4983186.4420000007</v>
      </c>
      <c r="S135" s="126">
        <f t="shared" si="20"/>
        <v>49831864.420000009</v>
      </c>
      <c r="T135" s="127">
        <f t="shared" si="21"/>
        <v>1.1331346935898313E-2</v>
      </c>
    </row>
    <row r="136" spans="1:20">
      <c r="A136" s="138" t="str">
        <f t="shared" si="17"/>
        <v>42p</v>
      </c>
      <c r="B136" s="494" t="str">
        <f>+VLOOKUP(LEFT($A136,LEN(A136)-1)*1,Master!$D$25:$G$223,4,FALSE)</f>
        <v>Social Security Transfers</v>
      </c>
      <c r="C136" s="495"/>
      <c r="D136" s="495"/>
      <c r="E136" s="495"/>
      <c r="F136" s="495"/>
      <c r="G136" s="87">
        <f t="shared" ref="G136:R136" si="26">+SUM(G137:G141)</f>
        <v>45950724.162500009</v>
      </c>
      <c r="H136" s="87">
        <f t="shared" si="26"/>
        <v>45950724.162500009</v>
      </c>
      <c r="I136" s="87">
        <f t="shared" si="26"/>
        <v>45950724.162500009</v>
      </c>
      <c r="J136" s="87">
        <f t="shared" si="26"/>
        <v>45950724.162500009</v>
      </c>
      <c r="K136" s="87">
        <f t="shared" si="26"/>
        <v>45950724.162500009</v>
      </c>
      <c r="L136" s="87">
        <f t="shared" si="26"/>
        <v>45950724.162500009</v>
      </c>
      <c r="M136" s="87">
        <f t="shared" si="26"/>
        <v>45950724.162500009</v>
      </c>
      <c r="N136" s="87">
        <f t="shared" si="26"/>
        <v>45950724.162500009</v>
      </c>
      <c r="O136" s="87">
        <f t="shared" si="26"/>
        <v>45950724.162500009</v>
      </c>
      <c r="P136" s="87">
        <f t="shared" si="26"/>
        <v>45950724.162500009</v>
      </c>
      <c r="Q136" s="87">
        <f t="shared" si="26"/>
        <v>45950724.162500009</v>
      </c>
      <c r="R136" s="87">
        <f t="shared" si="26"/>
        <v>45950724.162500009</v>
      </c>
      <c r="S136" s="128">
        <f t="shared" si="20"/>
        <v>551408689.95000017</v>
      </c>
      <c r="T136" s="129">
        <f t="shared" si="21"/>
        <v>0.12538569933146876</v>
      </c>
    </row>
    <row r="137" spans="1:20">
      <c r="A137" s="138" t="str">
        <f t="shared" si="17"/>
        <v>421p</v>
      </c>
      <c r="B137" s="496" t="str">
        <f>+VLOOKUP(LEFT($A137,LEN(A137)-1)*1,Master!$D$25:$G$223,4,FALSE)</f>
        <v>Social Security</v>
      </c>
      <c r="C137" s="497"/>
      <c r="D137" s="497"/>
      <c r="E137" s="497"/>
      <c r="F137" s="497"/>
      <c r="G137" s="91">
        <f>SUM(DataEx!ET329)</f>
        <v>6651000</v>
      </c>
      <c r="H137" s="91">
        <f>SUM(DataEx!EU329)</f>
        <v>6651000</v>
      </c>
      <c r="I137" s="91">
        <f>SUM(DataEx!EV329)</f>
        <v>6651000</v>
      </c>
      <c r="J137" s="91">
        <f>SUM(DataEx!EW329)</f>
        <v>6651000</v>
      </c>
      <c r="K137" s="91">
        <f>SUM(DataEx!EX329)</f>
        <v>6651000</v>
      </c>
      <c r="L137" s="91">
        <f>SUM(DataEx!EY329)</f>
        <v>6651000</v>
      </c>
      <c r="M137" s="91">
        <f>SUM(DataEx!EZ329)</f>
        <v>6651000</v>
      </c>
      <c r="N137" s="91">
        <f>SUM(DataEx!FA329)</f>
        <v>6651000</v>
      </c>
      <c r="O137" s="91">
        <f>SUM(DataEx!FB329)</f>
        <v>6651000</v>
      </c>
      <c r="P137" s="91">
        <f>SUM(DataEx!FC329)</f>
        <v>6651000</v>
      </c>
      <c r="Q137" s="91">
        <f>SUM(DataEx!FD329)</f>
        <v>6651000</v>
      </c>
      <c r="R137" s="91">
        <f>SUM(DataEx!FE329)</f>
        <v>6651000</v>
      </c>
      <c r="S137" s="126">
        <f t="shared" si="20"/>
        <v>79812000</v>
      </c>
      <c r="T137" s="127">
        <f t="shared" si="21"/>
        <v>1.8148577665597927E-2</v>
      </c>
    </row>
    <row r="138" spans="1:20">
      <c r="A138" s="138" t="str">
        <f t="shared" si="17"/>
        <v>422p</v>
      </c>
      <c r="B138" s="496" t="str">
        <f>+VLOOKUP(LEFT($A138,LEN(A138)-1)*1,Master!$D$25:$G$223,4,FALSE)</f>
        <v>Funds for redundant labor</v>
      </c>
      <c r="C138" s="497"/>
      <c r="D138" s="497"/>
      <c r="E138" s="497"/>
      <c r="F138" s="497"/>
      <c r="G138" s="91">
        <f>SUM(DataEx!ET337)</f>
        <v>1699899.96</v>
      </c>
      <c r="H138" s="91">
        <f>SUM(DataEx!EU337)</f>
        <v>1699899.96</v>
      </c>
      <c r="I138" s="91">
        <f>SUM(DataEx!EV337)</f>
        <v>1699899.96</v>
      </c>
      <c r="J138" s="91">
        <f>SUM(DataEx!EW337)</f>
        <v>1699899.96</v>
      </c>
      <c r="K138" s="91">
        <f>SUM(DataEx!EX337)</f>
        <v>1699899.96</v>
      </c>
      <c r="L138" s="91">
        <f>SUM(DataEx!EY337)</f>
        <v>1699899.96</v>
      </c>
      <c r="M138" s="91">
        <f>SUM(DataEx!EZ337)</f>
        <v>1699899.96</v>
      </c>
      <c r="N138" s="91">
        <f>SUM(DataEx!FA337)</f>
        <v>1699899.96</v>
      </c>
      <c r="O138" s="91">
        <f>SUM(DataEx!FB337)</f>
        <v>1699899.96</v>
      </c>
      <c r="P138" s="91">
        <f>SUM(DataEx!FC337)</f>
        <v>1699899.96</v>
      </c>
      <c r="Q138" s="91">
        <f>SUM(DataEx!FD337)</f>
        <v>1699899.96</v>
      </c>
      <c r="R138" s="91">
        <f>SUM(DataEx!FE337)</f>
        <v>1699899.96</v>
      </c>
      <c r="S138" s="126">
        <f t="shared" si="20"/>
        <v>20398799.520000007</v>
      </c>
      <c r="T138" s="127">
        <f t="shared" si="21"/>
        <v>4.6385154785456052E-3</v>
      </c>
    </row>
    <row r="139" spans="1:20">
      <c r="A139" s="138" t="str">
        <f t="shared" si="17"/>
        <v>423p</v>
      </c>
      <c r="B139" s="496" t="str">
        <f>+VLOOKUP(LEFT($A139,LEN(A139)-1)*1,Master!$D$25:$G$223,4,FALSE)</f>
        <v>Pension and Disability Insurance</v>
      </c>
      <c r="C139" s="497"/>
      <c r="D139" s="497"/>
      <c r="E139" s="497"/>
      <c r="F139" s="497"/>
      <c r="G139" s="91">
        <f>SUM(DataEx!ET343)</f>
        <v>35472732.535833336</v>
      </c>
      <c r="H139" s="91">
        <f>SUM(DataEx!EU343)</f>
        <v>35472732.535833336</v>
      </c>
      <c r="I139" s="91">
        <f>SUM(DataEx!EV343)</f>
        <v>35472732.535833336</v>
      </c>
      <c r="J139" s="91">
        <f>SUM(DataEx!EW343)</f>
        <v>35472732.535833336</v>
      </c>
      <c r="K139" s="91">
        <f>SUM(DataEx!EX343)</f>
        <v>35472732.535833336</v>
      </c>
      <c r="L139" s="91">
        <f>SUM(DataEx!EY343)</f>
        <v>35472732.535833336</v>
      </c>
      <c r="M139" s="91">
        <f>SUM(DataEx!EZ343)</f>
        <v>35472732.535833336</v>
      </c>
      <c r="N139" s="91">
        <f>SUM(DataEx!FA343)</f>
        <v>35472732.535833336</v>
      </c>
      <c r="O139" s="91">
        <f>SUM(DataEx!FB343)</f>
        <v>35472732.535833336</v>
      </c>
      <c r="P139" s="91">
        <f>SUM(DataEx!FC343)</f>
        <v>35472732.535833336</v>
      </c>
      <c r="Q139" s="91">
        <f>SUM(DataEx!FD343)</f>
        <v>35472732.535833336</v>
      </c>
      <c r="R139" s="91">
        <f>SUM(DataEx!FE343)</f>
        <v>35472732.535833336</v>
      </c>
      <c r="S139" s="126">
        <f t="shared" si="20"/>
        <v>425672790.43000013</v>
      </c>
      <c r="T139" s="127">
        <f t="shared" si="21"/>
        <v>9.6794413086386089E-2</v>
      </c>
    </row>
    <row r="140" spans="1:20">
      <c r="A140" s="138" t="str">
        <f t="shared" si="17"/>
        <v>424p</v>
      </c>
      <c r="B140" s="496" t="str">
        <f>+VLOOKUP(LEFT($A140,LEN(A140)-1)*1,Master!$D$25:$G$223,4,FALSE)</f>
        <v>Other Health Care Transfers</v>
      </c>
      <c r="C140" s="497"/>
      <c r="D140" s="497"/>
      <c r="E140" s="497"/>
      <c r="F140" s="497"/>
      <c r="G140" s="91">
        <f>SUM(DataEx!ET351)</f>
        <v>1375008.3333333333</v>
      </c>
      <c r="H140" s="91">
        <f>SUM(DataEx!EU351)</f>
        <v>1375008.3333333333</v>
      </c>
      <c r="I140" s="91">
        <f>SUM(DataEx!EV351)</f>
        <v>1375008.3333333333</v>
      </c>
      <c r="J140" s="91">
        <f>SUM(DataEx!EW351)</f>
        <v>1375008.3333333333</v>
      </c>
      <c r="K140" s="91">
        <f>SUM(DataEx!EX351)</f>
        <v>1375008.3333333333</v>
      </c>
      <c r="L140" s="91">
        <f>SUM(DataEx!EY351)</f>
        <v>1375008.3333333333</v>
      </c>
      <c r="M140" s="91">
        <f>SUM(DataEx!EZ351)</f>
        <v>1375008.3333333333</v>
      </c>
      <c r="N140" s="91">
        <f>SUM(DataEx!FA351)</f>
        <v>1375008.3333333333</v>
      </c>
      <c r="O140" s="91">
        <f>SUM(DataEx!FB351)</f>
        <v>1375008.3333333333</v>
      </c>
      <c r="P140" s="91">
        <f>SUM(DataEx!FC351)</f>
        <v>1375008.3333333333</v>
      </c>
      <c r="Q140" s="91">
        <f>SUM(DataEx!FD351)</f>
        <v>1375008.3333333333</v>
      </c>
      <c r="R140" s="91">
        <f>SUM(DataEx!FE351)</f>
        <v>1375008.3333333333</v>
      </c>
      <c r="S140" s="126">
        <f t="shared" si="20"/>
        <v>16500100.000000002</v>
      </c>
      <c r="T140" s="127">
        <f t="shared" si="21"/>
        <v>3.75198399163199E-3</v>
      </c>
    </row>
    <row r="141" spans="1:20">
      <c r="A141" s="138" t="str">
        <f t="shared" si="17"/>
        <v>425p</v>
      </c>
      <c r="B141" s="496" t="str">
        <f>+VLOOKUP(LEFT($A141,LEN(A141)-1)*1,Master!$D$25:$G$223,4,FALSE)</f>
        <v>Other Health Care Insurance</v>
      </c>
      <c r="C141" s="497"/>
      <c r="D141" s="497"/>
      <c r="E141" s="497"/>
      <c r="F141" s="497"/>
      <c r="G141" s="91">
        <f>SUM(DataEx!ET353)</f>
        <v>752083.33333333337</v>
      </c>
      <c r="H141" s="91">
        <f>SUM(DataEx!EU353)</f>
        <v>752083.33333333337</v>
      </c>
      <c r="I141" s="91">
        <f>SUM(DataEx!EV353)</f>
        <v>752083.33333333337</v>
      </c>
      <c r="J141" s="91">
        <f>SUM(DataEx!EW353)</f>
        <v>752083.33333333337</v>
      </c>
      <c r="K141" s="91">
        <f>SUM(DataEx!EX353)</f>
        <v>752083.33333333337</v>
      </c>
      <c r="L141" s="91">
        <f>SUM(DataEx!EY353)</f>
        <v>752083.33333333337</v>
      </c>
      <c r="M141" s="91">
        <f>SUM(DataEx!EZ353)</f>
        <v>752083.33333333337</v>
      </c>
      <c r="N141" s="91">
        <f>SUM(DataEx!FA353)</f>
        <v>752083.33333333337</v>
      </c>
      <c r="O141" s="91">
        <f>SUM(DataEx!FB353)</f>
        <v>752083.33333333337</v>
      </c>
      <c r="P141" s="91">
        <f>SUM(DataEx!FC353)</f>
        <v>752083.33333333337</v>
      </c>
      <c r="Q141" s="91">
        <f>SUM(DataEx!FD353)</f>
        <v>752083.33333333337</v>
      </c>
      <c r="R141" s="91">
        <f>SUM(DataEx!FE353)</f>
        <v>752083.33333333337</v>
      </c>
      <c r="S141" s="126">
        <f t="shared" si="20"/>
        <v>9024999.9999999981</v>
      </c>
      <c r="T141" s="127">
        <f t="shared" si="21"/>
        <v>2.0522091093071373E-3</v>
      </c>
    </row>
    <row r="142" spans="1:20">
      <c r="A142" s="138" t="str">
        <f t="shared" si="17"/>
        <v>43p</v>
      </c>
      <c r="B142" s="498" t="str">
        <f>+VLOOKUP(LEFT($A142,LEN(A142)-1)*1,Master!$D$25:$G$223,4,FALSE)</f>
        <v xml:space="preserve">Transfers to Institutions, Individuals, NGO and Public Sector </v>
      </c>
      <c r="C142" s="499"/>
      <c r="D142" s="499"/>
      <c r="E142" s="499"/>
      <c r="F142" s="499"/>
      <c r="G142" s="85">
        <f>SUM(DataEx!ET357)</f>
        <v>15295211.558333334</v>
      </c>
      <c r="H142" s="85">
        <f>SUM(DataEx!EU357)</f>
        <v>15295211.558333334</v>
      </c>
      <c r="I142" s="85">
        <f>SUM(DataEx!EV357)</f>
        <v>15295211.558333334</v>
      </c>
      <c r="J142" s="85">
        <f>SUM(DataEx!EW357)</f>
        <v>15295211.558333334</v>
      </c>
      <c r="K142" s="85">
        <f>SUM(DataEx!EX357)</f>
        <v>15295211.558333334</v>
      </c>
      <c r="L142" s="85">
        <f>SUM(DataEx!EY357)</f>
        <v>15295211.558333334</v>
      </c>
      <c r="M142" s="85">
        <f>SUM(DataEx!EZ357)</f>
        <v>15295211.558333334</v>
      </c>
      <c r="N142" s="85">
        <f>SUM(DataEx!FA357)</f>
        <v>15295211.558333334</v>
      </c>
      <c r="O142" s="85">
        <f>SUM(DataEx!FB357)</f>
        <v>15295211.558333334</v>
      </c>
      <c r="P142" s="85">
        <f>SUM(DataEx!FC357)</f>
        <v>15295211.558333334</v>
      </c>
      <c r="Q142" s="85">
        <f>SUM(DataEx!FD357)</f>
        <v>15295211.558333334</v>
      </c>
      <c r="R142" s="85">
        <f>SUM(DataEx!FE357)</f>
        <v>15295211.558333334</v>
      </c>
      <c r="S142" s="128">
        <f>+SUM(G142:R142)</f>
        <v>183542538.70000002</v>
      </c>
      <c r="T142" s="129">
        <f t="shared" si="21"/>
        <v>4.173602990199423E-2</v>
      </c>
    </row>
    <row r="143" spans="1:20">
      <c r="A143" s="138" t="str">
        <f t="shared" si="17"/>
        <v>44p</v>
      </c>
      <c r="B143" s="498" t="str">
        <f>+VLOOKUP(LEFT($A143,LEN(A143)-1)*1,Master!$D$25:$G$223,4,FALSE)</f>
        <v>Capital Expenditure</v>
      </c>
      <c r="C143" s="499"/>
      <c r="D143" s="499"/>
      <c r="E143" s="499"/>
      <c r="F143" s="499"/>
      <c r="G143" s="85">
        <f>SUM(DataEx!ET375)</f>
        <v>21472083.333333332</v>
      </c>
      <c r="H143" s="85">
        <f>SUM(DataEx!EU375)</f>
        <v>21472083.333333332</v>
      </c>
      <c r="I143" s="85">
        <f>SUM(DataEx!EV375)</f>
        <v>21472083.333333332</v>
      </c>
      <c r="J143" s="85">
        <f>SUM(DataEx!EW375)</f>
        <v>21472083.333333332</v>
      </c>
      <c r="K143" s="85">
        <f>SUM(DataEx!EX375)</f>
        <v>21472083.333333332</v>
      </c>
      <c r="L143" s="85">
        <f>SUM(DataEx!EY375)</f>
        <v>21472083.333333332</v>
      </c>
      <c r="M143" s="85">
        <f>SUM(DataEx!EZ375)</f>
        <v>26990416.666666664</v>
      </c>
      <c r="N143" s="85">
        <f>SUM(DataEx!FA375)</f>
        <v>26990416.666666664</v>
      </c>
      <c r="O143" s="85">
        <f>SUM(DataEx!FB375)</f>
        <v>26990416.666666664</v>
      </c>
      <c r="P143" s="85">
        <f>SUM(DataEx!FC375)</f>
        <v>26990416.666666664</v>
      </c>
      <c r="Q143" s="85">
        <f>SUM(DataEx!FD375)</f>
        <v>26990416.666666664</v>
      </c>
      <c r="R143" s="85">
        <f>SUM(DataEx!FE375)</f>
        <v>26990416.666666664</v>
      </c>
      <c r="S143" s="128">
        <f t="shared" si="20"/>
        <v>290774999.99999994</v>
      </c>
      <c r="T143" s="129">
        <f t="shared" si="21"/>
        <v>6.6119789890169853E-2</v>
      </c>
    </row>
    <row r="144" spans="1:20">
      <c r="A144" s="138" t="str">
        <f t="shared" si="17"/>
        <v>451p</v>
      </c>
      <c r="B144" s="480" t="str">
        <f>+VLOOKUP(LEFT($A144,LEN(A144)-1)*1,Master!$D$25:$G$223,4,FALSE)</f>
        <v>Credits and Borrowings</v>
      </c>
      <c r="C144" s="481"/>
      <c r="D144" s="481"/>
      <c r="E144" s="481"/>
      <c r="F144" s="481"/>
      <c r="G144" s="91">
        <f>SUM(DataEx!ET386)</f>
        <v>239583.41666666666</v>
      </c>
      <c r="H144" s="91">
        <f>SUM(DataEx!EU386)</f>
        <v>239583.41666666666</v>
      </c>
      <c r="I144" s="91">
        <f>SUM(DataEx!EV386)</f>
        <v>239583.41666666666</v>
      </c>
      <c r="J144" s="91">
        <f>SUM(DataEx!EW386)</f>
        <v>239583.41666666666</v>
      </c>
      <c r="K144" s="91">
        <f>SUM(DataEx!EX386)</f>
        <v>239583.41666666666</v>
      </c>
      <c r="L144" s="91">
        <f>SUM(DataEx!EY386)</f>
        <v>239583.41666666666</v>
      </c>
      <c r="M144" s="91">
        <f>SUM(DataEx!EZ386)</f>
        <v>239583.41666666666</v>
      </c>
      <c r="N144" s="91">
        <f>SUM(DataEx!FA386)</f>
        <v>239583.41666666666</v>
      </c>
      <c r="O144" s="91">
        <f>SUM(DataEx!FB386)</f>
        <v>239583.41666666666</v>
      </c>
      <c r="P144" s="91">
        <f>SUM(DataEx!FC386)</f>
        <v>239583.41666666666</v>
      </c>
      <c r="Q144" s="91">
        <f>SUM(DataEx!FD386)</f>
        <v>239583.41666666666</v>
      </c>
      <c r="R144" s="91">
        <f>SUM(DataEx!FE386)</f>
        <v>239583.41666666666</v>
      </c>
      <c r="S144" s="126">
        <f t="shared" si="20"/>
        <v>2875000.9999999995</v>
      </c>
      <c r="T144" s="127">
        <f t="shared" si="21"/>
        <v>6.5375105168610857E-4</v>
      </c>
    </row>
    <row r="145" spans="1:20">
      <c r="A145" s="138" t="str">
        <f t="shared" si="17"/>
        <v>47p</v>
      </c>
      <c r="B145" s="480" t="str">
        <f>+VLOOKUP(LEFT($A145,LEN(A145)-1)*1,Master!$D$25:$G$223,4,FALSE)</f>
        <v>Reserves</v>
      </c>
      <c r="C145" s="481"/>
      <c r="D145" s="481"/>
      <c r="E145" s="481"/>
      <c r="F145" s="481"/>
      <c r="G145" s="91">
        <f>SUM(DataEx!ET401)</f>
        <v>830846.24800000002</v>
      </c>
      <c r="H145" s="91">
        <f>SUM(DataEx!EU401)</f>
        <v>830846.24800000002</v>
      </c>
      <c r="I145" s="91">
        <f>SUM(DataEx!EV401)</f>
        <v>830846.24800000002</v>
      </c>
      <c r="J145" s="91">
        <f>SUM(DataEx!EW401)</f>
        <v>949846.13199999998</v>
      </c>
      <c r="K145" s="91">
        <f>SUM(DataEx!EX401)</f>
        <v>1306845.784</v>
      </c>
      <c r="L145" s="91">
        <f>SUM(DataEx!EY401)</f>
        <v>830846.24800000002</v>
      </c>
      <c r="M145" s="91">
        <f>SUM(DataEx!EZ401)</f>
        <v>1246269.3720000002</v>
      </c>
      <c r="N145" s="91">
        <f>SUM(DataEx!FA401)</f>
        <v>1246269.3720000002</v>
      </c>
      <c r="O145" s="91">
        <f>SUM(DataEx!FB401)</f>
        <v>1246269.3720000002</v>
      </c>
      <c r="P145" s="91">
        <f>SUM(DataEx!FC401)</f>
        <v>1246269.3720000002</v>
      </c>
      <c r="Q145" s="91">
        <f>SUM(DataEx!FD401)</f>
        <v>1246269.3720000002</v>
      </c>
      <c r="R145" s="91">
        <f>SUM(DataEx!FE401)</f>
        <v>1246269.3720000002</v>
      </c>
      <c r="S145" s="126">
        <f t="shared" si="20"/>
        <v>13057693.139999999</v>
      </c>
      <c r="T145" s="127">
        <f t="shared" si="21"/>
        <v>2.9692096186643016E-3</v>
      </c>
    </row>
    <row r="146" spans="1:20">
      <c r="A146" s="138" t="str">
        <f t="shared" si="17"/>
        <v>462p</v>
      </c>
      <c r="B146" s="480" t="str">
        <f>+VLOOKUP(LEFT($A146,LEN(A146)-1)*1,Master!$D$25:$G$223,4,FALSE)</f>
        <v>Repayment of Guarantees</v>
      </c>
      <c r="C146" s="481"/>
      <c r="D146" s="481"/>
      <c r="E146" s="481"/>
      <c r="F146" s="481"/>
      <c r="G146" s="91">
        <f>SUM(DataEx!ET388)</f>
        <v>0</v>
      </c>
      <c r="H146" s="91">
        <f>SUM(DataEx!EU388)</f>
        <v>0</v>
      </c>
      <c r="I146" s="91">
        <f>SUM(DataEx!EV388)</f>
        <v>0</v>
      </c>
      <c r="J146" s="91">
        <f>SUM(DataEx!EW388)</f>
        <v>0</v>
      </c>
      <c r="K146" s="91">
        <f>SUM(DataEx!EX388)</f>
        <v>0</v>
      </c>
      <c r="L146" s="91">
        <f>SUM(DataEx!EY388)</f>
        <v>0</v>
      </c>
      <c r="M146" s="91">
        <f>SUM(DataEx!EZ388)</f>
        <v>0</v>
      </c>
      <c r="N146" s="91">
        <f>SUM(DataEx!FA388)</f>
        <v>0</v>
      </c>
      <c r="O146" s="91">
        <f>SUM(DataEx!FB388)</f>
        <v>0</v>
      </c>
      <c r="P146" s="91">
        <f>SUM(DataEx!FC388)</f>
        <v>0</v>
      </c>
      <c r="Q146" s="91">
        <f>SUM(DataEx!FD388)</f>
        <v>0</v>
      </c>
      <c r="R146" s="91">
        <f>SUM(DataEx!FE388)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701</v>
      </c>
      <c r="C147" s="388"/>
      <c r="D147" s="388"/>
      <c r="E147" s="388"/>
      <c r="F147" s="388"/>
      <c r="G147" s="91">
        <f>SUM(DataEx!ET389)</f>
        <v>0</v>
      </c>
      <c r="H147" s="91">
        <f>SUM(DataEx!EU389)</f>
        <v>0</v>
      </c>
      <c r="I147" s="91">
        <f>SUM(DataEx!EV389)</f>
        <v>0</v>
      </c>
      <c r="J147" s="91">
        <f>SUM(DataEx!EW389)</f>
        <v>0</v>
      </c>
      <c r="K147" s="91">
        <f>SUM(DataEx!EX389)</f>
        <v>0</v>
      </c>
      <c r="L147" s="91">
        <f>SUM(DataEx!EY389)</f>
        <v>0</v>
      </c>
      <c r="M147" s="91">
        <f>SUM(DataEx!EZ389)</f>
        <v>0</v>
      </c>
      <c r="N147" s="91">
        <f>SUM(DataEx!FA389)</f>
        <v>0</v>
      </c>
      <c r="O147" s="91">
        <f>SUM(DataEx!FB389)</f>
        <v>0</v>
      </c>
      <c r="P147" s="91">
        <f>SUM(DataEx!FC389)</f>
        <v>0</v>
      </c>
      <c r="Q147" s="91">
        <f>SUM(DataEx!FD389)</f>
        <v>0</v>
      </c>
      <c r="R147" s="91">
        <f>SUM(DataEx!FE389)</f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0" t="str">
        <f>+VLOOKUP(LEFT($A148,LEN(A148)-1)*1,Master!$D$25:$G$223,4,FALSE)</f>
        <v>Surplus / deficit</v>
      </c>
      <c r="C148" s="491"/>
      <c r="D148" s="491"/>
      <c r="E148" s="491"/>
      <c r="F148" s="491"/>
      <c r="G148" s="97">
        <f t="shared" ref="G148:R148" si="27">+G104-G123</f>
        <v>-65244704.525097743</v>
      </c>
      <c r="H148" s="97">
        <f t="shared" si="27"/>
        <v>-48923580.645708457</v>
      </c>
      <c r="I148" s="97">
        <f t="shared" si="27"/>
        <v>629742.90546771884</v>
      </c>
      <c r="J148" s="97">
        <f t="shared" si="27"/>
        <v>-10459668.712581068</v>
      </c>
      <c r="K148" s="97">
        <f t="shared" si="27"/>
        <v>-9047041.8203653991</v>
      </c>
      <c r="L148" s="97">
        <f t="shared" si="27"/>
        <v>1628087.7527320683</v>
      </c>
      <c r="M148" s="97">
        <f t="shared" si="27"/>
        <v>1616358.3724189401</v>
      </c>
      <c r="N148" s="97">
        <f t="shared" si="27"/>
        <v>6530145.8117342293</v>
      </c>
      <c r="O148" s="97">
        <f t="shared" si="27"/>
        <v>-5076513.537194252</v>
      </c>
      <c r="P148" s="97">
        <f t="shared" si="27"/>
        <v>-5851997.5227779746</v>
      </c>
      <c r="Q148" s="97">
        <f t="shared" si="27"/>
        <v>-20150710.531578749</v>
      </c>
      <c r="R148" s="97">
        <f t="shared" si="27"/>
        <v>40205504.716238618</v>
      </c>
      <c r="S148" s="114">
        <f t="shared" si="20"/>
        <v>-114144377.73671207</v>
      </c>
      <c r="T148" s="115">
        <f t="shared" si="21"/>
        <v>-2.595547166398619E-2</v>
      </c>
    </row>
    <row r="149" spans="1:20" ht="13.5" thickBot="1">
      <c r="A149" s="139" t="str">
        <f>+CONCATENATE(A56,"p")</f>
        <v>1001p</v>
      </c>
      <c r="B149" s="492" t="str">
        <f>+VLOOKUP(LEFT($A149,LEN(A149)-1)*1,Master!$D$25:$G$223,4,FALSE)</f>
        <v>Primary balance</v>
      </c>
      <c r="C149" s="493"/>
      <c r="D149" s="493"/>
      <c r="E149" s="493"/>
      <c r="F149" s="493"/>
      <c r="G149" s="98">
        <f t="shared" ref="G149:R149" si="28">+G148+G131</f>
        <v>-58121979.525097743</v>
      </c>
      <c r="H149" s="98">
        <f t="shared" si="28"/>
        <v>-41800855.645708457</v>
      </c>
      <c r="I149" s="98">
        <f t="shared" si="28"/>
        <v>7752467.9054677188</v>
      </c>
      <c r="J149" s="98">
        <f t="shared" si="28"/>
        <v>-3336943.7125810683</v>
      </c>
      <c r="K149" s="98">
        <f t="shared" si="28"/>
        <v>-1924316.8203653991</v>
      </c>
      <c r="L149" s="98">
        <f t="shared" si="28"/>
        <v>8750812.7527320683</v>
      </c>
      <c r="M149" s="98">
        <f t="shared" si="28"/>
        <v>8739083.3724189401</v>
      </c>
      <c r="N149" s="98">
        <f t="shared" si="28"/>
        <v>13652870.811734229</v>
      </c>
      <c r="O149" s="98">
        <f t="shared" si="28"/>
        <v>2046211.462805748</v>
      </c>
      <c r="P149" s="98">
        <f t="shared" si="28"/>
        <v>1270727.4772220254</v>
      </c>
      <c r="Q149" s="98">
        <f t="shared" si="28"/>
        <v>-13027985.531578749</v>
      </c>
      <c r="R149" s="98">
        <f t="shared" si="28"/>
        <v>47328229.716238618</v>
      </c>
      <c r="S149" s="114">
        <f t="shared" si="20"/>
        <v>-28671677.736712068</v>
      </c>
      <c r="T149" s="115">
        <f t="shared" si="21"/>
        <v>-6.5196984188807938E-3</v>
      </c>
    </row>
    <row r="150" spans="1:20">
      <c r="A150" s="139" t="str">
        <f>+CONCATENATE(A57,"p")</f>
        <v>46p</v>
      </c>
      <c r="B150" s="494" t="str">
        <f>+VLOOKUP(LEFT($A150,LEN(A150)-1)*1,Master!$D$25:$G$223,4,FALSE)</f>
        <v>Repayment of Debt</v>
      </c>
      <c r="C150" s="495"/>
      <c r="D150" s="495"/>
      <c r="E150" s="495"/>
      <c r="F150" s="495"/>
      <c r="G150" s="87">
        <f t="shared" ref="G150:R150" si="29">+SUM(G151:G153)</f>
        <v>3995985.341243688</v>
      </c>
      <c r="H150" s="87">
        <f t="shared" si="29"/>
        <v>5612183.5020401878</v>
      </c>
      <c r="I150" s="87">
        <f t="shared" si="29"/>
        <v>22206461.85490736</v>
      </c>
      <c r="J150" s="87">
        <f t="shared" si="29"/>
        <v>23720356.07957419</v>
      </c>
      <c r="K150" s="87">
        <f t="shared" si="29"/>
        <v>19949382.892757326</v>
      </c>
      <c r="L150" s="87">
        <f t="shared" si="29"/>
        <v>18025387.76124369</v>
      </c>
      <c r="M150" s="87">
        <f t="shared" si="29"/>
        <v>6006605.7712436877</v>
      </c>
      <c r="N150" s="87">
        <f t="shared" si="29"/>
        <v>17160148.002040189</v>
      </c>
      <c r="O150" s="87">
        <f t="shared" si="29"/>
        <v>21341585.159562141</v>
      </c>
      <c r="P150" s="87">
        <f t="shared" si="29"/>
        <v>8527904.0295741875</v>
      </c>
      <c r="Q150" s="87">
        <f t="shared" si="29"/>
        <v>10654232.024569688</v>
      </c>
      <c r="R150" s="87">
        <f t="shared" si="29"/>
        <v>24552542.391243692</v>
      </c>
      <c r="S150" s="110">
        <f t="shared" si="20"/>
        <v>181752774.81000003</v>
      </c>
      <c r="T150" s="111">
        <f t="shared" si="21"/>
        <v>4.1329052643427254E-2</v>
      </c>
    </row>
    <row r="151" spans="1:20">
      <c r="A151" s="139" t="str">
        <f>+CONCATENATE(A58,"p")</f>
        <v>4611p</v>
      </c>
      <c r="B151" s="488" t="str">
        <f>+VLOOKUP(LEFT($A151,LEN(A151)-1)*1,Master!$D$25:$G$223,4,FALSE)</f>
        <v>Repayment of Domestic Debt</v>
      </c>
      <c r="C151" s="489"/>
      <c r="D151" s="489"/>
      <c r="E151" s="489"/>
      <c r="F151" s="489"/>
      <c r="G151" s="100">
        <f>SUM(DataEx!ET395)</f>
        <v>116701.86</v>
      </c>
      <c r="H151" s="100">
        <f>SUM(DataEx!EU395)</f>
        <v>867332.36</v>
      </c>
      <c r="I151" s="100">
        <f>SUM(DataEx!EV395)</f>
        <v>7801367.0199999996</v>
      </c>
      <c r="J151" s="100">
        <f>SUM(DataEx!EW395)</f>
        <v>4481623.79</v>
      </c>
      <c r="K151" s="100">
        <f>SUM(DataEx!EX395)</f>
        <v>2831467.37</v>
      </c>
      <c r="L151" s="100">
        <f>SUM(DataEx!EY395)</f>
        <v>7170000.0800000001</v>
      </c>
      <c r="M151" s="100">
        <f>SUM(DataEx!EZ395)</f>
        <v>82322.3</v>
      </c>
      <c r="N151" s="100">
        <f>SUM(DataEx!FA395)</f>
        <v>10832753.109999999</v>
      </c>
      <c r="O151" s="100">
        <f>SUM(DataEx!FB395)</f>
        <v>1958366.01</v>
      </c>
      <c r="P151" s="100">
        <f>SUM(DataEx!FC395)</f>
        <v>1510132.11</v>
      </c>
      <c r="Q151" s="100">
        <f>SUM(DataEx!FD395)</f>
        <v>834059.15</v>
      </c>
      <c r="R151" s="100">
        <f>SUM(DataEx!FE395)</f>
        <v>12202154.65</v>
      </c>
      <c r="S151" s="108">
        <f t="shared" si="20"/>
        <v>50688279.809999995</v>
      </c>
      <c r="T151" s="109">
        <f t="shared" si="21"/>
        <v>1.1526088594037791E-2</v>
      </c>
    </row>
    <row r="152" spans="1:20">
      <c r="A152" s="139" t="str">
        <f>+CONCATENATE(A59,"p")</f>
        <v>4612p</v>
      </c>
      <c r="B152" s="480" t="str">
        <f>+VLOOKUP(LEFT($A152,LEN(A152)-1)*1,Master!$D$25:$G$223,4,FALSE)</f>
        <v>Repayment of Foreign Debt</v>
      </c>
      <c r="C152" s="481"/>
      <c r="D152" s="481"/>
      <c r="E152" s="481"/>
      <c r="F152" s="481"/>
      <c r="G152" s="100">
        <f>SUM(DataEx!ET396)</f>
        <v>2071825.5645770216</v>
      </c>
      <c r="H152" s="100">
        <f>SUM(DataEx!EU396)</f>
        <v>2862393.2253735214</v>
      </c>
      <c r="I152" s="100">
        <f>SUM(DataEx!EV396)</f>
        <v>12467636.918240691</v>
      </c>
      <c r="J152" s="100">
        <f>SUM(DataEx!EW396)</f>
        <v>17326274.372907523</v>
      </c>
      <c r="K152" s="100">
        <f>SUM(DataEx!EX396)</f>
        <v>15150457.606090657</v>
      </c>
      <c r="L152" s="100">
        <f>SUM(DataEx!EY396)</f>
        <v>8947929.7645770218</v>
      </c>
      <c r="M152" s="100">
        <f>SUM(DataEx!EZ396)</f>
        <v>2071825.5545770216</v>
      </c>
      <c r="N152" s="100">
        <f>SUM(DataEx!FA396)</f>
        <v>2989936.9753735219</v>
      </c>
      <c r="O152" s="100">
        <f>SUM(DataEx!FB396)</f>
        <v>16625761.232895471</v>
      </c>
      <c r="P152" s="100">
        <f>SUM(DataEx!FC396)</f>
        <v>4165314.0029075216</v>
      </c>
      <c r="Q152" s="100">
        <f>SUM(DataEx!FD396)</f>
        <v>6972714.957903021</v>
      </c>
      <c r="R152" s="100">
        <f>SUM(DataEx!FE396)</f>
        <v>8947929.8245770223</v>
      </c>
      <c r="S152" s="108">
        <f t="shared" si="20"/>
        <v>100600000.00000001</v>
      </c>
      <c r="T152" s="109">
        <f t="shared" si="21"/>
        <v>2.2875594060531645E-2</v>
      </c>
    </row>
    <row r="153" spans="1:20" ht="13.5" thickBot="1">
      <c r="A153" s="139" t="str">
        <f>+CONCATENATE(A53,"p")</f>
        <v>4630p</v>
      </c>
      <c r="B153" s="482" t="str">
        <f>+VLOOKUP(LEFT($A153,LEN(A153)-1)*1,Master!$D$25:$G$223,4,FALSE)</f>
        <v>Repayments of Arrears</v>
      </c>
      <c r="C153" s="483"/>
      <c r="D153" s="483"/>
      <c r="E153" s="483"/>
      <c r="F153" s="483"/>
      <c r="G153" s="100">
        <f>SUM(DataEx!ET400)</f>
        <v>1807457.9166666667</v>
      </c>
      <c r="H153" s="100">
        <f>SUM(DataEx!EU400)</f>
        <v>1882457.9166666667</v>
      </c>
      <c r="I153" s="100">
        <f>SUM(DataEx!EV400)</f>
        <v>1937457.9166666667</v>
      </c>
      <c r="J153" s="100">
        <f>SUM(DataEx!EW400)</f>
        <v>1912457.9166666667</v>
      </c>
      <c r="K153" s="100">
        <f>SUM(DataEx!EX400)</f>
        <v>1967457.9166666667</v>
      </c>
      <c r="L153" s="100">
        <f>SUM(DataEx!EY400)</f>
        <v>1907457.9166666667</v>
      </c>
      <c r="M153" s="100">
        <f>SUM(DataEx!EZ400)</f>
        <v>3852457.9166666665</v>
      </c>
      <c r="N153" s="100">
        <f>SUM(DataEx!FA400)</f>
        <v>3337457.9166666665</v>
      </c>
      <c r="O153" s="100">
        <f>SUM(DataEx!FB400)</f>
        <v>2757457.9166666665</v>
      </c>
      <c r="P153" s="100">
        <f>SUM(DataEx!FC400)</f>
        <v>2852457.9166666665</v>
      </c>
      <c r="Q153" s="100">
        <f>SUM(DataEx!FD400)</f>
        <v>2847457.9166666665</v>
      </c>
      <c r="R153" s="100">
        <f>SUM(DataEx!FE400)</f>
        <v>3402457.9166666665</v>
      </c>
      <c r="S153" s="108">
        <f t="shared" si="20"/>
        <v>30464495.000000004</v>
      </c>
      <c r="T153" s="109">
        <f t="shared" si="21"/>
        <v>6.9273699888578125E-3</v>
      </c>
    </row>
    <row r="154" spans="1:20" ht="13.5" thickBot="1">
      <c r="A154" s="139" t="str">
        <f t="shared" ref="A154:A159" si="30">+CONCATENATE(A60,"p")</f>
        <v>1002p</v>
      </c>
      <c r="B154" s="484" t="str">
        <f>+VLOOKUP(LEFT($A154,LEN(A154)-1)*1,Master!$D$25:$G$223,4,FALSE)</f>
        <v>Financing needs</v>
      </c>
      <c r="C154" s="485"/>
      <c r="D154" s="485"/>
      <c r="E154" s="485"/>
      <c r="F154" s="485"/>
      <c r="G154" s="79">
        <f t="shared" ref="G154:R154" si="31">+G148-G150</f>
        <v>-69240689.866341427</v>
      </c>
      <c r="H154" s="79">
        <f t="shared" si="31"/>
        <v>-54535764.147748642</v>
      </c>
      <c r="I154" s="79">
        <f t="shared" si="31"/>
        <v>-21576718.949439641</v>
      </c>
      <c r="J154" s="79">
        <f t="shared" si="31"/>
        <v>-34180024.792155258</v>
      </c>
      <c r="K154" s="79">
        <f t="shared" si="31"/>
        <v>-28996424.713122725</v>
      </c>
      <c r="L154" s="79">
        <f t="shared" si="31"/>
        <v>-16397300.008511622</v>
      </c>
      <c r="M154" s="79">
        <f t="shared" si="31"/>
        <v>-4390247.3988247477</v>
      </c>
      <c r="N154" s="79">
        <f t="shared" si="31"/>
        <v>-10630002.190305959</v>
      </c>
      <c r="O154" s="79">
        <f t="shared" si="31"/>
        <v>-26418098.696756393</v>
      </c>
      <c r="P154" s="79">
        <f t="shared" si="31"/>
        <v>-14379901.552352162</v>
      </c>
      <c r="Q154" s="79">
        <f t="shared" si="31"/>
        <v>-30804942.55614844</v>
      </c>
      <c r="R154" s="79">
        <f t="shared" si="31"/>
        <v>15652962.324994925</v>
      </c>
      <c r="S154" s="118">
        <f t="shared" si="20"/>
        <v>-295897152.54671216</v>
      </c>
      <c r="T154" s="119">
        <f t="shared" si="21"/>
        <v>-6.7284524307413454E-2</v>
      </c>
    </row>
    <row r="155" spans="1:20" ht="13.5" thickBot="1">
      <c r="A155" s="139" t="str">
        <f t="shared" si="30"/>
        <v>1003p</v>
      </c>
      <c r="B155" s="486" t="str">
        <f>+VLOOKUP(LEFT($A155,LEN(A155)-1)*1,Master!$D$25:$G$223,4,FALSE)</f>
        <v>Financing</v>
      </c>
      <c r="C155" s="487"/>
      <c r="D155" s="487"/>
      <c r="E155" s="487"/>
      <c r="F155" s="487"/>
      <c r="G155" s="97">
        <f t="shared" ref="G155:R155" si="32">+SUM(G156:G159)</f>
        <v>69240689.866341427</v>
      </c>
      <c r="H155" s="97">
        <f t="shared" si="32"/>
        <v>54535764.147748642</v>
      </c>
      <c r="I155" s="97">
        <f t="shared" si="32"/>
        <v>21576718.949439641</v>
      </c>
      <c r="J155" s="97">
        <f t="shared" si="32"/>
        <v>34180024.792155258</v>
      </c>
      <c r="K155" s="97">
        <f t="shared" si="32"/>
        <v>28996424.713122725</v>
      </c>
      <c r="L155" s="97">
        <f t="shared" si="32"/>
        <v>16397300.008511622</v>
      </c>
      <c r="M155" s="97">
        <f t="shared" si="32"/>
        <v>4390247.3988247477</v>
      </c>
      <c r="N155" s="97">
        <f t="shared" si="32"/>
        <v>10630002.190305959</v>
      </c>
      <c r="O155" s="97">
        <f t="shared" si="32"/>
        <v>26418098.696756393</v>
      </c>
      <c r="P155" s="97">
        <f t="shared" si="32"/>
        <v>14379901.552352162</v>
      </c>
      <c r="Q155" s="97">
        <f t="shared" si="32"/>
        <v>30804942.55614844</v>
      </c>
      <c r="R155" s="97">
        <f t="shared" si="32"/>
        <v>-15652962.324994922</v>
      </c>
      <c r="S155" s="120">
        <f t="shared" si="20"/>
        <v>295897152.54671216</v>
      </c>
      <c r="T155" s="121">
        <f t="shared" si="21"/>
        <v>6.7284524307413454E-2</v>
      </c>
    </row>
    <row r="156" spans="1:20">
      <c r="A156" s="139" t="str">
        <f t="shared" si="30"/>
        <v>7511p</v>
      </c>
      <c r="B156" s="488" t="str">
        <f>+VLOOKUP(LEFT($A156,LEN(A156)-1)*1,Master!$D$25:$G$223,4,FALSE)</f>
        <v>Domestic Loans and Borrowings</v>
      </c>
      <c r="C156" s="489"/>
      <c r="D156" s="489"/>
      <c r="E156" s="489"/>
      <c r="F156" s="489"/>
      <c r="G156" s="100">
        <f>+INDEX(DataEx!$1:$1048576,MATCH('2018'!$A156,DataEx!$D:$D,0),MATCH('2018'!G$6,DataEx!$7:$7,0))</f>
        <v>0</v>
      </c>
      <c r="H156" s="100">
        <f>+INDEX(DataEx!$1:$1048576,MATCH('2018'!$A156,DataEx!$D:$D,0),MATCH('2018'!H$6,DataEx!$7:$7,0))</f>
        <v>0</v>
      </c>
      <c r="I156" s="100">
        <f>+INDEX(DataEx!$1:$1048576,MATCH('2018'!$A156,DataEx!$D:$D,0),MATCH('2018'!I$6,DataEx!$7:$7,0))</f>
        <v>0</v>
      </c>
      <c r="J156" s="100">
        <f>+INDEX(DataEx!$1:$1048576,MATCH('2018'!$A156,DataEx!$D:$D,0),MATCH('2018'!J$6,DataEx!$7:$7,0))</f>
        <v>0</v>
      </c>
      <c r="K156" s="100">
        <f>+INDEX(DataEx!$1:$1048576,MATCH('2018'!$A156,DataEx!$D:$D,0),MATCH('2018'!K$6,DataEx!$7:$7,0))</f>
        <v>0</v>
      </c>
      <c r="L156" s="100">
        <f>+INDEX(DataEx!$1:$1048576,MATCH('2018'!$A156,DataEx!$D:$D,0),MATCH('2018'!L$6,DataEx!$7:$7,0))</f>
        <v>0</v>
      </c>
      <c r="M156" s="100">
        <f>+INDEX(DataEx!$1:$1048576,MATCH('2018'!$A156,DataEx!$D:$D,0),MATCH('2018'!M$6,DataEx!$7:$7,0))</f>
        <v>0</v>
      </c>
      <c r="N156" s="100">
        <f>+INDEX(DataEx!$1:$1048576,MATCH('2018'!$A156,DataEx!$D:$D,0),MATCH('2018'!N$6,DataEx!$7:$7,0))</f>
        <v>0</v>
      </c>
      <c r="O156" s="100">
        <f>+INDEX(DataEx!$1:$1048576,MATCH('2018'!$A156,DataEx!$D:$D,0),MATCH('2018'!O$6,DataEx!$7:$7,0))</f>
        <v>0</v>
      </c>
      <c r="P156" s="100">
        <f>+INDEX(DataEx!$1:$1048576,MATCH('2018'!$A156,DataEx!$D:$D,0),MATCH('2018'!P$6,DataEx!$7:$7,0))</f>
        <v>0</v>
      </c>
      <c r="Q156" s="100">
        <f>+INDEX(DataEx!$1:$1048576,MATCH('2018'!$A156,DataEx!$D:$D,0),MATCH('2018'!Q$6,DataEx!$7:$7,0))</f>
        <v>0</v>
      </c>
      <c r="R156" s="100">
        <f>+INDEX(DataEx!$1:$1048576,MATCH('2018'!$A156,DataEx!$D:$D,0),MATCH('2018'!R$6,DataEx!$7:$7,0))</f>
        <v>0</v>
      </c>
      <c r="S156" s="108">
        <f t="shared" si="20"/>
        <v>0</v>
      </c>
      <c r="T156" s="109">
        <f t="shared" si="21"/>
        <v>0</v>
      </c>
    </row>
    <row r="157" spans="1:20">
      <c r="A157" s="139" t="str">
        <f t="shared" si="30"/>
        <v>7512p</v>
      </c>
      <c r="B157" s="480" t="str">
        <f>+VLOOKUP(LEFT($A157,LEN(A157)-1)*1,Master!$D$25:$G$223,4,FALSE)</f>
        <v>Foreign Loans and Borrowings</v>
      </c>
      <c r="C157" s="481"/>
      <c r="D157" s="481"/>
      <c r="E157" s="481"/>
      <c r="F157" s="481"/>
      <c r="G157" s="100">
        <f>+INDEX(DataEx!$1:$1048576,MATCH('2018'!$A157,DataEx!$D:$D,0),MATCH('2018'!G$6,DataEx!$7:$7,0))</f>
        <v>24658333.329999998</v>
      </c>
      <c r="H157" s="100">
        <f>+INDEX(DataEx!$1:$1048576,MATCH('2018'!$A157,DataEx!$D:$D,0),MATCH('2018'!H$6,DataEx!$7:$7,0))</f>
        <v>24658333.329999998</v>
      </c>
      <c r="I157" s="100">
        <f>+INDEX(DataEx!$1:$1048576,MATCH('2018'!$A157,DataEx!$D:$D,0),MATCH('2018'!I$6,DataEx!$7:$7,0))</f>
        <v>24658333.329999998</v>
      </c>
      <c r="J157" s="100">
        <f>+INDEX(DataEx!$1:$1048576,MATCH('2018'!$A157,DataEx!$D:$D,0),MATCH('2018'!J$6,DataEx!$7:$7,0))</f>
        <v>24658333.329999998</v>
      </c>
      <c r="K157" s="100">
        <f>+INDEX(DataEx!$1:$1048576,MATCH('2018'!$A157,DataEx!$D:$D,0),MATCH('2018'!K$6,DataEx!$7:$7,0))</f>
        <v>24658333.329999998</v>
      </c>
      <c r="L157" s="100">
        <f>+INDEX(DataEx!$1:$1048576,MATCH('2018'!$A157,DataEx!$D:$D,0),MATCH('2018'!L$6,DataEx!$7:$7,0))</f>
        <v>24658333.329999998</v>
      </c>
      <c r="M157" s="100">
        <f>+INDEX(DataEx!$1:$1048576,MATCH('2018'!$A157,DataEx!$D:$D,0),MATCH('2018'!M$6,DataEx!$7:$7,0))</f>
        <v>24658333.329999998</v>
      </c>
      <c r="N157" s="100">
        <f>+INDEX(DataEx!$1:$1048576,MATCH('2018'!$A157,DataEx!$D:$D,0),MATCH('2018'!N$6,DataEx!$7:$7,0))</f>
        <v>24658333.329999998</v>
      </c>
      <c r="O157" s="100">
        <f>+INDEX(DataEx!$1:$1048576,MATCH('2018'!$A157,DataEx!$D:$D,0),MATCH('2018'!O$6,DataEx!$7:$7,0))</f>
        <v>24658333.329999998</v>
      </c>
      <c r="P157" s="100">
        <f>+INDEX(DataEx!$1:$1048576,MATCH('2018'!$A157,DataEx!$D:$D,0),MATCH('2018'!P$6,DataEx!$7:$7,0))</f>
        <v>24658333.329999998</v>
      </c>
      <c r="Q157" s="100">
        <f>+INDEX(DataEx!$1:$1048576,MATCH('2018'!$A157,DataEx!$D:$D,0),MATCH('2018'!Q$6,DataEx!$7:$7,0))</f>
        <v>24658333.329999998</v>
      </c>
      <c r="R157" s="100">
        <f>+INDEX(DataEx!$1:$1048576,MATCH('2018'!$A157,DataEx!$D:$D,0),MATCH('2018'!R$6,DataEx!$7:$7,0))</f>
        <v>24658333.329999998</v>
      </c>
      <c r="S157" s="108">
        <f t="shared" si="20"/>
        <v>295899999.95999992</v>
      </c>
      <c r="T157" s="109">
        <f t="shared" si="21"/>
        <v>6.7285171785251369E-2</v>
      </c>
    </row>
    <row r="158" spans="1:20">
      <c r="A158" s="139" t="str">
        <f t="shared" si="30"/>
        <v>72p</v>
      </c>
      <c r="B158" s="480" t="str">
        <f>+VLOOKUP(LEFT($A158,LEN(A158)-1)*1,Master!$D$25:$G$223,4,FALSE)</f>
        <v>Revenues from Selling Assets</v>
      </c>
      <c r="C158" s="481"/>
      <c r="D158" s="481"/>
      <c r="E158" s="481"/>
      <c r="F158" s="481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44582356.536341429</v>
      </c>
      <c r="H159" s="101">
        <f t="shared" si="33"/>
        <v>29877430.817748643</v>
      </c>
      <c r="I159" s="101">
        <f t="shared" si="33"/>
        <v>-3081614.3805603571</v>
      </c>
      <c r="J159" s="101">
        <f t="shared" si="33"/>
        <v>9521691.4621552601</v>
      </c>
      <c r="K159" s="101">
        <f t="shared" si="33"/>
        <v>4338091.3831227273</v>
      </c>
      <c r="L159" s="101">
        <f t="shared" si="33"/>
        <v>-8261033.3214883767</v>
      </c>
      <c r="M159" s="101">
        <f t="shared" si="33"/>
        <v>-20268085.931175251</v>
      </c>
      <c r="N159" s="101">
        <f t="shared" si="33"/>
        <v>-14028331.139694039</v>
      </c>
      <c r="O159" s="101">
        <f t="shared" si="33"/>
        <v>1759765.3667563945</v>
      </c>
      <c r="P159" s="101">
        <f t="shared" si="33"/>
        <v>-10278431.777647836</v>
      </c>
      <c r="Q159" s="101">
        <f t="shared" si="33"/>
        <v>6146609.2261484414</v>
      </c>
      <c r="R159" s="101">
        <f t="shared" si="33"/>
        <v>-40311295.65499492</v>
      </c>
      <c r="S159" s="112">
        <f t="shared" si="20"/>
        <v>-2847.4132878780365</v>
      </c>
      <c r="T159" s="113">
        <f t="shared" si="21"/>
        <v>-6.4747783793301877E-7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I60" sqref="I6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+[1]Master!G6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+[1]Master!G7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+[1]Master!G8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525" t="str">
        <f>+[1]Master!G249</f>
        <v>Ostvarenje budžeta</v>
      </c>
      <c r="C7" s="433"/>
      <c r="D7" s="433"/>
      <c r="E7" s="433"/>
      <c r="F7" s="433"/>
      <c r="G7" s="441">
        <v>2017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+[1]Master!G246</f>
        <v>BDP</v>
      </c>
      <c r="T7" s="262">
        <v>4202100000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+[1]Master!G229</f>
        <v>Januar</v>
      </c>
      <c r="H8" s="171" t="str">
        <f>+[1]Master!G230</f>
        <v>Februar</v>
      </c>
      <c r="I8" s="171" t="str">
        <f>+[1]Master!G231</f>
        <v>Mart</v>
      </c>
      <c r="J8" s="171" t="str">
        <f>+[1]Master!G232</f>
        <v>April</v>
      </c>
      <c r="K8" s="171" t="str">
        <f>+[1]Master!G233</f>
        <v>Maj</v>
      </c>
      <c r="L8" s="171" t="str">
        <f>+[1]Master!G234</f>
        <v>Jun</v>
      </c>
      <c r="M8" s="171" t="str">
        <f>+[1]Master!G235</f>
        <v>Jul</v>
      </c>
      <c r="N8" s="171" t="str">
        <f>+[1]Master!G236</f>
        <v>Avgust</v>
      </c>
      <c r="O8" s="171" t="str">
        <f>+[1]Master!G237</f>
        <v>Septembar</v>
      </c>
      <c r="P8" s="171" t="str">
        <f>+[1]Master!G238</f>
        <v>Oktobar</v>
      </c>
      <c r="Q8" s="171" t="str">
        <f>+[1]Master!G239</f>
        <v>Novembar</v>
      </c>
      <c r="R8" s="171" t="str">
        <f>+[1]Master!G240</f>
        <v>Decembar</v>
      </c>
      <c r="S8" s="441" t="str">
        <f>+[1]Master!G243</f>
        <v>Jan - Dec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+[1]Master!G247</f>
        <v>% BDP</v>
      </c>
    </row>
    <row r="10" spans="1:20" ht="13.5" thickBot="1">
      <c r="A10" s="176">
        <v>7</v>
      </c>
      <c r="B10" s="474" t="str">
        <f>+VLOOKUP($A10,[1]Master!$D$25:$G$223,4,FALSE)</f>
        <v>Prihodi budžeta</v>
      </c>
      <c r="C10" s="475"/>
      <c r="D10" s="475"/>
      <c r="E10" s="475"/>
      <c r="F10" s="475"/>
      <c r="G10" s="17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135184988.80000001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138865730.25999999</v>
      </c>
      <c r="Q10" s="177">
        <f t="shared" si="1"/>
        <v>125487638.99000001</v>
      </c>
      <c r="R10" s="177">
        <f t="shared" si="1"/>
        <v>185531253.54000002</v>
      </c>
      <c r="S10" s="265">
        <f>+SUM(G10:R10)</f>
        <v>1565919550.3700001</v>
      </c>
      <c r="T10" s="266">
        <f>+S10/$T$7</f>
        <v>0.3726516623521573</v>
      </c>
    </row>
    <row r="11" spans="1:20">
      <c r="A11" s="176">
        <v>711</v>
      </c>
      <c r="B11" s="476" t="str">
        <f>+VLOOKUP($A11,[1]Master!$D$25:$G$223,4,FALSE)</f>
        <v>Porezi</v>
      </c>
      <c r="C11" s="477"/>
      <c r="D11" s="477"/>
      <c r="E11" s="477"/>
      <c r="F11" s="477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99153787.180000007</v>
      </c>
      <c r="O11" s="183">
        <f t="shared" si="2"/>
        <v>92913520.620000005</v>
      </c>
      <c r="P11" s="183">
        <f t="shared" si="2"/>
        <v>86378572.320000008</v>
      </c>
      <c r="Q11" s="183">
        <f t="shared" si="2"/>
        <v>74654697.830000013</v>
      </c>
      <c r="R11" s="267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0.2311119617048619</v>
      </c>
    </row>
    <row r="12" spans="1:20">
      <c r="A12" s="176">
        <v>7111</v>
      </c>
      <c r="B12" s="462" t="str">
        <f>+VLOOKUP($A12,[1]Master!$D$25:$G$223,4,FALSE)</f>
        <v>Porez na dohodak fizičkih lica</v>
      </c>
      <c r="C12" s="463"/>
      <c r="D12" s="463"/>
      <c r="E12" s="463"/>
      <c r="F12" s="463"/>
      <c r="G12" s="189">
        <f>+INDEX([1]DataEx!$1:$1048576,MATCH('2017'!$A12,[1]DataEx!$D:$D,0),MATCH('2017'!G$6,[1]DataEx!$7:$7,0))</f>
        <v>3855468.97</v>
      </c>
      <c r="H12" s="189">
        <f>+INDEX([1]DataEx!$1:$1048576,MATCH('2017'!$A12,[1]DataEx!$D:$D,0),MATCH('2017'!H$6,[1]DataEx!$7:$7,0))</f>
        <v>7751521.5300000003</v>
      </c>
      <c r="I12" s="189">
        <f>+INDEX([1]DataEx!$1:$1048576,MATCH('2017'!$A12,[1]DataEx!$D:$D,0),MATCH('2017'!I$6,[1]DataEx!$7:$7,0))</f>
        <v>9093379.6300000008</v>
      </c>
      <c r="J12" s="189">
        <f>+INDEX([1]DataEx!$1:$1048576,MATCH('2017'!$A12,[1]DataEx!$D:$D,0),MATCH('2017'!J$6,[1]DataEx!$7:$7,0))</f>
        <v>8729072.4399999995</v>
      </c>
      <c r="K12" s="189">
        <f>+INDEX([1]DataEx!$1:$1048576,MATCH('2017'!$A12,[1]DataEx!$D:$D,0),MATCH('2017'!K$6,[1]DataEx!$7:$7,0))</f>
        <v>9825835.5299999993</v>
      </c>
      <c r="L12" s="189">
        <f>+INDEX([1]DataEx!$1:$1048576,MATCH('2017'!$A12,[1]DataEx!$D:$D,0),MATCH('2017'!L$6,[1]DataEx!$7:$7,0))</f>
        <v>9719543.6799999997</v>
      </c>
      <c r="M12" s="189">
        <f>+INDEX([1]DataEx!$1:$1048576,MATCH('2017'!$A12,[1]DataEx!$D:$D,0),MATCH('2017'!M$6,[1]DataEx!$7:$7,0))</f>
        <v>10577855.74</v>
      </c>
      <c r="N12" s="189">
        <f>+INDEX([1]DataEx!$1:$1048576,MATCH('2017'!$A12,[1]DataEx!$D:$D,0),MATCH('2017'!N$6,[1]DataEx!$7:$7,0))</f>
        <v>10476522.35</v>
      </c>
      <c r="O12" s="189">
        <f>+INDEX([1]DataEx!$1:$1048576,MATCH('2017'!$A12,[1]DataEx!$D:$D,0),MATCH('2017'!O$6,[1]DataEx!$7:$7,0))</f>
        <v>9609655.3800000008</v>
      </c>
      <c r="P12" s="189">
        <f>+INDEX([1]DataEx!$1:$1048576,MATCH('2017'!$A12,[1]DataEx!$D:$D,0),MATCH('2017'!P$6,[1]DataEx!$7:$7,0))</f>
        <v>10226839.18</v>
      </c>
      <c r="Q12" s="189">
        <f>+INDEX([1]DataEx!$1:$1048576,MATCH('2017'!$A12,[1]DataEx!$D:$D,0),MATCH('2017'!Q$6,[1]DataEx!$7:$7,0))</f>
        <v>7670634.21</v>
      </c>
      <c r="R12" s="189">
        <f>+INDEX([1]DataEx!$1:$1048576,MATCH('2017'!$A12,[1]DataEx!$D:$D,0),MATCH('2017'!R$6,[1]DataEx!$7:$7,0))</f>
        <v>14446111.9</v>
      </c>
      <c r="S12" s="270">
        <f t="shared" si="3"/>
        <v>111982440.54000001</v>
      </c>
      <c r="T12" s="271">
        <f t="shared" si="4"/>
        <v>2.664916126222603E-2</v>
      </c>
    </row>
    <row r="13" spans="1:20">
      <c r="A13" s="176">
        <v>7112</v>
      </c>
      <c r="B13" s="462" t="str">
        <f>+VLOOKUP($A13,[1]Master!$D$25:$G$223,4,FALSE)</f>
        <v>Porez na dobit pravnih lica</v>
      </c>
      <c r="C13" s="463"/>
      <c r="D13" s="463"/>
      <c r="E13" s="463"/>
      <c r="F13" s="463"/>
      <c r="G13" s="189">
        <f>+INDEX([1]DataEx!$1:$1048576,MATCH('2017'!$A13,[1]DataEx!$D:$D,0),MATCH('2017'!G$6,[1]DataEx!$7:$7,0))</f>
        <v>632316.18999999994</v>
      </c>
      <c r="H13" s="189">
        <f>+INDEX([1]DataEx!$1:$1048576,MATCH('2017'!$A13,[1]DataEx!$D:$D,0),MATCH('2017'!H$6,[1]DataEx!$7:$7,0))</f>
        <v>1242026.04</v>
      </c>
      <c r="I13" s="189">
        <f>+INDEX([1]DataEx!$1:$1048576,MATCH('2017'!$A13,[1]DataEx!$D:$D,0),MATCH('2017'!I$6,[1]DataEx!$7:$7,0))</f>
        <v>17612665.690000001</v>
      </c>
      <c r="J13" s="189">
        <f>+INDEX([1]DataEx!$1:$1048576,MATCH('2017'!$A13,[1]DataEx!$D:$D,0),MATCH('2017'!J$6,[1]DataEx!$7:$7,0))</f>
        <v>14506801.98</v>
      </c>
      <c r="K13" s="189">
        <f>+INDEX([1]DataEx!$1:$1048576,MATCH('2017'!$A13,[1]DataEx!$D:$D,0),MATCH('2017'!K$6,[1]DataEx!$7:$7,0))</f>
        <v>2683183.94</v>
      </c>
      <c r="L13" s="189">
        <f>+INDEX([1]DataEx!$1:$1048576,MATCH('2017'!$A13,[1]DataEx!$D:$D,0),MATCH('2017'!L$6,[1]DataEx!$7:$7,0))</f>
        <v>2493382.48</v>
      </c>
      <c r="M13" s="189">
        <f>+INDEX([1]DataEx!$1:$1048576,MATCH('2017'!$A13,[1]DataEx!$D:$D,0),MATCH('2017'!M$6,[1]DataEx!$7:$7,0))</f>
        <v>2422592.44</v>
      </c>
      <c r="N13" s="189">
        <f>+INDEX([1]DataEx!$1:$1048576,MATCH('2017'!$A13,[1]DataEx!$D:$D,0),MATCH('2017'!N$6,[1]DataEx!$7:$7,0))</f>
        <v>2511333.39</v>
      </c>
      <c r="O13" s="189">
        <f>+INDEX([1]DataEx!$1:$1048576,MATCH('2017'!$A13,[1]DataEx!$D:$D,0),MATCH('2017'!O$6,[1]DataEx!$7:$7,0))</f>
        <v>1103662</v>
      </c>
      <c r="P13" s="189">
        <f>+INDEX([1]DataEx!$1:$1048576,MATCH('2017'!$A13,[1]DataEx!$D:$D,0),MATCH('2017'!P$6,[1]DataEx!$7:$7,0))</f>
        <v>1688078.63</v>
      </c>
      <c r="Q13" s="189">
        <f>+INDEX([1]DataEx!$1:$1048576,MATCH('2017'!$A13,[1]DataEx!$D:$D,0),MATCH('2017'!Q$6,[1]DataEx!$7:$7,0))</f>
        <v>667573.11</v>
      </c>
      <c r="R13" s="189">
        <f>+INDEX([1]DataEx!$1:$1048576,MATCH('2017'!$A13,[1]DataEx!$D:$D,0),MATCH('2017'!R$6,[1]DataEx!$7:$7,0))</f>
        <v>1664886.32</v>
      </c>
      <c r="S13" s="270">
        <f t="shared" si="3"/>
        <v>49228502.210000001</v>
      </c>
      <c r="T13" s="271">
        <f t="shared" si="4"/>
        <v>1.1715214347588111E-2</v>
      </c>
    </row>
    <row r="14" spans="1:20">
      <c r="A14" s="176">
        <v>7113</v>
      </c>
      <c r="B14" s="462" t="str">
        <f>+VLOOKUP($A14,[1]Master!$D$25:$G$223,4,FALSE)</f>
        <v>Porez na promet nepokretnosti</v>
      </c>
      <c r="C14" s="463"/>
      <c r="D14" s="463"/>
      <c r="E14" s="463"/>
      <c r="F14" s="463"/>
      <c r="G14" s="189">
        <f>+INDEX([1]DataEx!$1:$1048576,MATCH('2017'!$A14,[1]DataEx!$D:$D,0),MATCH('2017'!G$6,[1]DataEx!$7:$7,0))</f>
        <v>58790.3</v>
      </c>
      <c r="H14" s="189">
        <f>+INDEX([1]DataEx!$1:$1048576,MATCH('2017'!$A14,[1]DataEx!$D:$D,0),MATCH('2017'!H$6,[1]DataEx!$7:$7,0))</f>
        <v>107978.26</v>
      </c>
      <c r="I14" s="189">
        <f>+INDEX([1]DataEx!$1:$1048576,MATCH('2017'!$A14,[1]DataEx!$D:$D,0),MATCH('2017'!I$6,[1]DataEx!$7:$7,0))</f>
        <v>88556.13</v>
      </c>
      <c r="J14" s="189">
        <f>+INDEX([1]DataEx!$1:$1048576,MATCH('2017'!$A14,[1]DataEx!$D:$D,0),MATCH('2017'!J$6,[1]DataEx!$7:$7,0))</f>
        <v>93919.51</v>
      </c>
      <c r="K14" s="189">
        <f>+INDEX([1]DataEx!$1:$1048576,MATCH('2017'!$A14,[1]DataEx!$D:$D,0),MATCH('2017'!K$6,[1]DataEx!$7:$7,0))</f>
        <v>178761.83</v>
      </c>
      <c r="L14" s="189">
        <f>+INDEX([1]DataEx!$1:$1048576,MATCH('2017'!$A14,[1]DataEx!$D:$D,0),MATCH('2017'!L$6,[1]DataEx!$7:$7,0))</f>
        <v>96074.04</v>
      </c>
      <c r="M14" s="189">
        <f>+INDEX([1]DataEx!$1:$1048576,MATCH('2017'!$A14,[1]DataEx!$D:$D,0),MATCH('2017'!M$6,[1]DataEx!$7:$7,0))</f>
        <v>140635.43</v>
      </c>
      <c r="N14" s="189">
        <f>+INDEX([1]DataEx!$1:$1048576,MATCH('2017'!$A14,[1]DataEx!$D:$D,0),MATCH('2017'!N$6,[1]DataEx!$7:$7,0))</f>
        <v>152546.72</v>
      </c>
      <c r="O14" s="189">
        <f>+INDEX([1]DataEx!$1:$1048576,MATCH('2017'!$A14,[1]DataEx!$D:$D,0),MATCH('2017'!O$6,[1]DataEx!$7:$7,0))</f>
        <v>115920.43</v>
      </c>
      <c r="P14" s="189">
        <f>+INDEX([1]DataEx!$1:$1048576,MATCH('2017'!$A14,[1]DataEx!$D:$D,0),MATCH('2017'!P$6,[1]DataEx!$7:$7,0))</f>
        <v>195735.62</v>
      </c>
      <c r="Q14" s="189">
        <f>+INDEX([1]DataEx!$1:$1048576,MATCH('2017'!$A14,[1]DataEx!$D:$D,0),MATCH('2017'!Q$6,[1]DataEx!$7:$7,0))</f>
        <v>165720.76</v>
      </c>
      <c r="R14" s="189">
        <f>+INDEX([1]DataEx!$1:$1048576,MATCH('2017'!$A14,[1]DataEx!$D:$D,0),MATCH('2017'!R$6,[1]DataEx!$7:$7,0))</f>
        <v>130025.67</v>
      </c>
      <c r="S14" s="270">
        <f t="shared" si="3"/>
        <v>1524664.7</v>
      </c>
      <c r="T14" s="271">
        <f t="shared" si="4"/>
        <v>3.6283398776802077E-4</v>
      </c>
    </row>
    <row r="15" spans="1:20">
      <c r="A15" s="176">
        <v>7114</v>
      </c>
      <c r="B15" s="462" t="str">
        <f>+VLOOKUP($A15,[1]Master!$D$25:$G$223,4,FALSE)</f>
        <v>Porez na dodatu vrijednost</v>
      </c>
      <c r="C15" s="463"/>
      <c r="D15" s="463"/>
      <c r="E15" s="463"/>
      <c r="F15" s="463"/>
      <c r="G15" s="189">
        <f>+INDEX([1]DataEx!$1:$1048576,MATCH('2017'!$A15,[1]DataEx!$D:$D,0),MATCH('2017'!G$6,[1]DataEx!$7:$7,0))</f>
        <v>33352018.879999999</v>
      </c>
      <c r="H15" s="189">
        <f>+INDEX([1]DataEx!$1:$1048576,MATCH('2017'!$A15,[1]DataEx!$D:$D,0),MATCH('2017'!H$6,[1]DataEx!$7:$7,0))</f>
        <v>26961493.609999999</v>
      </c>
      <c r="I15" s="189">
        <f>+INDEX([1]DataEx!$1:$1048576,MATCH('2017'!$A15,[1]DataEx!$D:$D,0),MATCH('2017'!I$6,[1]DataEx!$7:$7,0))</f>
        <v>45891894.880000003</v>
      </c>
      <c r="J15" s="189">
        <f>+INDEX([1]DataEx!$1:$1048576,MATCH('2017'!$A15,[1]DataEx!$D:$D,0),MATCH('2017'!J$6,[1]DataEx!$7:$7,0))</f>
        <v>39843066.039999999</v>
      </c>
      <c r="K15" s="189">
        <f>+INDEX([1]DataEx!$1:$1048576,MATCH('2017'!$A15,[1]DataEx!$D:$D,0),MATCH('2017'!K$6,[1]DataEx!$7:$7,0))</f>
        <v>44329065.979999997</v>
      </c>
      <c r="L15" s="189">
        <f>+INDEX([1]DataEx!$1:$1048576,MATCH('2017'!$A15,[1]DataEx!$D:$D,0),MATCH('2017'!L$6,[1]DataEx!$7:$7,0))</f>
        <v>51058078.640000001</v>
      </c>
      <c r="M15" s="189">
        <f>+INDEX([1]DataEx!$1:$1048576,MATCH('2017'!$A15,[1]DataEx!$D:$D,0),MATCH('2017'!M$6,[1]DataEx!$7:$7,0))</f>
        <v>51792411.350000001</v>
      </c>
      <c r="N15" s="189">
        <f>+INDEX([1]DataEx!$1:$1048576,MATCH('2017'!$A15,[1]DataEx!$D:$D,0),MATCH('2017'!N$6,[1]DataEx!$7:$7,0))</f>
        <v>56845360.840000004</v>
      </c>
      <c r="O15" s="189">
        <f>+INDEX([1]DataEx!$1:$1048576,MATCH('2017'!$A15,[1]DataEx!$D:$D,0),MATCH('2017'!O$6,[1]DataEx!$7:$7,0))</f>
        <v>53436415.75</v>
      </c>
      <c r="P15" s="189">
        <f>+INDEX([1]DataEx!$1:$1048576,MATCH('2017'!$A15,[1]DataEx!$D:$D,0),MATCH('2017'!P$6,[1]DataEx!$7:$7,0))</f>
        <v>50058448.369999997</v>
      </c>
      <c r="Q15" s="189">
        <f>+INDEX([1]DataEx!$1:$1048576,MATCH('2017'!$A15,[1]DataEx!$D:$D,0),MATCH('2017'!Q$6,[1]DataEx!$7:$7,0))</f>
        <v>44942136.68</v>
      </c>
      <c r="R15" s="189">
        <f>+INDEX([1]DataEx!$1:$1048576,MATCH('2017'!$A15,[1]DataEx!$D:$D,0),MATCH('2017'!R$6,[1]DataEx!$7:$7,0))</f>
        <v>50200125.439999998</v>
      </c>
      <c r="S15" s="270">
        <f t="shared" si="3"/>
        <v>548710516.46000004</v>
      </c>
      <c r="T15" s="271">
        <f t="shared" si="4"/>
        <v>0.13058007102639158</v>
      </c>
    </row>
    <row r="16" spans="1:20">
      <c r="A16" s="176">
        <v>7115</v>
      </c>
      <c r="B16" s="462" t="str">
        <f>+VLOOKUP($A16,[1]Master!$D$25:$G$223,4,FALSE)</f>
        <v>Akcize</v>
      </c>
      <c r="C16" s="463"/>
      <c r="D16" s="463"/>
      <c r="E16" s="463"/>
      <c r="F16" s="463"/>
      <c r="G16" s="189">
        <f>+INDEX([1]DataEx!$1:$1048576,MATCH('2017'!$A16,[1]DataEx!$D:$D,0),MATCH('2017'!G$6,[1]DataEx!$7:$7,0))</f>
        <v>13972593.029999999</v>
      </c>
      <c r="H16" s="189">
        <f>+INDEX([1]DataEx!$1:$1048576,MATCH('2017'!$A16,[1]DataEx!$D:$D,0),MATCH('2017'!H$6,[1]DataEx!$7:$7,0))</f>
        <v>12356371.449999999</v>
      </c>
      <c r="I16" s="189">
        <f>+INDEX([1]DataEx!$1:$1048576,MATCH('2017'!$A16,[1]DataEx!$D:$D,0),MATCH('2017'!I$6,[1]DataEx!$7:$7,0))</f>
        <v>14808666.49</v>
      </c>
      <c r="J16" s="189">
        <f>+INDEX([1]DataEx!$1:$1048576,MATCH('2017'!$A16,[1]DataEx!$D:$D,0),MATCH('2017'!J$6,[1]DataEx!$7:$7,0))</f>
        <v>15647198.060000001</v>
      </c>
      <c r="K16" s="189">
        <f>+INDEX([1]DataEx!$1:$1048576,MATCH('2017'!$A16,[1]DataEx!$D:$D,0),MATCH('2017'!K$6,[1]DataEx!$7:$7,0))</f>
        <v>17742897.41</v>
      </c>
      <c r="L16" s="189">
        <f>+INDEX([1]DataEx!$1:$1048576,MATCH('2017'!$A16,[1]DataEx!$D:$D,0),MATCH('2017'!L$6,[1]DataEx!$7:$7,0))</f>
        <v>18687302.640000001</v>
      </c>
      <c r="M16" s="189">
        <f>+INDEX([1]DataEx!$1:$1048576,MATCH('2017'!$A16,[1]DataEx!$D:$D,0),MATCH('2017'!M$6,[1]DataEx!$7:$7,0))</f>
        <v>20939541.420000002</v>
      </c>
      <c r="N16" s="189">
        <f>+INDEX([1]DataEx!$1:$1048576,MATCH('2017'!$A16,[1]DataEx!$D:$D,0),MATCH('2017'!N$6,[1]DataEx!$7:$7,0))</f>
        <v>25506175.510000002</v>
      </c>
      <c r="O16" s="189">
        <f>+INDEX([1]DataEx!$1:$1048576,MATCH('2017'!$A16,[1]DataEx!$D:$D,0),MATCH('2017'!O$6,[1]DataEx!$7:$7,0))</f>
        <v>25706299.34</v>
      </c>
      <c r="P16" s="189">
        <f>+INDEX([1]DataEx!$1:$1048576,MATCH('2017'!$A16,[1]DataEx!$D:$D,0),MATCH('2017'!P$6,[1]DataEx!$7:$7,0))</f>
        <v>21225508.199999999</v>
      </c>
      <c r="Q16" s="189">
        <f>+INDEX([1]DataEx!$1:$1048576,MATCH('2017'!$A16,[1]DataEx!$D:$D,0),MATCH('2017'!Q$6,[1]DataEx!$7:$7,0))</f>
        <v>18614457.170000002</v>
      </c>
      <c r="R16" s="189">
        <f>+INDEX([1]DataEx!$1:$1048576,MATCH('2017'!$A16,[1]DataEx!$D:$D,0),MATCH('2017'!R$6,[1]DataEx!$7:$7,0))</f>
        <v>19877899.5</v>
      </c>
      <c r="S16" s="270">
        <f t="shared" si="3"/>
        <v>225084910.21999997</v>
      </c>
      <c r="T16" s="271">
        <f t="shared" si="4"/>
        <v>5.3564862859046658E-2</v>
      </c>
    </row>
    <row r="17" spans="1:25">
      <c r="A17" s="176">
        <v>7116</v>
      </c>
      <c r="B17" s="462" t="str">
        <f>+VLOOKUP($A17,[1]Master!$D$25:$G$223,4,FALSE)</f>
        <v>Porez na međunarodnu trgovinu i transakcije</v>
      </c>
      <c r="C17" s="463"/>
      <c r="D17" s="463"/>
      <c r="E17" s="463"/>
      <c r="F17" s="463"/>
      <c r="G17" s="189">
        <f>+INDEX([1]DataEx!$1:$1048576,MATCH('2017'!$A17,[1]DataEx!$D:$D,0),MATCH('2017'!G$6,[1]DataEx!$7:$7,0))</f>
        <v>1071292.49</v>
      </c>
      <c r="H17" s="189">
        <f>+INDEX([1]DataEx!$1:$1048576,MATCH('2017'!$A17,[1]DataEx!$D:$D,0),MATCH('2017'!H$6,[1]DataEx!$7:$7,0))</f>
        <v>1596950.17</v>
      </c>
      <c r="I17" s="189">
        <f>+INDEX([1]DataEx!$1:$1048576,MATCH('2017'!$A17,[1]DataEx!$D:$D,0),MATCH('2017'!I$6,[1]DataEx!$7:$7,0))</f>
        <v>2226840.15</v>
      </c>
      <c r="J17" s="189">
        <f>+INDEX([1]DataEx!$1:$1048576,MATCH('2017'!$A17,[1]DataEx!$D:$D,0),MATCH('2017'!J$6,[1]DataEx!$7:$7,0))</f>
        <v>2007545.03</v>
      </c>
      <c r="K17" s="189">
        <f>+INDEX([1]DataEx!$1:$1048576,MATCH('2017'!$A17,[1]DataEx!$D:$D,0),MATCH('2017'!K$6,[1]DataEx!$7:$7,0))</f>
        <v>2283048.27</v>
      </c>
      <c r="L17" s="189">
        <f>+INDEX([1]DataEx!$1:$1048576,MATCH('2017'!$A17,[1]DataEx!$D:$D,0),MATCH('2017'!L$6,[1]DataEx!$7:$7,0))</f>
        <v>2361499.6</v>
      </c>
      <c r="M17" s="189">
        <f>+INDEX([1]DataEx!$1:$1048576,MATCH('2017'!$A17,[1]DataEx!$D:$D,0),MATCH('2017'!M$6,[1]DataEx!$7:$7,0))</f>
        <v>2521752.11</v>
      </c>
      <c r="N17" s="189">
        <f>+INDEX([1]DataEx!$1:$1048576,MATCH('2017'!$A17,[1]DataEx!$D:$D,0),MATCH('2017'!N$6,[1]DataEx!$7:$7,0))</f>
        <v>2861682.41</v>
      </c>
      <c r="O17" s="189">
        <f>+INDEX([1]DataEx!$1:$1048576,MATCH('2017'!$A17,[1]DataEx!$D:$D,0),MATCH('2017'!O$6,[1]DataEx!$7:$7,0))</f>
        <v>2150781.52</v>
      </c>
      <c r="P17" s="189">
        <f>+INDEX([1]DataEx!$1:$1048576,MATCH('2017'!$A17,[1]DataEx!$D:$D,0),MATCH('2017'!P$6,[1]DataEx!$7:$7,0))</f>
        <v>2167495.09</v>
      </c>
      <c r="Q17" s="189">
        <f>+INDEX([1]DataEx!$1:$1048576,MATCH('2017'!$A17,[1]DataEx!$D:$D,0),MATCH('2017'!Q$6,[1]DataEx!$7:$7,0))</f>
        <v>1890362.65</v>
      </c>
      <c r="R17" s="189">
        <f>+INDEX([1]DataEx!$1:$1048576,MATCH('2017'!$A17,[1]DataEx!$D:$D,0),MATCH('2017'!R$6,[1]DataEx!$7:$7,0))</f>
        <v>2285551.31</v>
      </c>
      <c r="S17" s="270">
        <f t="shared" si="3"/>
        <v>25424800.799999997</v>
      </c>
      <c r="T17" s="271">
        <f t="shared" si="4"/>
        <v>6.050498750624687E-3</v>
      </c>
    </row>
    <row r="18" spans="1:25">
      <c r="A18" s="176">
        <v>7118</v>
      </c>
      <c r="B18" s="462" t="str">
        <f>+VLOOKUP($A18,[1]Master!$D$25:$G$223,4,FALSE)</f>
        <v>Ostali državni porezi</v>
      </c>
      <c r="C18" s="463"/>
      <c r="D18" s="463"/>
      <c r="E18" s="463"/>
      <c r="F18" s="463"/>
      <c r="G18" s="189">
        <f>+INDEX([1]DataEx!$1:$1048576,MATCH('2017'!$A18,[1]DataEx!$D:$D,0),MATCH('2017'!G$6,[1]DataEx!$7:$7,0))</f>
        <v>569690.59</v>
      </c>
      <c r="H18" s="189">
        <f>+INDEX([1]DataEx!$1:$1048576,MATCH('2017'!$A18,[1]DataEx!$D:$D,0),MATCH('2017'!H$6,[1]DataEx!$7:$7,0))</f>
        <v>598779.14</v>
      </c>
      <c r="I18" s="189">
        <f>+INDEX([1]DataEx!$1:$1048576,MATCH('2017'!$A18,[1]DataEx!$D:$D,0),MATCH('2017'!I$6,[1]DataEx!$7:$7,0))</f>
        <v>802243.94</v>
      </c>
      <c r="J18" s="189">
        <f>+INDEX([1]DataEx!$1:$1048576,MATCH('2017'!$A18,[1]DataEx!$D:$D,0),MATCH('2017'!J$6,[1]DataEx!$7:$7,0))</f>
        <v>850385.11</v>
      </c>
      <c r="K18" s="189">
        <f>+INDEX([1]DataEx!$1:$1048576,MATCH('2017'!$A18,[1]DataEx!$D:$D,0),MATCH('2017'!K$6,[1]DataEx!$7:$7,0))</f>
        <v>757543.52</v>
      </c>
      <c r="L18" s="189">
        <f>+INDEX([1]DataEx!$1:$1048576,MATCH('2017'!$A18,[1]DataEx!$D:$D,0),MATCH('2017'!L$6,[1]DataEx!$7:$7,0))</f>
        <v>866563.33</v>
      </c>
      <c r="M18" s="189">
        <f>+INDEX([1]DataEx!$1:$1048576,MATCH('2017'!$A18,[1]DataEx!$D:$D,0),MATCH('2017'!M$6,[1]DataEx!$7:$7,0))</f>
        <v>853612.16</v>
      </c>
      <c r="N18" s="189">
        <f>+INDEX([1]DataEx!$1:$1048576,MATCH('2017'!$A18,[1]DataEx!$D:$D,0),MATCH('2017'!N$6,[1]DataEx!$7:$7,0))</f>
        <v>800165.96</v>
      </c>
      <c r="O18" s="189">
        <f>+INDEX([1]DataEx!$1:$1048576,MATCH('2017'!$A18,[1]DataEx!$D:$D,0),MATCH('2017'!O$6,[1]DataEx!$7:$7,0))</f>
        <v>790786.2</v>
      </c>
      <c r="P18" s="189">
        <f>+INDEX([1]DataEx!$1:$1048576,MATCH('2017'!$A18,[1]DataEx!$D:$D,0),MATCH('2017'!P$6,[1]DataEx!$7:$7,0))</f>
        <v>816467.23</v>
      </c>
      <c r="Q18" s="189">
        <f>+INDEX([1]DataEx!$1:$1048576,MATCH('2017'!$A18,[1]DataEx!$D:$D,0),MATCH('2017'!Q$6,[1]DataEx!$7:$7,0))</f>
        <v>703813.25</v>
      </c>
      <c r="R18" s="189">
        <f>+INDEX([1]DataEx!$1:$1048576,MATCH('2017'!$A18,[1]DataEx!$D:$D,0),MATCH('2017'!R$6,[1]DataEx!$7:$7,0))</f>
        <v>789688.92</v>
      </c>
      <c r="S18" s="270">
        <f t="shared" si="3"/>
        <v>9199739.3499999996</v>
      </c>
      <c r="T18" s="271">
        <f t="shared" si="4"/>
        <v>2.1893194712167725E-3</v>
      </c>
    </row>
    <row r="19" spans="1:25">
      <c r="A19" s="176">
        <v>712</v>
      </c>
      <c r="B19" s="472" t="str">
        <f>+VLOOKUP($A19,[1]Master!$D$25:$G$223,4,FALSE)</f>
        <v>Doprinosi</v>
      </c>
      <c r="C19" s="473"/>
      <c r="D19" s="473"/>
      <c r="E19" s="473"/>
      <c r="F19" s="473"/>
      <c r="G19" s="195">
        <f>+INDEX([1]DataEx!$1:$1048576,MATCH('2017'!$A19,[1]DataEx!$D:$D,0),MATCH('2017'!G$6,[1]DataEx!$7:$7,0))</f>
        <v>15942566.910000002</v>
      </c>
      <c r="H19" s="195">
        <f>+INDEX([1]DataEx!$1:$1048576,MATCH('2017'!$A19,[1]DataEx!$D:$D,0),MATCH('2017'!H$6,[1]DataEx!$7:$7,0))</f>
        <v>32105522.039999999</v>
      </c>
      <c r="I19" s="195">
        <f>+INDEX([1]DataEx!$1:$1048576,MATCH('2017'!$A19,[1]DataEx!$D:$D,0),MATCH('2017'!I$6,[1]DataEx!$7:$7,0))</f>
        <v>37652066.75</v>
      </c>
      <c r="J19" s="195">
        <f>+INDEX([1]DataEx!$1:$1048576,MATCH('2017'!$A19,[1]DataEx!$D:$D,0),MATCH('2017'!J$6,[1]DataEx!$7:$7,0))</f>
        <v>35977730.460000001</v>
      </c>
      <c r="K19" s="195">
        <f>+INDEX([1]DataEx!$1:$1048576,MATCH('2017'!$A19,[1]DataEx!$D:$D,0),MATCH('2017'!K$6,[1]DataEx!$7:$7,0))</f>
        <v>40567246.729999997</v>
      </c>
      <c r="L19" s="195">
        <f>+INDEX([1]DataEx!$1:$1048576,MATCH('2017'!$A19,[1]DataEx!$D:$D,0),MATCH('2017'!L$6,[1]DataEx!$7:$7,0))</f>
        <v>40389805.469999999</v>
      </c>
      <c r="M19" s="195">
        <f>+INDEX([1]DataEx!$1:$1048576,MATCH('2017'!$A19,[1]DataEx!$D:$D,0),MATCH('2017'!M$6,[1]DataEx!$7:$7,0))</f>
        <v>44393326.049999997</v>
      </c>
      <c r="N19" s="195">
        <f>+INDEX([1]DataEx!$1:$1048576,MATCH('2017'!$A19,[1]DataEx!$D:$D,0),MATCH('2017'!N$6,[1]DataEx!$7:$7,0))</f>
        <v>43764113.43</v>
      </c>
      <c r="O19" s="195">
        <f>+INDEX([1]DataEx!$1:$1048576,MATCH('2017'!$A19,[1]DataEx!$D:$D,0),MATCH('2017'!O$6,[1]DataEx!$7:$7,0))</f>
        <v>39922755.840000004</v>
      </c>
      <c r="P19" s="195">
        <f>+INDEX([1]DataEx!$1:$1048576,MATCH('2017'!$A19,[1]DataEx!$D:$D,0),MATCH('2017'!P$6,[1]DataEx!$7:$7,0))</f>
        <v>42882136.189999998</v>
      </c>
      <c r="Q19" s="195">
        <f>+INDEX([1]DataEx!$1:$1048576,MATCH('2017'!$A19,[1]DataEx!$D:$D,0),MATCH('2017'!Q$6,[1]DataEx!$7:$7,0))</f>
        <v>43774643.869999997</v>
      </c>
      <c r="R19" s="195">
        <f>+INDEX([1]DataEx!$1:$1048576,MATCH('2017'!$A19,[1]DataEx!$D:$D,0),MATCH('2017'!R$6,[1]DataEx!$7:$7,0))</f>
        <v>77580718.680000007</v>
      </c>
      <c r="S19" s="273">
        <f t="shared" si="3"/>
        <v>494952632.41999996</v>
      </c>
      <c r="T19" s="274">
        <f t="shared" si="4"/>
        <v>0.11778697137621665</v>
      </c>
    </row>
    <row r="20" spans="1:25">
      <c r="A20" s="176">
        <v>7121</v>
      </c>
      <c r="B20" s="462" t="str">
        <f>+VLOOKUP($A20,[1]Master!$D$25:$G$223,4,FALSE)</f>
        <v>Doprinosi za penzijsko i invalidsko osiguranje</v>
      </c>
      <c r="C20" s="463"/>
      <c r="D20" s="463"/>
      <c r="E20" s="463"/>
      <c r="F20" s="463"/>
      <c r="G20" s="189">
        <f>+INDEX([1]DataEx!$1:$1048576,MATCH('2017'!$A20,[1]DataEx!$D:$D,0),MATCH('2017'!G$6,[1]DataEx!$7:$7,0))</f>
        <v>9612063.3000000007</v>
      </c>
      <c r="H20" s="189">
        <f>+INDEX([1]DataEx!$1:$1048576,MATCH('2017'!$A20,[1]DataEx!$D:$D,0),MATCH('2017'!H$6,[1]DataEx!$7:$7,0))</f>
        <v>19294210.57</v>
      </c>
      <c r="I20" s="189">
        <f>+INDEX([1]DataEx!$1:$1048576,MATCH('2017'!$A20,[1]DataEx!$D:$D,0),MATCH('2017'!I$6,[1]DataEx!$7:$7,0))</f>
        <v>22627334.059999999</v>
      </c>
      <c r="J20" s="189">
        <f>+INDEX([1]DataEx!$1:$1048576,MATCH('2017'!$A20,[1]DataEx!$D:$D,0),MATCH('2017'!J$6,[1]DataEx!$7:$7,0))</f>
        <v>21639290.52</v>
      </c>
      <c r="K20" s="189">
        <f>+INDEX([1]DataEx!$1:$1048576,MATCH('2017'!$A20,[1]DataEx!$D:$D,0),MATCH('2017'!K$6,[1]DataEx!$7:$7,0))</f>
        <v>24386054.73</v>
      </c>
      <c r="L20" s="189">
        <f>+INDEX([1]DataEx!$1:$1048576,MATCH('2017'!$A20,[1]DataEx!$D:$D,0),MATCH('2017'!L$6,[1]DataEx!$7:$7,0))</f>
        <v>24310877.91</v>
      </c>
      <c r="M20" s="189">
        <f>+INDEX([1]DataEx!$1:$1048576,MATCH('2017'!$A20,[1]DataEx!$D:$D,0),MATCH('2017'!M$6,[1]DataEx!$7:$7,0))</f>
        <v>27022741.59</v>
      </c>
      <c r="N20" s="189">
        <f>+INDEX([1]DataEx!$1:$1048576,MATCH('2017'!$A20,[1]DataEx!$D:$D,0),MATCH('2017'!N$6,[1]DataEx!$7:$7,0))</f>
        <v>26577706.039999999</v>
      </c>
      <c r="O20" s="189">
        <f>+INDEX([1]DataEx!$1:$1048576,MATCH('2017'!$A20,[1]DataEx!$D:$D,0),MATCH('2017'!O$6,[1]DataEx!$7:$7,0))</f>
        <v>24050825.579999998</v>
      </c>
      <c r="P20" s="189">
        <f>+INDEX([1]DataEx!$1:$1048576,MATCH('2017'!$A20,[1]DataEx!$D:$D,0),MATCH('2017'!P$6,[1]DataEx!$7:$7,0))</f>
        <v>25998719</v>
      </c>
      <c r="Q20" s="189">
        <f>+INDEX([1]DataEx!$1:$1048576,MATCH('2017'!$A20,[1]DataEx!$D:$D,0),MATCH('2017'!Q$6,[1]DataEx!$7:$7,0))</f>
        <v>29222952.370000001</v>
      </c>
      <c r="R20" s="189">
        <f>+INDEX([1]DataEx!$1:$1048576,MATCH('2017'!$A20,[1]DataEx!$D:$D,0),MATCH('2017'!R$6,[1]DataEx!$7:$7,0))</f>
        <v>48299287.68</v>
      </c>
      <c r="S20" s="270">
        <f t="shared" si="3"/>
        <v>303042063.35000002</v>
      </c>
      <c r="T20" s="271">
        <f t="shared" si="4"/>
        <v>7.2116813819280839E-2</v>
      </c>
    </row>
    <row r="21" spans="1:25">
      <c r="A21" s="176">
        <v>7122</v>
      </c>
      <c r="B21" s="462" t="str">
        <f>+VLOOKUP($A21,[1]Master!$D$25:$G$223,4,FALSE)</f>
        <v>Doprinosi za zdravstveno osiguranje</v>
      </c>
      <c r="C21" s="463"/>
      <c r="D21" s="463"/>
      <c r="E21" s="463"/>
      <c r="F21" s="463"/>
      <c r="G21" s="189">
        <f>+INDEX([1]DataEx!$1:$1048576,MATCH('2017'!$A21,[1]DataEx!$D:$D,0),MATCH('2017'!G$6,[1]DataEx!$7:$7,0))</f>
        <v>5487815.8700000001</v>
      </c>
      <c r="H21" s="189">
        <f>+INDEX([1]DataEx!$1:$1048576,MATCH('2017'!$A21,[1]DataEx!$D:$D,0),MATCH('2017'!H$6,[1]DataEx!$7:$7,0))</f>
        <v>11136277.539999999</v>
      </c>
      <c r="I21" s="189">
        <f>+INDEX([1]DataEx!$1:$1048576,MATCH('2017'!$A21,[1]DataEx!$D:$D,0),MATCH('2017'!I$6,[1]DataEx!$7:$7,0))</f>
        <v>13033326.75</v>
      </c>
      <c r="J21" s="189">
        <f>+INDEX([1]DataEx!$1:$1048576,MATCH('2017'!$A21,[1]DataEx!$D:$D,0),MATCH('2017'!J$6,[1]DataEx!$7:$7,0))</f>
        <v>12438084.859999999</v>
      </c>
      <c r="K21" s="189">
        <f>+INDEX([1]DataEx!$1:$1048576,MATCH('2017'!$A21,[1]DataEx!$D:$D,0),MATCH('2017'!K$6,[1]DataEx!$7:$7,0))</f>
        <v>14031927.32</v>
      </c>
      <c r="L21" s="189">
        <f>+INDEX([1]DataEx!$1:$1048576,MATCH('2017'!$A21,[1]DataEx!$D:$D,0),MATCH('2017'!L$6,[1]DataEx!$7:$7,0))</f>
        <v>13948315.880000001</v>
      </c>
      <c r="M21" s="189">
        <f>+INDEX([1]DataEx!$1:$1048576,MATCH('2017'!$A21,[1]DataEx!$D:$D,0),MATCH('2017'!M$6,[1]DataEx!$7:$7,0))</f>
        <v>15063870.800000001</v>
      </c>
      <c r="N21" s="189">
        <f>+INDEX([1]DataEx!$1:$1048576,MATCH('2017'!$A21,[1]DataEx!$D:$D,0),MATCH('2017'!N$6,[1]DataEx!$7:$7,0))</f>
        <v>14906718.880000001</v>
      </c>
      <c r="O21" s="189">
        <f>+INDEX([1]DataEx!$1:$1048576,MATCH('2017'!$A21,[1]DataEx!$D:$D,0),MATCH('2017'!O$6,[1]DataEx!$7:$7,0))</f>
        <v>13781012.470000001</v>
      </c>
      <c r="P21" s="189">
        <f>+INDEX([1]DataEx!$1:$1048576,MATCH('2017'!$A21,[1]DataEx!$D:$D,0),MATCH('2017'!P$6,[1]DataEx!$7:$7,0))</f>
        <v>14691858.58</v>
      </c>
      <c r="Q21" s="189">
        <f>+INDEX([1]DataEx!$1:$1048576,MATCH('2017'!$A21,[1]DataEx!$D:$D,0),MATCH('2017'!Q$6,[1]DataEx!$7:$7,0))</f>
        <v>13422037.59</v>
      </c>
      <c r="R21" s="189">
        <f>+INDEX([1]DataEx!$1:$1048576,MATCH('2017'!$A21,[1]DataEx!$D:$D,0),MATCH('2017'!R$6,[1]DataEx!$7:$7,0))</f>
        <v>25459426.109999999</v>
      </c>
      <c r="S21" s="270">
        <f t="shared" si="3"/>
        <v>167400672.64999998</v>
      </c>
      <c r="T21" s="271">
        <f t="shared" si="4"/>
        <v>3.9837384319744887E-2</v>
      </c>
    </row>
    <row r="22" spans="1:25">
      <c r="A22" s="176">
        <v>7123</v>
      </c>
      <c r="B22" s="462" t="str">
        <f>+VLOOKUP($A22,[1]Master!$D$25:$G$223,4,FALSE)</f>
        <v>Doprinosi za osiguranje od nezaposlenosti</v>
      </c>
      <c r="C22" s="463"/>
      <c r="D22" s="463"/>
      <c r="E22" s="463"/>
      <c r="F22" s="463"/>
      <c r="G22" s="189">
        <f>+INDEX([1]DataEx!$1:$1048576,MATCH('2017'!$A22,[1]DataEx!$D:$D,0),MATCH('2017'!G$6,[1]DataEx!$7:$7,0))</f>
        <v>436423.06</v>
      </c>
      <c r="H22" s="189">
        <f>+INDEX([1]DataEx!$1:$1048576,MATCH('2017'!$A22,[1]DataEx!$D:$D,0),MATCH('2017'!H$6,[1]DataEx!$7:$7,0))</f>
        <v>884778.14</v>
      </c>
      <c r="I22" s="189">
        <f>+INDEX([1]DataEx!$1:$1048576,MATCH('2017'!$A22,[1]DataEx!$D:$D,0),MATCH('2017'!I$6,[1]DataEx!$7:$7,0))</f>
        <v>1037531.02</v>
      </c>
      <c r="J22" s="189">
        <f>+INDEX([1]DataEx!$1:$1048576,MATCH('2017'!$A22,[1]DataEx!$D:$D,0),MATCH('2017'!J$6,[1]DataEx!$7:$7,0))</f>
        <v>991786.18</v>
      </c>
      <c r="K22" s="189">
        <f>+INDEX([1]DataEx!$1:$1048576,MATCH('2017'!$A22,[1]DataEx!$D:$D,0),MATCH('2017'!K$6,[1]DataEx!$7:$7,0))</f>
        <v>1119552.6000000001</v>
      </c>
      <c r="L22" s="189">
        <f>+INDEX([1]DataEx!$1:$1048576,MATCH('2017'!$A22,[1]DataEx!$D:$D,0),MATCH('2017'!L$6,[1]DataEx!$7:$7,0))</f>
        <v>1110270.08</v>
      </c>
      <c r="M22" s="189">
        <f>+INDEX([1]DataEx!$1:$1048576,MATCH('2017'!$A22,[1]DataEx!$D:$D,0),MATCH('2017'!M$6,[1]DataEx!$7:$7,0))</f>
        <v>1208802.52</v>
      </c>
      <c r="N22" s="189">
        <f>+INDEX([1]DataEx!$1:$1048576,MATCH('2017'!$A22,[1]DataEx!$D:$D,0),MATCH('2017'!N$6,[1]DataEx!$7:$7,0))</f>
        <v>1182973.0900000001</v>
      </c>
      <c r="O22" s="189">
        <f>+INDEX([1]DataEx!$1:$1048576,MATCH('2017'!$A22,[1]DataEx!$D:$D,0),MATCH('2017'!O$6,[1]DataEx!$7:$7,0))</f>
        <v>1093203.53</v>
      </c>
      <c r="P22" s="189">
        <f>+INDEX([1]DataEx!$1:$1048576,MATCH('2017'!$A22,[1]DataEx!$D:$D,0),MATCH('2017'!P$6,[1]DataEx!$7:$7,0))</f>
        <v>1140055.95</v>
      </c>
      <c r="Q22" s="189">
        <f>+INDEX([1]DataEx!$1:$1048576,MATCH('2017'!$A22,[1]DataEx!$D:$D,0),MATCH('2017'!Q$6,[1]DataEx!$7:$7,0))</f>
        <v>576427.41</v>
      </c>
      <c r="R22" s="189">
        <f>+INDEX([1]DataEx!$1:$1048576,MATCH('2017'!$A22,[1]DataEx!$D:$D,0),MATCH('2017'!R$6,[1]DataEx!$7:$7,0))</f>
        <v>1813540.61</v>
      </c>
      <c r="S22" s="270">
        <f t="shared" si="3"/>
        <v>12595344.189999998</v>
      </c>
      <c r="T22" s="271">
        <f t="shared" si="4"/>
        <v>2.9973927774208128E-3</v>
      </c>
    </row>
    <row r="23" spans="1:25">
      <c r="A23" s="176">
        <v>7124</v>
      </c>
      <c r="B23" s="462" t="str">
        <f>+VLOOKUP($A23,[1]Master!$D$25:$G$223,4,FALSE)</f>
        <v>Ostali doprinosi</v>
      </c>
      <c r="C23" s="463"/>
      <c r="D23" s="463"/>
      <c r="E23" s="463"/>
      <c r="F23" s="463"/>
      <c r="G23" s="189">
        <f>+INDEX([1]DataEx!$1:$1048576,MATCH('2017'!$A23,[1]DataEx!$D:$D,0),MATCH('2017'!G$6,[1]DataEx!$7:$7,0))</f>
        <v>406264.68</v>
      </c>
      <c r="H23" s="189">
        <f>+INDEX([1]DataEx!$1:$1048576,MATCH('2017'!$A23,[1]DataEx!$D:$D,0),MATCH('2017'!H$6,[1]DataEx!$7:$7,0))</f>
        <v>790255.79</v>
      </c>
      <c r="I23" s="189">
        <f>+INDEX([1]DataEx!$1:$1048576,MATCH('2017'!$A23,[1]DataEx!$D:$D,0),MATCH('2017'!I$6,[1]DataEx!$7:$7,0))</f>
        <v>953874.92</v>
      </c>
      <c r="J23" s="189">
        <f>+INDEX([1]DataEx!$1:$1048576,MATCH('2017'!$A23,[1]DataEx!$D:$D,0),MATCH('2017'!J$6,[1]DataEx!$7:$7,0))</f>
        <v>908568.9</v>
      </c>
      <c r="K23" s="189">
        <f>+INDEX([1]DataEx!$1:$1048576,MATCH('2017'!$A23,[1]DataEx!$D:$D,0),MATCH('2017'!K$6,[1]DataEx!$7:$7,0))</f>
        <v>1029712.08</v>
      </c>
      <c r="L23" s="189">
        <f>+INDEX([1]DataEx!$1:$1048576,MATCH('2017'!$A23,[1]DataEx!$D:$D,0),MATCH('2017'!L$6,[1]DataEx!$7:$7,0))</f>
        <v>1020341.6</v>
      </c>
      <c r="M23" s="189">
        <f>+INDEX([1]DataEx!$1:$1048576,MATCH('2017'!$A23,[1]DataEx!$D:$D,0),MATCH('2017'!M$6,[1]DataEx!$7:$7,0))</f>
        <v>1097911.1399999999</v>
      </c>
      <c r="N23" s="189">
        <f>+INDEX([1]DataEx!$1:$1048576,MATCH('2017'!$A23,[1]DataEx!$D:$D,0),MATCH('2017'!N$6,[1]DataEx!$7:$7,0))</f>
        <v>1096715.42</v>
      </c>
      <c r="O23" s="189">
        <f>+INDEX([1]DataEx!$1:$1048576,MATCH('2017'!$A23,[1]DataEx!$D:$D,0),MATCH('2017'!O$6,[1]DataEx!$7:$7,0))</f>
        <v>997714.26</v>
      </c>
      <c r="P23" s="189">
        <f>+INDEX([1]DataEx!$1:$1048576,MATCH('2017'!$A23,[1]DataEx!$D:$D,0),MATCH('2017'!P$6,[1]DataEx!$7:$7,0))</f>
        <v>1051502.6599999999</v>
      </c>
      <c r="Q23" s="189">
        <f>+INDEX([1]DataEx!$1:$1048576,MATCH('2017'!$A23,[1]DataEx!$D:$D,0),MATCH('2017'!Q$6,[1]DataEx!$7:$7,0))</f>
        <v>553226.5</v>
      </c>
      <c r="R23" s="189">
        <f>+INDEX([1]DataEx!$1:$1048576,MATCH('2017'!$A23,[1]DataEx!$D:$D,0),MATCH('2017'!R$6,[1]DataEx!$7:$7,0))</f>
        <v>2008464.28</v>
      </c>
      <c r="S23" s="270">
        <f t="shared" si="3"/>
        <v>11914552.229999999</v>
      </c>
      <c r="T23" s="271">
        <f t="shared" si="4"/>
        <v>2.8353804597701145E-3</v>
      </c>
      <c r="Y23" s="380"/>
    </row>
    <row r="24" spans="1:25">
      <c r="A24" s="176">
        <v>713</v>
      </c>
      <c r="B24" s="464" t="str">
        <f>+VLOOKUP($A24,[1]Master!$D$25:$G$223,4,FALSE)</f>
        <v>Takse</v>
      </c>
      <c r="C24" s="465"/>
      <c r="D24" s="465"/>
      <c r="E24" s="465"/>
      <c r="F24" s="465"/>
      <c r="G24" s="201">
        <f>+INDEX([1]DataEx!$1:$1048576,MATCH('2017'!$A24,[1]DataEx!$D:$D,0),MATCH('2017'!G$6,[1]DataEx!$7:$7,0))</f>
        <v>579949.69999999995</v>
      </c>
      <c r="H24" s="201">
        <f>+INDEX([1]DataEx!$1:$1048576,MATCH('2017'!$A24,[1]DataEx!$D:$D,0),MATCH('2017'!H$6,[1]DataEx!$7:$7,0))</f>
        <v>799058.78</v>
      </c>
      <c r="I24" s="201">
        <f>+INDEX([1]DataEx!$1:$1048576,MATCH('2017'!$A24,[1]DataEx!$D:$D,0),MATCH('2017'!I$6,[1]DataEx!$7:$7,0))</f>
        <v>1000001.89</v>
      </c>
      <c r="J24" s="201">
        <f>+INDEX([1]DataEx!$1:$1048576,MATCH('2017'!$A24,[1]DataEx!$D:$D,0),MATCH('2017'!J$6,[1]DataEx!$7:$7,0))</f>
        <v>900446.92</v>
      </c>
      <c r="K24" s="201">
        <f>+INDEX([1]DataEx!$1:$1048576,MATCH('2017'!$A24,[1]DataEx!$D:$D,0),MATCH('2017'!K$6,[1]DataEx!$7:$7,0))</f>
        <v>1044119.04</v>
      </c>
      <c r="L24" s="201">
        <f>+INDEX([1]DataEx!$1:$1048576,MATCH('2017'!$A24,[1]DataEx!$D:$D,0),MATCH('2017'!L$6,[1]DataEx!$7:$7,0))</f>
        <v>1380660.13</v>
      </c>
      <c r="M24" s="201">
        <f>+INDEX([1]DataEx!$1:$1048576,MATCH('2017'!$A24,[1]DataEx!$D:$D,0),MATCH('2017'!M$6,[1]DataEx!$7:$7,0))</f>
        <v>1483988.38</v>
      </c>
      <c r="N24" s="201">
        <f>+INDEX([1]DataEx!$1:$1048576,MATCH('2017'!$A24,[1]DataEx!$D:$D,0),MATCH('2017'!N$6,[1]DataEx!$7:$7,0))</f>
        <v>1598254.37</v>
      </c>
      <c r="O24" s="201">
        <f>+INDEX([1]DataEx!$1:$1048576,MATCH('2017'!$A24,[1]DataEx!$D:$D,0),MATCH('2017'!O$6,[1]DataEx!$7:$7,0))</f>
        <v>1300121.74</v>
      </c>
      <c r="P24" s="201">
        <f>+INDEX([1]DataEx!$1:$1048576,MATCH('2017'!$A24,[1]DataEx!$D:$D,0),MATCH('2017'!P$6,[1]DataEx!$7:$7,0))</f>
        <v>1269238.77</v>
      </c>
      <c r="Q24" s="201">
        <f>+INDEX([1]DataEx!$1:$1048576,MATCH('2017'!$A24,[1]DataEx!$D:$D,0),MATCH('2017'!Q$6,[1]DataEx!$7:$7,0))</f>
        <v>1101076.77</v>
      </c>
      <c r="R24" s="275">
        <f>+INDEX([1]DataEx!$1:$1048576,MATCH('2017'!$A24,[1]DataEx!$D:$D,0),MATCH('2017'!R$6,[1]DataEx!$7:$7,0))</f>
        <v>1131476.8799999999</v>
      </c>
      <c r="S24" s="273">
        <f t="shared" si="3"/>
        <v>13588393.370000001</v>
      </c>
      <c r="T24" s="274">
        <f t="shared" si="4"/>
        <v>3.2337148973132484E-3</v>
      </c>
      <c r="Y24" s="380"/>
    </row>
    <row r="25" spans="1:25">
      <c r="A25" s="176">
        <v>714</v>
      </c>
      <c r="B25" s="464" t="str">
        <f>+VLOOKUP($A25,[1]Master!$D$25:$G$223,4,FALSE)</f>
        <v>Naknade</v>
      </c>
      <c r="C25" s="465"/>
      <c r="D25" s="465"/>
      <c r="E25" s="465"/>
      <c r="F25" s="465"/>
      <c r="G25" s="201">
        <f>+INDEX([1]DataEx!$1:$1048576,MATCH('2017'!$A25,[1]DataEx!$D:$D,0),MATCH('2017'!G$6,[1]DataEx!$7:$7,0))</f>
        <v>1745843.13</v>
      </c>
      <c r="H25" s="201">
        <f>+INDEX([1]DataEx!$1:$1048576,MATCH('2017'!$A25,[1]DataEx!$D:$D,0),MATCH('2017'!H$6,[1]DataEx!$7:$7,0))</f>
        <v>1266650.8400000001</v>
      </c>
      <c r="I25" s="201">
        <f>+INDEX([1]DataEx!$1:$1048576,MATCH('2017'!$A25,[1]DataEx!$D:$D,0),MATCH('2017'!I$6,[1]DataEx!$7:$7,0))</f>
        <v>1508161.35</v>
      </c>
      <c r="J25" s="201">
        <f>+INDEX([1]DataEx!$1:$1048576,MATCH('2017'!$A25,[1]DataEx!$D:$D,0),MATCH('2017'!J$6,[1]DataEx!$7:$7,0))</f>
        <v>1901163.79</v>
      </c>
      <c r="K25" s="201">
        <f>+INDEX([1]DataEx!$1:$1048576,MATCH('2017'!$A25,[1]DataEx!$D:$D,0),MATCH('2017'!K$6,[1]DataEx!$7:$7,0))</f>
        <v>1513570.26</v>
      </c>
      <c r="L25" s="201">
        <f>+INDEX([1]DataEx!$1:$1048576,MATCH('2017'!$A25,[1]DataEx!$D:$D,0),MATCH('2017'!L$6,[1]DataEx!$7:$7,0))</f>
        <v>830213.16</v>
      </c>
      <c r="M25" s="201">
        <f>+INDEX([1]DataEx!$1:$1048576,MATCH('2017'!$A25,[1]DataEx!$D:$D,0),MATCH('2017'!M$6,[1]DataEx!$7:$7,0))</f>
        <v>1705945.14</v>
      </c>
      <c r="N25" s="201">
        <f>+INDEX([1]DataEx!$1:$1048576,MATCH('2017'!$A25,[1]DataEx!$D:$D,0),MATCH('2017'!N$6,[1]DataEx!$7:$7,0))</f>
        <v>1608311.46</v>
      </c>
      <c r="O25" s="201">
        <f>+INDEX([1]DataEx!$1:$1048576,MATCH('2017'!$A25,[1]DataEx!$D:$D,0),MATCH('2017'!O$6,[1]DataEx!$7:$7,0))</f>
        <v>1107710.8999999999</v>
      </c>
      <c r="P25" s="201">
        <f>+INDEX([1]DataEx!$1:$1048576,MATCH('2017'!$A25,[1]DataEx!$D:$D,0),MATCH('2017'!P$6,[1]DataEx!$7:$7,0))</f>
        <v>1997706.83</v>
      </c>
      <c r="Q25" s="201">
        <f>+INDEX([1]DataEx!$1:$1048576,MATCH('2017'!$A25,[1]DataEx!$D:$D,0),MATCH('2017'!Q$6,[1]DataEx!$7:$7,0))</f>
        <v>793640.92</v>
      </c>
      <c r="R25" s="275">
        <f>+INDEX([1]DataEx!$1:$1048576,MATCH('2017'!$A25,[1]DataEx!$D:$D,0),MATCH('2017'!R$6,[1]DataEx!$7:$7,0))</f>
        <v>2988857.35</v>
      </c>
      <c r="S25" s="273">
        <f t="shared" si="3"/>
        <v>18967775.129999999</v>
      </c>
      <c r="T25" s="274">
        <f t="shared" si="4"/>
        <v>4.513879995716427E-3</v>
      </c>
    </row>
    <row r="26" spans="1:25">
      <c r="A26" s="176">
        <v>715</v>
      </c>
      <c r="B26" s="464" t="str">
        <f>+VLOOKUP($A26,[1]Master!$D$25:$G$223,4,FALSE)</f>
        <v>Ostali prihodi</v>
      </c>
      <c r="C26" s="465"/>
      <c r="D26" s="465"/>
      <c r="E26" s="465"/>
      <c r="F26" s="465"/>
      <c r="G26" s="201">
        <f>+INDEX([1]DataEx!$1:$1048576,MATCH('2017'!$A26,[1]DataEx!$D:$D,0),MATCH('2017'!G$6,[1]DataEx!$7:$7,0))</f>
        <v>1549598.76</v>
      </c>
      <c r="H26" s="201">
        <f>+INDEX([1]DataEx!$1:$1048576,MATCH('2017'!$A26,[1]DataEx!$D:$D,0),MATCH('2017'!H$6,[1]DataEx!$7:$7,0))</f>
        <v>2362534.5499999998</v>
      </c>
      <c r="I26" s="201">
        <f>+INDEX([1]DataEx!$1:$1048576,MATCH('2017'!$A26,[1]DataEx!$D:$D,0),MATCH('2017'!I$6,[1]DataEx!$7:$7,0))</f>
        <v>2241014.9700000002</v>
      </c>
      <c r="J26" s="201">
        <f>+INDEX([1]DataEx!$1:$1048576,MATCH('2017'!$A26,[1]DataEx!$D:$D,0),MATCH('2017'!J$6,[1]DataEx!$7:$7,0))</f>
        <v>3537625.59</v>
      </c>
      <c r="K26" s="201">
        <f>+INDEX([1]DataEx!$1:$1048576,MATCH('2017'!$A26,[1]DataEx!$D:$D,0),MATCH('2017'!K$6,[1]DataEx!$7:$7,0))</f>
        <v>2195275.86</v>
      </c>
      <c r="L26" s="201">
        <f>+INDEX([1]DataEx!$1:$1048576,MATCH('2017'!$A26,[1]DataEx!$D:$D,0),MATCH('2017'!L$6,[1]DataEx!$7:$7,0))</f>
        <v>3677729.73</v>
      </c>
      <c r="M26" s="201">
        <f>+INDEX([1]DataEx!$1:$1048576,MATCH('2017'!$A26,[1]DataEx!$D:$D,0),MATCH('2017'!M$6,[1]DataEx!$7:$7,0))</f>
        <v>5924157.2800000003</v>
      </c>
      <c r="N26" s="201">
        <f>+INDEX([1]DataEx!$1:$1048576,MATCH('2017'!$A26,[1]DataEx!$D:$D,0),MATCH('2017'!N$6,[1]DataEx!$7:$7,0))</f>
        <v>2465692.11</v>
      </c>
      <c r="O26" s="201">
        <f>+INDEX([1]DataEx!$1:$1048576,MATCH('2017'!$A26,[1]DataEx!$D:$D,0),MATCH('2017'!O$6,[1]DataEx!$7:$7,0))</f>
        <v>1761653.61</v>
      </c>
      <c r="P26" s="201">
        <f>+INDEX([1]DataEx!$1:$1048576,MATCH('2017'!$A26,[1]DataEx!$D:$D,0),MATCH('2017'!P$6,[1]DataEx!$7:$7,0))</f>
        <v>3081238.83</v>
      </c>
      <c r="Q26" s="201">
        <f>+INDEX([1]DataEx!$1:$1048576,MATCH('2017'!$A26,[1]DataEx!$D:$D,0),MATCH('2017'!Q$6,[1]DataEx!$7:$7,0))</f>
        <v>1891187.54</v>
      </c>
      <c r="R26" s="275">
        <f>+INDEX([1]DataEx!$1:$1048576,MATCH('2017'!$A26,[1]DataEx!$D:$D,0),MATCH('2017'!R$6,[1]DataEx!$7:$7,0))</f>
        <v>5011486</v>
      </c>
      <c r="S26" s="273">
        <f t="shared" si="3"/>
        <v>35699194.829999998</v>
      </c>
      <c r="T26" s="274">
        <f t="shared" si="4"/>
        <v>8.4955605126008412E-3</v>
      </c>
    </row>
    <row r="27" spans="1:25">
      <c r="A27" s="176">
        <v>73</v>
      </c>
      <c r="B27" s="464" t="str">
        <f>+VLOOKUP($A27,[1]Master!$D$25:$G$223,4,FALSE)</f>
        <v>Primici od otplate kredita i sredstva prenesena iz prethodne godine</v>
      </c>
      <c r="C27" s="465"/>
      <c r="D27" s="465"/>
      <c r="E27" s="465"/>
      <c r="F27" s="465"/>
      <c r="G27" s="201">
        <f>+INDEX([1]DataEx!$1:$1048576,MATCH('2017'!$A27,[1]DataEx!$D:$D,0),MATCH('2017'!G$6,[1]DataEx!$7:$7,0))</f>
        <v>150350.67000000001</v>
      </c>
      <c r="H27" s="201">
        <f>+INDEX([1]DataEx!$1:$1048576,MATCH('2017'!$A27,[1]DataEx!$D:$D,0),MATCH('2017'!H$6,[1]DataEx!$7:$7,0))</f>
        <v>500193.46</v>
      </c>
      <c r="I27" s="201">
        <f>+INDEX([1]DataEx!$1:$1048576,MATCH('2017'!$A27,[1]DataEx!$D:$D,0),MATCH('2017'!I$6,[1]DataEx!$7:$7,0))</f>
        <v>126045.79</v>
      </c>
      <c r="J27" s="201">
        <f>+INDEX([1]DataEx!$1:$1048576,MATCH('2017'!$A27,[1]DataEx!$D:$D,0),MATCH('2017'!J$6,[1]DataEx!$7:$7,0))</f>
        <v>67133.97</v>
      </c>
      <c r="K27" s="201">
        <f>+INDEX([1]DataEx!$1:$1048576,MATCH('2017'!$A27,[1]DataEx!$D:$D,0),MATCH('2017'!K$6,[1]DataEx!$7:$7,0))</f>
        <v>340170.16</v>
      </c>
      <c r="L27" s="201">
        <f>+INDEX([1]DataEx!$1:$1048576,MATCH('2017'!$A27,[1]DataEx!$D:$D,0),MATCH('2017'!L$6,[1]DataEx!$7:$7,0))</f>
        <v>1431878.17</v>
      </c>
      <c r="M27" s="201">
        <f>+INDEX([1]DataEx!$1:$1048576,MATCH('2017'!$A27,[1]DataEx!$D:$D,0),MATCH('2017'!M$6,[1]DataEx!$7:$7,0))</f>
        <v>588856.99</v>
      </c>
      <c r="N27" s="201">
        <f>+INDEX([1]DataEx!$1:$1048576,MATCH('2017'!$A27,[1]DataEx!$D:$D,0),MATCH('2017'!N$6,[1]DataEx!$7:$7,0))</f>
        <v>142813.88</v>
      </c>
      <c r="O27" s="201">
        <f>+INDEX([1]DataEx!$1:$1048576,MATCH('2017'!$A27,[1]DataEx!$D:$D,0),MATCH('2017'!O$6,[1]DataEx!$7:$7,0))</f>
        <v>182139.62</v>
      </c>
      <c r="P27" s="201">
        <f>+INDEX([1]DataEx!$1:$1048576,MATCH('2017'!$A27,[1]DataEx!$D:$D,0),MATCH('2017'!P$6,[1]DataEx!$7:$7,0))</f>
        <v>603855.75</v>
      </c>
      <c r="Q27" s="201">
        <f>+INDEX([1]DataEx!$1:$1048576,MATCH('2017'!$A27,[1]DataEx!$D:$D,0),MATCH('2017'!Q$6,[1]DataEx!$7:$7,0))</f>
        <v>987894.53</v>
      </c>
      <c r="R27" s="275">
        <f>+INDEX([1]DataEx!$1:$1048576,MATCH('2017'!$A27,[1]DataEx!$D:$D,0),MATCH('2017'!R$6,[1]DataEx!$7:$7,0))</f>
        <v>1153177.5900000001</v>
      </c>
      <c r="S27" s="273">
        <f t="shared" si="3"/>
        <v>6274510.5800000001</v>
      </c>
      <c r="T27" s="274">
        <f t="shared" si="4"/>
        <v>1.493184498227077E-3</v>
      </c>
    </row>
    <row r="28" spans="1:25" ht="13.5" thickBot="1">
      <c r="A28" s="176">
        <v>74</v>
      </c>
      <c r="B28" s="466" t="str">
        <f>+VLOOKUP($A28,[1]Master!$D$25:$G$223,4,FALSE)</f>
        <v>Donacije i transferi</v>
      </c>
      <c r="C28" s="467"/>
      <c r="D28" s="467"/>
      <c r="E28" s="467"/>
      <c r="F28" s="467"/>
      <c r="G28" s="201">
        <f>+INDEX([1]DataEx!$1:$1048576,MATCH('2017'!$A28,[1]DataEx!$D:$D,0),MATCH('2017'!G$6,[1]DataEx!$7:$7,0))</f>
        <v>198902.46</v>
      </c>
      <c r="H28" s="201">
        <f>+INDEX([1]DataEx!$1:$1048576,MATCH('2017'!$A28,[1]DataEx!$D:$D,0),MATCH('2017'!H$6,[1]DataEx!$7:$7,0))</f>
        <v>1119540.18</v>
      </c>
      <c r="I28" s="201">
        <f>+INDEX([1]DataEx!$1:$1048576,MATCH('2017'!$A28,[1]DataEx!$D:$D,0),MATCH('2017'!I$6,[1]DataEx!$7:$7,0))</f>
        <v>2133451.14</v>
      </c>
      <c r="J28" s="201">
        <f>+INDEX([1]DataEx!$1:$1048576,MATCH('2017'!$A28,[1]DataEx!$D:$D,0),MATCH('2017'!J$6,[1]DataEx!$7:$7,0))</f>
        <v>849572.77</v>
      </c>
      <c r="K28" s="201">
        <f>+INDEX([1]DataEx!$1:$1048576,MATCH('2017'!$A28,[1]DataEx!$D:$D,0),MATCH('2017'!K$6,[1]DataEx!$7:$7,0))</f>
        <v>1895943.06</v>
      </c>
      <c r="L28" s="201">
        <f>+INDEX([1]DataEx!$1:$1048576,MATCH('2017'!$A28,[1]DataEx!$D:$D,0),MATCH('2017'!L$6,[1]DataEx!$7:$7,0))</f>
        <v>1063223.94</v>
      </c>
      <c r="M28" s="201">
        <f>+INDEX([1]DataEx!$1:$1048576,MATCH('2017'!$A28,[1]DataEx!$D:$D,0),MATCH('2017'!M$6,[1]DataEx!$7:$7,0))</f>
        <v>2617220.7200000002</v>
      </c>
      <c r="N28" s="201">
        <f>+INDEX([1]DataEx!$1:$1048576,MATCH('2017'!$A28,[1]DataEx!$D:$D,0),MATCH('2017'!N$6,[1]DataEx!$7:$7,0))</f>
        <v>693924.15</v>
      </c>
      <c r="O28" s="201">
        <f>+INDEX([1]DataEx!$1:$1048576,MATCH('2017'!$A28,[1]DataEx!$D:$D,0),MATCH('2017'!O$6,[1]DataEx!$7:$7,0))</f>
        <v>1500964.26</v>
      </c>
      <c r="P28" s="201">
        <f>+INDEX([1]DataEx!$1:$1048576,MATCH('2017'!$A28,[1]DataEx!$D:$D,0),MATCH('2017'!P$6,[1]DataEx!$7:$7,0))</f>
        <v>2652981.5699999998</v>
      </c>
      <c r="Q28" s="201">
        <f>+INDEX([1]DataEx!$1:$1048576,MATCH('2017'!$A28,[1]DataEx!$D:$D,0),MATCH('2017'!Q$6,[1]DataEx!$7:$7,0))</f>
        <v>2284497.5299999998</v>
      </c>
      <c r="R28" s="275">
        <f>+INDEX([1]DataEx!$1:$1048576,MATCH('2017'!$A28,[1]DataEx!$D:$D,0),MATCH('2017'!R$6,[1]DataEx!$7:$7,0))</f>
        <v>8271247.9800000004</v>
      </c>
      <c r="S28" s="276">
        <f t="shared" si="3"/>
        <v>25281469.760000002</v>
      </c>
      <c r="T28" s="277">
        <f t="shared" si="4"/>
        <v>6.0163893672211515E-3</v>
      </c>
    </row>
    <row r="29" spans="1:25" ht="13.5" thickBot="1">
      <c r="A29" s="176">
        <v>4</v>
      </c>
      <c r="B29" s="452" t="str">
        <f>+VLOOKUP($A29,[1]Master!$D$25:$G$223,4,FALSE)</f>
        <v>Budžetki izdaci</v>
      </c>
      <c r="C29" s="453"/>
      <c r="D29" s="453"/>
      <c r="E29" s="453"/>
      <c r="F29" s="453"/>
      <c r="G29" s="177">
        <f>+G31+G42+G48+SUM(G49:G53)</f>
        <v>95209293.459999979</v>
      </c>
      <c r="H29" s="177">
        <f t="shared" ref="H29:R29" si="5">+H31+H42+H48+SUM(H49:H53)</f>
        <v>106550834.01999998</v>
      </c>
      <c r="I29" s="177">
        <f t="shared" si="5"/>
        <v>166417213.05000001</v>
      </c>
      <c r="J29" s="177">
        <f t="shared" si="5"/>
        <v>141200441.16999999</v>
      </c>
      <c r="K29" s="177">
        <f t="shared" si="5"/>
        <v>129572965.72</v>
      </c>
      <c r="L29" s="177">
        <f t="shared" si="5"/>
        <v>148142702.66999999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137511437.89999998</v>
      </c>
      <c r="P29" s="177">
        <f t="shared" si="5"/>
        <v>156775579.92000002</v>
      </c>
      <c r="Q29" s="177">
        <f t="shared" si="5"/>
        <v>157304996.44</v>
      </c>
      <c r="R29" s="177">
        <f t="shared" si="5"/>
        <v>270720398.57999998</v>
      </c>
      <c r="S29" s="278">
        <f t="shared" si="3"/>
        <v>1803550459.9400001</v>
      </c>
      <c r="T29" s="279">
        <f t="shared" si="4"/>
        <v>0.42920217508864617</v>
      </c>
    </row>
    <row r="30" spans="1:25" ht="13.5" thickBot="1">
      <c r="A30" s="176">
        <v>41</v>
      </c>
      <c r="B30" s="468" t="str">
        <f>+VLOOKUP($A30,[1]Master!$D$25:$G$223,4,FALSE)</f>
        <v>Tekući izdaci</v>
      </c>
      <c r="C30" s="469"/>
      <c r="D30" s="469"/>
      <c r="E30" s="469"/>
      <c r="F30" s="469"/>
      <c r="G30" s="207">
        <f>+G29-G49</f>
        <v>95099649.019999981</v>
      </c>
      <c r="H30" s="207">
        <f t="shared" ref="H30:R30" si="6">+H29-H49</f>
        <v>105028236.97999997</v>
      </c>
      <c r="I30" s="207">
        <f t="shared" si="6"/>
        <v>157982426.45000002</v>
      </c>
      <c r="J30" s="207">
        <f t="shared" si="6"/>
        <v>134281923.91</v>
      </c>
      <c r="K30" s="207">
        <f t="shared" si="6"/>
        <v>127011591.55</v>
      </c>
      <c r="L30" s="207">
        <f t="shared" si="6"/>
        <v>122978899.50999999</v>
      </c>
      <c r="M30" s="207">
        <f t="shared" si="6"/>
        <v>135015939.43000001</v>
      </c>
      <c r="N30" s="207">
        <f t="shared" si="6"/>
        <v>119078138.24000001</v>
      </c>
      <c r="O30" s="207">
        <f t="shared" si="6"/>
        <v>117571136.22999997</v>
      </c>
      <c r="P30" s="207">
        <f t="shared" si="6"/>
        <v>126782294.63000003</v>
      </c>
      <c r="Q30" s="207">
        <f t="shared" si="6"/>
        <v>119369236.81</v>
      </c>
      <c r="R30" s="207">
        <f t="shared" si="6"/>
        <v>187844636.63</v>
      </c>
      <c r="S30" s="280">
        <f t="shared" si="3"/>
        <v>1548044109.3899999</v>
      </c>
      <c r="T30" s="281">
        <f t="shared" si="4"/>
        <v>0.36839773194117226</v>
      </c>
    </row>
    <row r="31" spans="1:25">
      <c r="A31" s="176">
        <v>40</v>
      </c>
      <c r="B31" s="470" t="str">
        <f>+VLOOKUP($A31,[1]Master!$D$25:$G$223,4,FALSE)</f>
        <v>Tekući budžetski izdaci</v>
      </c>
      <c r="C31" s="471"/>
      <c r="D31" s="471"/>
      <c r="E31" s="471"/>
      <c r="F31" s="471"/>
      <c r="G31" s="213">
        <f>+SUM(G32:G41)</f>
        <v>43689604.280000001</v>
      </c>
      <c r="H31" s="213">
        <f t="shared" ref="H31:R31" si="7">+SUM(H32:H41)</f>
        <v>48378749.219999999</v>
      </c>
      <c r="I31" s="213">
        <f t="shared" si="7"/>
        <v>95920614.530000001</v>
      </c>
      <c r="J31" s="213">
        <f t="shared" si="7"/>
        <v>70977207.129999995</v>
      </c>
      <c r="K31" s="213">
        <f t="shared" si="7"/>
        <v>64440739.470000006</v>
      </c>
      <c r="L31" s="213">
        <f t="shared" si="7"/>
        <v>58946896.459999993</v>
      </c>
      <c r="M31" s="213">
        <f t="shared" si="7"/>
        <v>59163591.209999993</v>
      </c>
      <c r="N31" s="213">
        <f t="shared" si="7"/>
        <v>55546071.519999996</v>
      </c>
      <c r="O31" s="213">
        <f t="shared" si="7"/>
        <v>56199133.379999995</v>
      </c>
      <c r="P31" s="213">
        <f t="shared" si="7"/>
        <v>60486450.390000001</v>
      </c>
      <c r="Q31" s="213">
        <f t="shared" si="7"/>
        <v>60541970.469999999</v>
      </c>
      <c r="R31" s="282">
        <f t="shared" si="7"/>
        <v>104318395.05</v>
      </c>
      <c r="S31" s="268">
        <f t="shared" si="3"/>
        <v>778609423.1099999</v>
      </c>
      <c r="T31" s="269">
        <f t="shared" si="4"/>
        <v>0.18529055070321979</v>
      </c>
    </row>
    <row r="32" spans="1:25">
      <c r="A32" s="176">
        <v>411</v>
      </c>
      <c r="B32" s="462" t="str">
        <f>+VLOOKUP($A32,[1]Master!$D$25:$G$223,4,FALSE)</f>
        <v>Bruto zarade i doprinosi na teret poslodavca</v>
      </c>
      <c r="C32" s="463"/>
      <c r="D32" s="463"/>
      <c r="E32" s="463"/>
      <c r="F32" s="463"/>
      <c r="G32" s="189">
        <f>+INDEX([1]DataEx!$1:$1048576,MATCH('2017'!$A32,[1]DataEx!$D:$D,0),MATCH('2017'!G$6,[1]DataEx!$7:$7,0))</f>
        <v>36341017.520000003</v>
      </c>
      <c r="H32" s="189">
        <f>+INDEX([1]DataEx!$1:$1048576,MATCH('2017'!$A32,[1]DataEx!$D:$D,0),MATCH('2017'!H$6,[1]DataEx!$7:$7,0))</f>
        <v>36442747.460000001</v>
      </c>
      <c r="I32" s="189">
        <f>+INDEX([1]DataEx!$1:$1048576,MATCH('2017'!$A32,[1]DataEx!$D:$D,0),MATCH('2017'!I$6,[1]DataEx!$7:$7,0))</f>
        <v>36477113.590000004</v>
      </c>
      <c r="J32" s="189">
        <f>+INDEX([1]DataEx!$1:$1048576,MATCH('2017'!$A32,[1]DataEx!$D:$D,0),MATCH('2017'!J$6,[1]DataEx!$7:$7,0))</f>
        <v>36703828.340000004</v>
      </c>
      <c r="K32" s="189">
        <f>+INDEX([1]DataEx!$1:$1048576,MATCH('2017'!$A32,[1]DataEx!$D:$D,0),MATCH('2017'!K$6,[1]DataEx!$7:$7,0))</f>
        <v>34203194.770000003</v>
      </c>
      <c r="L32" s="189">
        <f>+INDEX([1]DataEx!$1:$1048576,MATCH('2017'!$A32,[1]DataEx!$D:$D,0),MATCH('2017'!L$6,[1]DataEx!$7:$7,0))</f>
        <v>40628800.600000001</v>
      </c>
      <c r="M32" s="189">
        <f>+INDEX([1]DataEx!$1:$1048576,MATCH('2017'!$A32,[1]DataEx!$D:$D,0),MATCH('2017'!M$6,[1]DataEx!$7:$7,0))</f>
        <v>36224128.640000001</v>
      </c>
      <c r="N32" s="189">
        <f>+INDEX([1]DataEx!$1:$1048576,MATCH('2017'!$A32,[1]DataEx!$D:$D,0),MATCH('2017'!N$6,[1]DataEx!$7:$7,0))</f>
        <v>35575955.729999997</v>
      </c>
      <c r="O32" s="189">
        <f>+INDEX([1]DataEx!$1:$1048576,MATCH('2017'!$A32,[1]DataEx!$D:$D,0),MATCH('2017'!O$6,[1]DataEx!$7:$7,0))</f>
        <v>36145069.369999997</v>
      </c>
      <c r="P32" s="189">
        <f>+INDEX([1]DataEx!$1:$1048576,MATCH('2017'!$A32,[1]DataEx!$D:$D,0),MATCH('2017'!P$6,[1]DataEx!$7:$7,0))</f>
        <v>37968977.82</v>
      </c>
      <c r="Q32" s="189">
        <f>+INDEX([1]DataEx!$1:$1048576,MATCH('2017'!$A32,[1]DataEx!$D:$D,0),MATCH('2017'!Q$6,[1]DataEx!$7:$7,0))</f>
        <v>37257887.189999998</v>
      </c>
      <c r="R32" s="189">
        <f>+INDEX([1]DataEx!$1:$1048576,MATCH('2017'!$A32,[1]DataEx!$D:$D,0),MATCH('2017'!R$6,[1]DataEx!$7:$7,0))</f>
        <v>41404585.670000002</v>
      </c>
      <c r="S32" s="270">
        <f t="shared" si="3"/>
        <v>445373306.70000005</v>
      </c>
      <c r="T32" s="271">
        <f t="shared" si="4"/>
        <v>0.10598826936531736</v>
      </c>
    </row>
    <row r="33" spans="1:21">
      <c r="A33" s="176">
        <v>412</v>
      </c>
      <c r="B33" s="462" t="str">
        <f>+VLOOKUP($A33,[1]Master!$D$25:$G$223,4,FALSE)</f>
        <v>Ostala lična primanja</v>
      </c>
      <c r="C33" s="463"/>
      <c r="D33" s="463"/>
      <c r="E33" s="463"/>
      <c r="F33" s="463"/>
      <c r="G33" s="189">
        <f>+INDEX([1]DataEx!$1:$1048576,MATCH('2017'!$A33,[1]DataEx!$D:$D,0),MATCH('2017'!G$6,[1]DataEx!$7:$7,0))</f>
        <v>70065.570000000007</v>
      </c>
      <c r="H33" s="189">
        <f>+INDEX([1]DataEx!$1:$1048576,MATCH('2017'!$A33,[1]DataEx!$D:$D,0),MATCH('2017'!H$6,[1]DataEx!$7:$7,0))</f>
        <v>920424.11</v>
      </c>
      <c r="I33" s="189">
        <f>+INDEX([1]DataEx!$1:$1048576,MATCH('2017'!$A33,[1]DataEx!$D:$D,0),MATCH('2017'!I$6,[1]DataEx!$7:$7,0))</f>
        <v>936990.91</v>
      </c>
      <c r="J33" s="189">
        <f>+INDEX([1]DataEx!$1:$1048576,MATCH('2017'!$A33,[1]DataEx!$D:$D,0),MATCH('2017'!J$6,[1]DataEx!$7:$7,0))</f>
        <v>685539.4</v>
      </c>
      <c r="K33" s="189">
        <f>+INDEX([1]DataEx!$1:$1048576,MATCH('2017'!$A33,[1]DataEx!$D:$D,0),MATCH('2017'!K$6,[1]DataEx!$7:$7,0))</f>
        <v>763370.53</v>
      </c>
      <c r="L33" s="189">
        <f>+INDEX([1]DataEx!$1:$1048576,MATCH('2017'!$A33,[1]DataEx!$D:$D,0),MATCH('2017'!L$6,[1]DataEx!$7:$7,0))</f>
        <v>888374.79</v>
      </c>
      <c r="M33" s="189">
        <f>+INDEX([1]DataEx!$1:$1048576,MATCH('2017'!$A33,[1]DataEx!$D:$D,0),MATCH('2017'!M$6,[1]DataEx!$7:$7,0))</f>
        <v>845413.4</v>
      </c>
      <c r="N33" s="189">
        <f>+INDEX([1]DataEx!$1:$1048576,MATCH('2017'!$A33,[1]DataEx!$D:$D,0),MATCH('2017'!N$6,[1]DataEx!$7:$7,0))</f>
        <v>982340.29</v>
      </c>
      <c r="O33" s="189">
        <f>+INDEX([1]DataEx!$1:$1048576,MATCH('2017'!$A33,[1]DataEx!$D:$D,0),MATCH('2017'!O$6,[1]DataEx!$7:$7,0))</f>
        <v>710611.47</v>
      </c>
      <c r="P33" s="189">
        <f>+INDEX([1]DataEx!$1:$1048576,MATCH('2017'!$A33,[1]DataEx!$D:$D,0),MATCH('2017'!P$6,[1]DataEx!$7:$7,0))</f>
        <v>864910.68</v>
      </c>
      <c r="Q33" s="189">
        <f>+INDEX([1]DataEx!$1:$1048576,MATCH('2017'!$A33,[1]DataEx!$D:$D,0),MATCH('2017'!Q$6,[1]DataEx!$7:$7,0))</f>
        <v>1028980.9</v>
      </c>
      <c r="R33" s="189">
        <f>+INDEX([1]DataEx!$1:$1048576,MATCH('2017'!$A33,[1]DataEx!$D:$D,0),MATCH('2017'!R$6,[1]DataEx!$7:$7,0))</f>
        <v>1951716.68</v>
      </c>
      <c r="S33" s="270">
        <f t="shared" si="3"/>
        <v>10648738.729999999</v>
      </c>
      <c r="T33" s="271">
        <f t="shared" si="4"/>
        <v>2.5341469098783937E-3</v>
      </c>
      <c r="U33" s="368"/>
    </row>
    <row r="34" spans="1:21">
      <c r="A34" s="176">
        <v>413</v>
      </c>
      <c r="B34" s="462" t="str">
        <f>+VLOOKUP($A34,[1]Master!$D$25:$G$223,4,FALSE)</f>
        <v>Rashodi za materijal</v>
      </c>
      <c r="C34" s="463"/>
      <c r="D34" s="463"/>
      <c r="E34" s="463"/>
      <c r="F34" s="463"/>
      <c r="G34" s="189">
        <f>+INDEX([1]DataEx!$1:$1048576,MATCH('2017'!$A34,[1]DataEx!$D:$D,0),MATCH('2017'!G$6,[1]DataEx!$7:$7,0))</f>
        <v>964375.48</v>
      </c>
      <c r="H34" s="189">
        <f>+INDEX([1]DataEx!$1:$1048576,MATCH('2017'!$A34,[1]DataEx!$D:$D,0),MATCH('2017'!H$6,[1]DataEx!$7:$7,0))</f>
        <v>2109344.7799999998</v>
      </c>
      <c r="I34" s="189">
        <f>+INDEX([1]DataEx!$1:$1048576,MATCH('2017'!$A34,[1]DataEx!$D:$D,0),MATCH('2017'!I$6,[1]DataEx!$7:$7,0))</f>
        <v>2772426.02</v>
      </c>
      <c r="J34" s="189">
        <f>+INDEX([1]DataEx!$1:$1048576,MATCH('2017'!$A34,[1]DataEx!$D:$D,0),MATCH('2017'!J$6,[1]DataEx!$7:$7,0))</f>
        <v>1868404.05</v>
      </c>
      <c r="K34" s="189">
        <f>+INDEX([1]DataEx!$1:$1048576,MATCH('2017'!$A34,[1]DataEx!$D:$D,0),MATCH('2017'!K$6,[1]DataEx!$7:$7,0))</f>
        <v>2065761.38</v>
      </c>
      <c r="L34" s="189">
        <f>+INDEX([1]DataEx!$1:$1048576,MATCH('2017'!$A34,[1]DataEx!$D:$D,0),MATCH('2017'!L$6,[1]DataEx!$7:$7,0))</f>
        <v>2044302.92</v>
      </c>
      <c r="M34" s="189">
        <f>+INDEX([1]DataEx!$1:$1048576,MATCH('2017'!$A34,[1]DataEx!$D:$D,0),MATCH('2017'!M$6,[1]DataEx!$7:$7,0))</f>
        <v>1900343.87</v>
      </c>
      <c r="N34" s="189">
        <f>+INDEX([1]DataEx!$1:$1048576,MATCH('2017'!$A34,[1]DataEx!$D:$D,0),MATCH('2017'!N$6,[1]DataEx!$7:$7,0))</f>
        <v>2421002.2400000002</v>
      </c>
      <c r="O34" s="189">
        <f>+INDEX([1]DataEx!$1:$1048576,MATCH('2017'!$A34,[1]DataEx!$D:$D,0),MATCH('2017'!O$6,[1]DataEx!$7:$7,0))</f>
        <v>1848100.89</v>
      </c>
      <c r="P34" s="189">
        <f>+INDEX([1]DataEx!$1:$1048576,MATCH('2017'!$A34,[1]DataEx!$D:$D,0),MATCH('2017'!P$6,[1]DataEx!$7:$7,0))</f>
        <v>3032654.88</v>
      </c>
      <c r="Q34" s="189">
        <f>+INDEX([1]DataEx!$1:$1048576,MATCH('2017'!$A34,[1]DataEx!$D:$D,0),MATCH('2017'!Q$6,[1]DataEx!$7:$7,0))</f>
        <v>2235715.75</v>
      </c>
      <c r="R34" s="189">
        <f>+INDEX([1]DataEx!$1:$1048576,MATCH('2017'!$A34,[1]DataEx!$D:$D,0),MATCH('2017'!R$6,[1]DataEx!$7:$7,0))</f>
        <v>6000718.46</v>
      </c>
      <c r="S34" s="270">
        <f t="shared" si="3"/>
        <v>29263150.719999999</v>
      </c>
      <c r="T34" s="271">
        <f t="shared" si="4"/>
        <v>6.9639348706599076E-3</v>
      </c>
      <c r="U34" s="386"/>
    </row>
    <row r="35" spans="1:21">
      <c r="A35" s="176">
        <v>414</v>
      </c>
      <c r="B35" s="462" t="str">
        <f>+VLOOKUP($A35,[1]Master!$D$25:$G$223,4,FALSE)</f>
        <v>Rashodi za usluge</v>
      </c>
      <c r="C35" s="463"/>
      <c r="D35" s="463"/>
      <c r="E35" s="463"/>
      <c r="F35" s="463"/>
      <c r="G35" s="189">
        <f>+INDEX([1]DataEx!$1:$1048576,MATCH('2017'!$A35,[1]DataEx!$D:$D,0),MATCH('2017'!G$6,[1]DataEx!$7:$7,0))</f>
        <v>1445443.93</v>
      </c>
      <c r="H35" s="189">
        <f>+INDEX([1]DataEx!$1:$1048576,MATCH('2017'!$A35,[1]DataEx!$D:$D,0),MATCH('2017'!H$6,[1]DataEx!$7:$7,0))</f>
        <v>3318516.23</v>
      </c>
      <c r="I35" s="189">
        <f>+INDEX([1]DataEx!$1:$1048576,MATCH('2017'!$A35,[1]DataEx!$D:$D,0),MATCH('2017'!I$6,[1]DataEx!$7:$7,0))</f>
        <v>7050406.4900000002</v>
      </c>
      <c r="J35" s="189">
        <f>+INDEX([1]DataEx!$1:$1048576,MATCH('2017'!$A35,[1]DataEx!$D:$D,0),MATCH('2017'!J$6,[1]DataEx!$7:$7,0))</f>
        <v>5446546.7800000003</v>
      </c>
      <c r="K35" s="189">
        <f>+INDEX([1]DataEx!$1:$1048576,MATCH('2017'!$A35,[1]DataEx!$D:$D,0),MATCH('2017'!K$6,[1]DataEx!$7:$7,0))</f>
        <v>3548711.83</v>
      </c>
      <c r="L35" s="189">
        <f>+INDEX([1]DataEx!$1:$1048576,MATCH('2017'!$A35,[1]DataEx!$D:$D,0),MATCH('2017'!L$6,[1]DataEx!$7:$7,0))</f>
        <v>4342615.72</v>
      </c>
      <c r="M35" s="189">
        <f>+INDEX([1]DataEx!$1:$1048576,MATCH('2017'!$A35,[1]DataEx!$D:$D,0),MATCH('2017'!M$6,[1]DataEx!$7:$7,0))</f>
        <v>5219310.84</v>
      </c>
      <c r="N35" s="189">
        <f>+INDEX([1]DataEx!$1:$1048576,MATCH('2017'!$A35,[1]DataEx!$D:$D,0),MATCH('2017'!N$6,[1]DataEx!$7:$7,0))</f>
        <v>5169360.8</v>
      </c>
      <c r="O35" s="189">
        <f>+INDEX([1]DataEx!$1:$1048576,MATCH('2017'!$A35,[1]DataEx!$D:$D,0),MATCH('2017'!O$6,[1]DataEx!$7:$7,0))</f>
        <v>4341121.62</v>
      </c>
      <c r="P35" s="189">
        <f>+INDEX([1]DataEx!$1:$1048576,MATCH('2017'!$A35,[1]DataEx!$D:$D,0),MATCH('2017'!P$6,[1]DataEx!$7:$7,0))</f>
        <v>4884082.33</v>
      </c>
      <c r="Q35" s="189">
        <f>+INDEX([1]DataEx!$1:$1048576,MATCH('2017'!$A35,[1]DataEx!$D:$D,0),MATCH('2017'!Q$6,[1]DataEx!$7:$7,0))</f>
        <v>4047161.45</v>
      </c>
      <c r="R35" s="189">
        <f>+INDEX([1]DataEx!$1:$1048576,MATCH('2017'!$A35,[1]DataEx!$D:$D,0),MATCH('2017'!R$6,[1]DataEx!$7:$7,0))</f>
        <v>17925486.800000001</v>
      </c>
      <c r="S35" s="270">
        <f t="shared" si="3"/>
        <v>66738764.819999993</v>
      </c>
      <c r="T35" s="271">
        <f t="shared" si="4"/>
        <v>1.5882240979510243E-2</v>
      </c>
    </row>
    <row r="36" spans="1:21">
      <c r="A36" s="176">
        <v>415</v>
      </c>
      <c r="B36" s="462" t="str">
        <f>+VLOOKUP($A36,[1]Master!$D$25:$G$223,4,FALSE)</f>
        <v>Rashodi za tekuće održavanje</v>
      </c>
      <c r="C36" s="463"/>
      <c r="D36" s="463"/>
      <c r="E36" s="463"/>
      <c r="F36" s="463"/>
      <c r="G36" s="189">
        <f>+INDEX([1]DataEx!$1:$1048576,MATCH('2017'!$A36,[1]DataEx!$D:$D,0),MATCH('2017'!G$6,[1]DataEx!$7:$7,0))</f>
        <v>133702.59</v>
      </c>
      <c r="H36" s="189">
        <f>+INDEX([1]DataEx!$1:$1048576,MATCH('2017'!$A36,[1]DataEx!$D:$D,0),MATCH('2017'!H$6,[1]DataEx!$7:$7,0))</f>
        <v>831412.02</v>
      </c>
      <c r="I36" s="189">
        <f>+INDEX([1]DataEx!$1:$1048576,MATCH('2017'!$A36,[1]DataEx!$D:$D,0),MATCH('2017'!I$6,[1]DataEx!$7:$7,0))</f>
        <v>1518146.21</v>
      </c>
      <c r="J36" s="189">
        <f>+INDEX([1]DataEx!$1:$1048576,MATCH('2017'!$A36,[1]DataEx!$D:$D,0),MATCH('2017'!J$6,[1]DataEx!$7:$7,0))</f>
        <v>1549212.25</v>
      </c>
      <c r="K36" s="189">
        <f>+INDEX([1]DataEx!$1:$1048576,MATCH('2017'!$A36,[1]DataEx!$D:$D,0),MATCH('2017'!K$6,[1]DataEx!$7:$7,0))</f>
        <v>2002570.68</v>
      </c>
      <c r="L36" s="189">
        <f>+INDEX([1]DataEx!$1:$1048576,MATCH('2017'!$A36,[1]DataEx!$D:$D,0),MATCH('2017'!L$6,[1]DataEx!$7:$7,0))</f>
        <v>1160348.8799999999</v>
      </c>
      <c r="M36" s="189">
        <f>+INDEX([1]DataEx!$1:$1048576,MATCH('2017'!$A36,[1]DataEx!$D:$D,0),MATCH('2017'!M$6,[1]DataEx!$7:$7,0))</f>
        <v>1865668.51</v>
      </c>
      <c r="N36" s="189">
        <f>+INDEX([1]DataEx!$1:$1048576,MATCH('2017'!$A36,[1]DataEx!$D:$D,0),MATCH('2017'!N$6,[1]DataEx!$7:$7,0))</f>
        <v>1371232.73</v>
      </c>
      <c r="O36" s="189">
        <f>+INDEX([1]DataEx!$1:$1048576,MATCH('2017'!$A36,[1]DataEx!$D:$D,0),MATCH('2017'!O$6,[1]DataEx!$7:$7,0))</f>
        <v>2163282.15</v>
      </c>
      <c r="P36" s="189">
        <f>+INDEX([1]DataEx!$1:$1048576,MATCH('2017'!$A36,[1]DataEx!$D:$D,0),MATCH('2017'!P$6,[1]DataEx!$7:$7,0))</f>
        <v>1881648.29</v>
      </c>
      <c r="Q36" s="189">
        <f>+INDEX([1]DataEx!$1:$1048576,MATCH('2017'!$A36,[1]DataEx!$D:$D,0),MATCH('2017'!Q$6,[1]DataEx!$7:$7,0))</f>
        <v>1702269.74</v>
      </c>
      <c r="R36" s="189">
        <f>+INDEX([1]DataEx!$1:$1048576,MATCH('2017'!$A36,[1]DataEx!$D:$D,0),MATCH('2017'!R$6,[1]DataEx!$7:$7,0))</f>
        <v>4045495.9</v>
      </c>
      <c r="S36" s="270">
        <f t="shared" si="3"/>
        <v>20224989.950000003</v>
      </c>
      <c r="T36" s="271">
        <f t="shared" si="4"/>
        <v>4.8130672639870552E-3</v>
      </c>
    </row>
    <row r="37" spans="1:21">
      <c r="A37" s="176">
        <v>416</v>
      </c>
      <c r="B37" s="462" t="str">
        <f>+VLOOKUP($A37,[1]Master!$D$25:$G$223,4,FALSE)</f>
        <v>Kamate</v>
      </c>
      <c r="C37" s="463"/>
      <c r="D37" s="463"/>
      <c r="E37" s="463"/>
      <c r="F37" s="463"/>
      <c r="G37" s="189">
        <f>+INDEX([1]DataEx!$1:$1048576,MATCH('2017'!$A37,[1]DataEx!$D:$D,0),MATCH('2017'!G$6,[1]DataEx!$7:$7,0))</f>
        <v>3229720.9</v>
      </c>
      <c r="H37" s="189">
        <f>+INDEX([1]DataEx!$1:$1048576,MATCH('2017'!$A37,[1]DataEx!$D:$D,0),MATCH('2017'!H$6,[1]DataEx!$7:$7,0))</f>
        <v>1105648.4099999999</v>
      </c>
      <c r="I37" s="189">
        <f>+INDEX([1]DataEx!$1:$1048576,MATCH('2017'!$A37,[1]DataEx!$D:$D,0),MATCH('2017'!I$6,[1]DataEx!$7:$7,0))</f>
        <v>39350670.159999996</v>
      </c>
      <c r="J37" s="189">
        <f>+INDEX([1]DataEx!$1:$1048576,MATCH('2017'!$A37,[1]DataEx!$D:$D,0),MATCH('2017'!J$6,[1]DataEx!$7:$7,0))</f>
        <v>18359667.859999999</v>
      </c>
      <c r="K37" s="189">
        <f>+INDEX([1]DataEx!$1:$1048576,MATCH('2017'!$A37,[1]DataEx!$D:$D,0),MATCH('2017'!K$6,[1]DataEx!$7:$7,0))</f>
        <v>16347481.07</v>
      </c>
      <c r="L37" s="189">
        <f>+INDEX([1]DataEx!$1:$1048576,MATCH('2017'!$A37,[1]DataEx!$D:$D,0),MATCH('2017'!L$6,[1]DataEx!$7:$7,0))</f>
        <v>2519907.7599999998</v>
      </c>
      <c r="M37" s="189">
        <f>+INDEX([1]DataEx!$1:$1048576,MATCH('2017'!$A37,[1]DataEx!$D:$D,0),MATCH('2017'!M$6,[1]DataEx!$7:$7,0))</f>
        <v>6570219.0800000001</v>
      </c>
      <c r="N37" s="189">
        <f>+INDEX([1]DataEx!$1:$1048576,MATCH('2017'!$A37,[1]DataEx!$D:$D,0),MATCH('2017'!N$6,[1]DataEx!$7:$7,0))</f>
        <v>1254218.04</v>
      </c>
      <c r="O37" s="189">
        <f>+INDEX([1]DataEx!$1:$1048576,MATCH('2017'!$A37,[1]DataEx!$D:$D,0),MATCH('2017'!O$6,[1]DataEx!$7:$7,0))</f>
        <v>2016695.15</v>
      </c>
      <c r="P37" s="189">
        <f>+INDEX([1]DataEx!$1:$1048576,MATCH('2017'!$A37,[1]DataEx!$D:$D,0),MATCH('2017'!P$6,[1]DataEx!$7:$7,0))</f>
        <v>1739140.99</v>
      </c>
      <c r="Q37" s="189">
        <f>+INDEX([1]DataEx!$1:$1048576,MATCH('2017'!$A37,[1]DataEx!$D:$D,0),MATCH('2017'!Q$6,[1]DataEx!$7:$7,0))</f>
        <v>3918626.83</v>
      </c>
      <c r="R37" s="189">
        <f>+INDEX([1]DataEx!$1:$1048576,MATCH('2017'!$A37,[1]DataEx!$D:$D,0),MATCH('2017'!R$6,[1]DataEx!$7:$7,0))</f>
        <v>2293382.33</v>
      </c>
      <c r="S37" s="270">
        <f>+SUM(G37:R37)</f>
        <v>98705378.580000013</v>
      </c>
      <c r="T37" s="271">
        <f t="shared" si="4"/>
        <v>2.3489535846362534E-2</v>
      </c>
    </row>
    <row r="38" spans="1:21">
      <c r="A38" s="176">
        <v>417</v>
      </c>
      <c r="B38" s="462" t="str">
        <f>+VLOOKUP($A38,[1]Master!$D$25:$G$223,4,FALSE)</f>
        <v>Renta</v>
      </c>
      <c r="C38" s="463"/>
      <c r="D38" s="463"/>
      <c r="E38" s="463"/>
      <c r="F38" s="463"/>
      <c r="G38" s="189">
        <f>+INDEX([1]DataEx!$1:$1048576,MATCH('2017'!$A38,[1]DataEx!$D:$D,0),MATCH('2017'!G$6,[1]DataEx!$7:$7,0))</f>
        <v>576439.54</v>
      </c>
      <c r="H38" s="189">
        <f>+INDEX([1]DataEx!$1:$1048576,MATCH('2017'!$A38,[1]DataEx!$D:$D,0),MATCH('2017'!H$6,[1]DataEx!$7:$7,0))</f>
        <v>609518.68999999994</v>
      </c>
      <c r="I38" s="189">
        <f>+INDEX([1]DataEx!$1:$1048576,MATCH('2017'!$A38,[1]DataEx!$D:$D,0),MATCH('2017'!I$6,[1]DataEx!$7:$7,0))</f>
        <v>647095.18000000005</v>
      </c>
      <c r="J38" s="189">
        <f>+INDEX([1]DataEx!$1:$1048576,MATCH('2017'!$A38,[1]DataEx!$D:$D,0),MATCH('2017'!J$6,[1]DataEx!$7:$7,0))</f>
        <v>737903.15</v>
      </c>
      <c r="K38" s="189">
        <f>+INDEX([1]DataEx!$1:$1048576,MATCH('2017'!$A38,[1]DataEx!$D:$D,0),MATCH('2017'!K$6,[1]DataEx!$7:$7,0))</f>
        <v>649640.18999999994</v>
      </c>
      <c r="L38" s="189">
        <f>+INDEX([1]DataEx!$1:$1048576,MATCH('2017'!$A38,[1]DataEx!$D:$D,0),MATCH('2017'!L$6,[1]DataEx!$7:$7,0))</f>
        <v>723692.29</v>
      </c>
      <c r="M38" s="189">
        <f>+INDEX([1]DataEx!$1:$1048576,MATCH('2017'!$A38,[1]DataEx!$D:$D,0),MATCH('2017'!M$6,[1]DataEx!$7:$7,0))</f>
        <v>744151.17</v>
      </c>
      <c r="N38" s="189">
        <f>+INDEX([1]DataEx!$1:$1048576,MATCH('2017'!$A38,[1]DataEx!$D:$D,0),MATCH('2017'!N$6,[1]DataEx!$7:$7,0))</f>
        <v>655865.84</v>
      </c>
      <c r="O38" s="189">
        <f>+INDEX([1]DataEx!$1:$1048576,MATCH('2017'!$A38,[1]DataEx!$D:$D,0),MATCH('2017'!O$6,[1]DataEx!$7:$7,0))</f>
        <v>680713.27</v>
      </c>
      <c r="P38" s="189">
        <f>+INDEX([1]DataEx!$1:$1048576,MATCH('2017'!$A38,[1]DataEx!$D:$D,0),MATCH('2017'!P$6,[1]DataEx!$7:$7,0))</f>
        <v>802737.21</v>
      </c>
      <c r="Q38" s="189">
        <f>+INDEX([1]DataEx!$1:$1048576,MATCH('2017'!$A38,[1]DataEx!$D:$D,0),MATCH('2017'!Q$6,[1]DataEx!$7:$7,0))</f>
        <v>721286.02</v>
      </c>
      <c r="R38" s="189">
        <f>+INDEX([1]DataEx!$1:$1048576,MATCH('2017'!$A38,[1]DataEx!$D:$D,0),MATCH('2017'!R$6,[1]DataEx!$7:$7,0))</f>
        <v>1571298.28</v>
      </c>
      <c r="S38" s="270">
        <f t="shared" si="3"/>
        <v>9120340.8300000001</v>
      </c>
      <c r="T38" s="271">
        <f t="shared" si="4"/>
        <v>2.1704245091739845E-3</v>
      </c>
    </row>
    <row r="39" spans="1:21">
      <c r="A39" s="176">
        <v>418</v>
      </c>
      <c r="B39" s="462" t="str">
        <f>+VLOOKUP($A39,[1]Master!$D$25:$G$223,4,FALSE)</f>
        <v>Subvencije</v>
      </c>
      <c r="C39" s="463"/>
      <c r="D39" s="463"/>
      <c r="E39" s="463"/>
      <c r="F39" s="463"/>
      <c r="G39" s="189">
        <f>+INDEX([1]DataEx!$1:$1048576,MATCH('2017'!$A39,[1]DataEx!$D:$D,0),MATCH('2017'!G$6,[1]DataEx!$7:$7,0))</f>
        <v>1010</v>
      </c>
      <c r="H39" s="189">
        <f>+INDEX([1]DataEx!$1:$1048576,MATCH('2017'!$A39,[1]DataEx!$D:$D,0),MATCH('2017'!H$6,[1]DataEx!$7:$7,0))</f>
        <v>437077.96</v>
      </c>
      <c r="I39" s="189">
        <f>+INDEX([1]DataEx!$1:$1048576,MATCH('2017'!$A39,[1]DataEx!$D:$D,0),MATCH('2017'!I$6,[1]DataEx!$7:$7,0))</f>
        <v>2564740.2200000002</v>
      </c>
      <c r="J39" s="189">
        <f>+INDEX([1]DataEx!$1:$1048576,MATCH('2017'!$A39,[1]DataEx!$D:$D,0),MATCH('2017'!J$6,[1]DataEx!$7:$7,0))</f>
        <v>735427.01</v>
      </c>
      <c r="K39" s="189">
        <f>+INDEX([1]DataEx!$1:$1048576,MATCH('2017'!$A39,[1]DataEx!$D:$D,0),MATCH('2017'!K$6,[1]DataEx!$7:$7,0))</f>
        <v>700208.25</v>
      </c>
      <c r="L39" s="189">
        <f>+INDEX([1]DataEx!$1:$1048576,MATCH('2017'!$A39,[1]DataEx!$D:$D,0),MATCH('2017'!L$6,[1]DataEx!$7:$7,0))</f>
        <v>1456109.61</v>
      </c>
      <c r="M39" s="189">
        <f>+INDEX([1]DataEx!$1:$1048576,MATCH('2017'!$A39,[1]DataEx!$D:$D,0),MATCH('2017'!M$6,[1]DataEx!$7:$7,0))</f>
        <v>1493000.87</v>
      </c>
      <c r="N39" s="189">
        <f>+INDEX([1]DataEx!$1:$1048576,MATCH('2017'!$A39,[1]DataEx!$D:$D,0),MATCH('2017'!N$6,[1]DataEx!$7:$7,0))</f>
        <v>2964968.57</v>
      </c>
      <c r="O39" s="189">
        <f>+INDEX([1]DataEx!$1:$1048576,MATCH('2017'!$A39,[1]DataEx!$D:$D,0),MATCH('2017'!O$6,[1]DataEx!$7:$7,0))</f>
        <v>3824679.63</v>
      </c>
      <c r="P39" s="189">
        <f>+INDEX([1]DataEx!$1:$1048576,MATCH('2017'!$A39,[1]DataEx!$D:$D,0),MATCH('2017'!P$6,[1]DataEx!$7:$7,0))</f>
        <v>2388415.48</v>
      </c>
      <c r="Q39" s="189">
        <f>+INDEX([1]DataEx!$1:$1048576,MATCH('2017'!$A39,[1]DataEx!$D:$D,0),MATCH('2017'!Q$6,[1]DataEx!$7:$7,0))</f>
        <v>3022483.62</v>
      </c>
      <c r="R39" s="189">
        <f>+INDEX([1]DataEx!$1:$1048576,MATCH('2017'!$A39,[1]DataEx!$D:$D,0),MATCH('2017'!R$6,[1]DataEx!$7:$7,0))</f>
        <v>8215705.0499999998</v>
      </c>
      <c r="S39" s="270">
        <f t="shared" si="3"/>
        <v>27803826.270000003</v>
      </c>
      <c r="T39" s="271">
        <f t="shared" si="4"/>
        <v>6.6166503105590073E-3</v>
      </c>
    </row>
    <row r="40" spans="1:21">
      <c r="A40" s="176">
        <v>419</v>
      </c>
      <c r="B40" s="462" t="str">
        <f>+VLOOKUP($A40,[1]Master!$D$25:$G$223,4,FALSE)</f>
        <v>Ostali izdaci</v>
      </c>
      <c r="C40" s="463"/>
      <c r="D40" s="463"/>
      <c r="E40" s="463"/>
      <c r="F40" s="463"/>
      <c r="G40" s="189">
        <f>+INDEX([1]DataEx!$1:$1048576,MATCH('2017'!$A40,[1]DataEx!$D:$D,0),MATCH('2017'!G$6,[1]DataEx!$7:$7,0))</f>
        <v>641900.81999999995</v>
      </c>
      <c r="H40" s="189">
        <f>+INDEX([1]DataEx!$1:$1048576,MATCH('2017'!$A40,[1]DataEx!$D:$D,0),MATCH('2017'!H$6,[1]DataEx!$7:$7,0))</f>
        <v>1813185.28</v>
      </c>
      <c r="I40" s="189">
        <f>+INDEX([1]DataEx!$1:$1048576,MATCH('2017'!$A40,[1]DataEx!$D:$D,0),MATCH('2017'!I$6,[1]DataEx!$7:$7,0))</f>
        <v>3850774.87</v>
      </c>
      <c r="J40" s="189">
        <f>+INDEX([1]DataEx!$1:$1048576,MATCH('2017'!$A40,[1]DataEx!$D:$D,0),MATCH('2017'!J$6,[1]DataEx!$7:$7,0))</f>
        <v>2539698.67</v>
      </c>
      <c r="K40" s="189">
        <f>+INDEX([1]DataEx!$1:$1048576,MATCH('2017'!$A40,[1]DataEx!$D:$D,0),MATCH('2017'!K$6,[1]DataEx!$7:$7,0))</f>
        <v>2629633.84</v>
      </c>
      <c r="L40" s="189">
        <f>+INDEX([1]DataEx!$1:$1048576,MATCH('2017'!$A40,[1]DataEx!$D:$D,0),MATCH('2017'!L$6,[1]DataEx!$7:$7,0))</f>
        <v>2650654.59</v>
      </c>
      <c r="M40" s="189">
        <f>+INDEX([1]DataEx!$1:$1048576,MATCH('2017'!$A40,[1]DataEx!$D:$D,0),MATCH('2017'!M$6,[1]DataEx!$7:$7,0))</f>
        <v>2526292.0099999998</v>
      </c>
      <c r="N40" s="189">
        <f>+INDEX([1]DataEx!$1:$1048576,MATCH('2017'!$A40,[1]DataEx!$D:$D,0),MATCH('2017'!N$6,[1]DataEx!$7:$7,0))</f>
        <v>2670416.61</v>
      </c>
      <c r="O40" s="189">
        <f>+INDEX([1]DataEx!$1:$1048576,MATCH('2017'!$A40,[1]DataEx!$D:$D,0),MATCH('2017'!O$6,[1]DataEx!$7:$7,0))</f>
        <v>2768002.05</v>
      </c>
      <c r="P40" s="189">
        <f>+INDEX([1]DataEx!$1:$1048576,MATCH('2017'!$A40,[1]DataEx!$D:$D,0),MATCH('2017'!P$6,[1]DataEx!$7:$7,0))</f>
        <v>3382897.72</v>
      </c>
      <c r="Q40" s="189">
        <f>+INDEX([1]DataEx!$1:$1048576,MATCH('2017'!$A40,[1]DataEx!$D:$D,0),MATCH('2017'!Q$6,[1]DataEx!$7:$7,0))</f>
        <v>4807051.49</v>
      </c>
      <c r="R40" s="189">
        <f>+INDEX([1]DataEx!$1:$1048576,MATCH('2017'!$A40,[1]DataEx!$D:$D,0),MATCH('2017'!R$6,[1]DataEx!$7:$7,0))</f>
        <v>8030767.0499999998</v>
      </c>
      <c r="S40" s="270">
        <f t="shared" si="3"/>
        <v>38311275</v>
      </c>
      <c r="T40" s="271">
        <f t="shared" si="4"/>
        <v>9.1171735560791039E-3</v>
      </c>
    </row>
    <row r="41" spans="1:21">
      <c r="A41" s="176">
        <v>440</v>
      </c>
      <c r="B41" s="462" t="str">
        <f>+VLOOKUP($A41,[1]Master!$D$25:$G$223,4,FALSE)</f>
        <v>Kapitalni izdaci u tekućem budžetu</v>
      </c>
      <c r="C41" s="463"/>
      <c r="D41" s="463"/>
      <c r="E41" s="463"/>
      <c r="F41" s="463"/>
      <c r="G41" s="189">
        <f>+INDEX([1]DataEx!$1:$1048576,MATCH('2017'!$A41,[1]DataEx!$D:$D,0),MATCH('2017'!G$6,[1]DataEx!$7:$7,0))</f>
        <v>285927.93</v>
      </c>
      <c r="H41" s="189">
        <f>+INDEX([1]DataEx!$1:$1048576,MATCH('2017'!$A41,[1]DataEx!$D:$D,0),MATCH('2017'!H$6,[1]DataEx!$7:$7,0))</f>
        <v>790874.28</v>
      </c>
      <c r="I41" s="189">
        <f>+INDEX([1]DataEx!$1:$1048576,MATCH('2017'!$A41,[1]DataEx!$D:$D,0),MATCH('2017'!I$6,[1]DataEx!$7:$7,0))</f>
        <v>752250.88</v>
      </c>
      <c r="J41" s="189">
        <f>+INDEX([1]DataEx!$1:$1048576,MATCH('2017'!$A41,[1]DataEx!$D:$D,0),MATCH('2017'!J$6,[1]DataEx!$7:$7,0))</f>
        <v>2350979.62</v>
      </c>
      <c r="K41" s="189">
        <f>+INDEX([1]DataEx!$1:$1048576,MATCH('2017'!$A41,[1]DataEx!$D:$D,0),MATCH('2017'!K$6,[1]DataEx!$7:$7,0))</f>
        <v>1530166.93</v>
      </c>
      <c r="L41" s="189">
        <f>+INDEX([1]DataEx!$1:$1048576,MATCH('2017'!$A41,[1]DataEx!$D:$D,0),MATCH('2017'!L$6,[1]DataEx!$7:$7,0))</f>
        <v>2532089.2999999998</v>
      </c>
      <c r="M41" s="189">
        <f>+INDEX([1]DataEx!$1:$1048576,MATCH('2017'!$A41,[1]DataEx!$D:$D,0),MATCH('2017'!M$6,[1]DataEx!$7:$7,0))</f>
        <v>1775062.82</v>
      </c>
      <c r="N41" s="189">
        <f>+INDEX([1]DataEx!$1:$1048576,MATCH('2017'!$A41,[1]DataEx!$D:$D,0),MATCH('2017'!N$6,[1]DataEx!$7:$7,0))</f>
        <v>2480710.67</v>
      </c>
      <c r="O41" s="189">
        <f>+INDEX([1]DataEx!$1:$1048576,MATCH('2017'!$A41,[1]DataEx!$D:$D,0),MATCH('2017'!O$6,[1]DataEx!$7:$7,0))</f>
        <v>1700857.78</v>
      </c>
      <c r="P41" s="189">
        <f>+INDEX([1]DataEx!$1:$1048576,MATCH('2017'!$A41,[1]DataEx!$D:$D,0),MATCH('2017'!P$6,[1]DataEx!$7:$7,0))</f>
        <v>3540984.99</v>
      </c>
      <c r="Q41" s="189">
        <f>+INDEX([1]DataEx!$1:$1048576,MATCH('2017'!$A41,[1]DataEx!$D:$D,0),MATCH('2017'!Q$6,[1]DataEx!$7:$7,0))</f>
        <v>1800507.48</v>
      </c>
      <c r="R41" s="189">
        <f>+INDEX([1]DataEx!$1:$1048576,MATCH('2017'!$A41,[1]DataEx!$D:$D,0),MATCH('2017'!R$6,[1]DataEx!$7:$7,0))</f>
        <v>12879238.83</v>
      </c>
      <c r="S41" s="270">
        <f t="shared" si="3"/>
        <v>32419651.509999998</v>
      </c>
      <c r="T41" s="271">
        <f t="shared" si="4"/>
        <v>7.715107091692249E-3</v>
      </c>
    </row>
    <row r="42" spans="1:21">
      <c r="A42" s="176">
        <v>42</v>
      </c>
      <c r="B42" s="458" t="str">
        <f>+VLOOKUP($A42,[1]Master!$D$25:$G$223,4,FALSE)</f>
        <v>Transferi za socijalnu zaštitu</v>
      </c>
      <c r="C42" s="459"/>
      <c r="D42" s="459"/>
      <c r="E42" s="459"/>
      <c r="F42" s="459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46060225.379999995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45267241.289999999</v>
      </c>
      <c r="N42" s="219">
        <f t="shared" si="8"/>
        <v>42270056.32</v>
      </c>
      <c r="O42" s="219">
        <f t="shared" si="8"/>
        <v>44046758.639999993</v>
      </c>
      <c r="P42" s="219">
        <f t="shared" si="8"/>
        <v>44748876.500000007</v>
      </c>
      <c r="Q42" s="219">
        <f t="shared" si="8"/>
        <v>43633580.93999999</v>
      </c>
      <c r="R42" s="283">
        <f t="shared" si="8"/>
        <v>45149451.939999998</v>
      </c>
      <c r="S42" s="273">
        <f t="shared" si="3"/>
        <v>538050896.17999995</v>
      </c>
      <c r="T42" s="274">
        <f t="shared" si="4"/>
        <v>0.1280433345660503</v>
      </c>
    </row>
    <row r="43" spans="1:21">
      <c r="A43" s="176">
        <v>421</v>
      </c>
      <c r="B43" s="462" t="str">
        <f>+VLOOKUP($A43,[1]Master!$D$25:$G$223,4,FALSE)</f>
        <v>Prava iz oblasti socijalne zaštite</v>
      </c>
      <c r="C43" s="463"/>
      <c r="D43" s="463"/>
      <c r="E43" s="463"/>
      <c r="F43" s="463"/>
      <c r="G43" s="189">
        <f>+INDEX([1]DataEx!$1:$1048576,MATCH('2017'!$A43,[1]DataEx!$D:$D,0),MATCH('2017'!G$6,[1]DataEx!$7:$7,0))</f>
        <v>10235148.66</v>
      </c>
      <c r="H43" s="189">
        <f>+INDEX([1]DataEx!$1:$1048576,MATCH('2017'!$A43,[1]DataEx!$D:$D,0),MATCH('2017'!H$6,[1]DataEx!$7:$7,0))</f>
        <v>10418756.810000001</v>
      </c>
      <c r="I43" s="189">
        <f>+INDEX([1]DataEx!$1:$1048576,MATCH('2017'!$A43,[1]DataEx!$D:$D,0),MATCH('2017'!I$6,[1]DataEx!$7:$7,0))</f>
        <v>9027967.8599999994</v>
      </c>
      <c r="J43" s="189">
        <f>+INDEX([1]DataEx!$1:$1048576,MATCH('2017'!$A43,[1]DataEx!$D:$D,0),MATCH('2017'!J$6,[1]DataEx!$7:$7,0))</f>
        <v>9060292.8100000005</v>
      </c>
      <c r="K43" s="189">
        <f>+INDEX([1]DataEx!$1:$1048576,MATCH('2017'!$A43,[1]DataEx!$D:$D,0),MATCH('2017'!K$6,[1]DataEx!$7:$7,0))</f>
        <v>9323783.9399999995</v>
      </c>
      <c r="L43" s="189">
        <f>+INDEX([1]DataEx!$1:$1048576,MATCH('2017'!$A43,[1]DataEx!$D:$D,0),MATCH('2017'!L$6,[1]DataEx!$7:$7,0))</f>
        <v>9371948.4000000004</v>
      </c>
      <c r="M43" s="189">
        <f>+INDEX([1]DataEx!$1:$1048576,MATCH('2017'!$A43,[1]DataEx!$D:$D,0),MATCH('2017'!M$6,[1]DataEx!$7:$7,0))</f>
        <v>9055138.0800000001</v>
      </c>
      <c r="N43" s="189">
        <f>+INDEX([1]DataEx!$1:$1048576,MATCH('2017'!$A43,[1]DataEx!$D:$D,0),MATCH('2017'!N$6,[1]DataEx!$7:$7,0))</f>
        <v>5035876.3099999996</v>
      </c>
      <c r="O43" s="189">
        <f>+INDEX([1]DataEx!$1:$1048576,MATCH('2017'!$A43,[1]DataEx!$D:$D,0),MATCH('2017'!O$6,[1]DataEx!$7:$7,0))</f>
        <v>6564978.3200000003</v>
      </c>
      <c r="P43" s="189">
        <f>+INDEX([1]DataEx!$1:$1048576,MATCH('2017'!$A43,[1]DataEx!$D:$D,0),MATCH('2017'!P$6,[1]DataEx!$7:$7,0))</f>
        <v>7602969.7000000002</v>
      </c>
      <c r="Q43" s="189">
        <f>+INDEX([1]DataEx!$1:$1048576,MATCH('2017'!$A43,[1]DataEx!$D:$D,0),MATCH('2017'!Q$6,[1]DataEx!$7:$7,0))</f>
        <v>6324073.25</v>
      </c>
      <c r="R43" s="189">
        <f>+INDEX([1]DataEx!$1:$1048576,MATCH('2017'!$A43,[1]DataEx!$D:$D,0),MATCH('2017'!R$6,[1]DataEx!$7:$7,0))</f>
        <v>6683946.5800000001</v>
      </c>
      <c r="S43" s="270">
        <f t="shared" si="3"/>
        <v>98704880.719999999</v>
      </c>
      <c r="T43" s="271">
        <f t="shared" si="4"/>
        <v>2.3489417367506722E-2</v>
      </c>
    </row>
    <row r="44" spans="1:21">
      <c r="A44" s="176">
        <v>422</v>
      </c>
      <c r="B44" s="462" t="str">
        <f>+VLOOKUP($A44,[1]Master!$D$25:$G$223,4,FALSE)</f>
        <v>Sredstva za tehnološke viškove</v>
      </c>
      <c r="C44" s="463"/>
      <c r="D44" s="463"/>
      <c r="E44" s="463"/>
      <c r="F44" s="463"/>
      <c r="G44" s="189">
        <f>+INDEX([1]DataEx!$1:$1048576,MATCH('2017'!$A44,[1]DataEx!$D:$D,0),MATCH('2017'!G$6,[1]DataEx!$7:$7,0))</f>
        <v>173100.67</v>
      </c>
      <c r="H44" s="189">
        <f>+INDEX([1]DataEx!$1:$1048576,MATCH('2017'!$A44,[1]DataEx!$D:$D,0),MATCH('2017'!H$6,[1]DataEx!$7:$7,0))</f>
        <v>1036027.42</v>
      </c>
      <c r="I44" s="189">
        <f>+INDEX([1]DataEx!$1:$1048576,MATCH('2017'!$A44,[1]DataEx!$D:$D,0),MATCH('2017'!I$6,[1]DataEx!$7:$7,0))</f>
        <v>1054894.68</v>
      </c>
      <c r="J44" s="189">
        <f>+INDEX([1]DataEx!$1:$1048576,MATCH('2017'!$A44,[1]DataEx!$D:$D,0),MATCH('2017'!J$6,[1]DataEx!$7:$7,0))</f>
        <v>1150894.96</v>
      </c>
      <c r="K44" s="189">
        <f>+INDEX([1]DataEx!$1:$1048576,MATCH('2017'!$A44,[1]DataEx!$D:$D,0),MATCH('2017'!K$6,[1]DataEx!$7:$7,0))</f>
        <v>1082297.17</v>
      </c>
      <c r="L44" s="189">
        <f>+INDEX([1]DataEx!$1:$1048576,MATCH('2017'!$A44,[1]DataEx!$D:$D,0),MATCH('2017'!L$6,[1]DataEx!$7:$7,0))</f>
        <v>1038790.65</v>
      </c>
      <c r="M44" s="189">
        <f>+INDEX([1]DataEx!$1:$1048576,MATCH('2017'!$A44,[1]DataEx!$D:$D,0),MATCH('2017'!M$6,[1]DataEx!$7:$7,0))</f>
        <v>1069131.58</v>
      </c>
      <c r="N44" s="189">
        <f>+INDEX([1]DataEx!$1:$1048576,MATCH('2017'!$A44,[1]DataEx!$D:$D,0),MATCH('2017'!N$6,[1]DataEx!$7:$7,0))</f>
        <v>1024731.32</v>
      </c>
      <c r="O44" s="189">
        <f>+INDEX([1]DataEx!$1:$1048576,MATCH('2017'!$A44,[1]DataEx!$D:$D,0),MATCH('2017'!O$6,[1]DataEx!$7:$7,0))</f>
        <v>1115186.56</v>
      </c>
      <c r="P44" s="189">
        <f>+INDEX([1]DataEx!$1:$1048576,MATCH('2017'!$A44,[1]DataEx!$D:$D,0),MATCH('2017'!P$6,[1]DataEx!$7:$7,0))</f>
        <v>1056401.0900000001</v>
      </c>
      <c r="Q44" s="189">
        <f>+INDEX([1]DataEx!$1:$1048576,MATCH('2017'!$A44,[1]DataEx!$D:$D,0),MATCH('2017'!Q$6,[1]DataEx!$7:$7,0))</f>
        <v>1118494.9099999999</v>
      </c>
      <c r="R44" s="189">
        <f>+INDEX([1]DataEx!$1:$1048576,MATCH('2017'!$A44,[1]DataEx!$D:$D,0),MATCH('2017'!R$6,[1]DataEx!$7:$7,0))</f>
        <v>2048499.78</v>
      </c>
      <c r="S44" s="270">
        <f t="shared" si="3"/>
        <v>12968450.790000001</v>
      </c>
      <c r="T44" s="271">
        <f t="shared" si="4"/>
        <v>3.0861832869279646E-3</v>
      </c>
    </row>
    <row r="45" spans="1:21">
      <c r="A45" s="176">
        <v>423</v>
      </c>
      <c r="B45" s="462" t="str">
        <f>+VLOOKUP($A45,[1]Master!$D$25:$G$223,4,FALSE)</f>
        <v>Prava iz oblasti penzijskog i invalidskog osiguranja</v>
      </c>
      <c r="C45" s="463"/>
      <c r="D45" s="463"/>
      <c r="E45" s="463"/>
      <c r="F45" s="463"/>
      <c r="G45" s="189">
        <f>+INDEX([1]DataEx!$1:$1048576,MATCH('2017'!$A45,[1]DataEx!$D:$D,0),MATCH('2017'!G$6,[1]DataEx!$7:$7,0))</f>
        <v>32976338.859999999</v>
      </c>
      <c r="H45" s="189">
        <f>+INDEX([1]DataEx!$1:$1048576,MATCH('2017'!$A45,[1]DataEx!$D:$D,0),MATCH('2017'!H$6,[1]DataEx!$7:$7,0))</f>
        <v>33304068.809999999</v>
      </c>
      <c r="I45" s="189">
        <f>+INDEX([1]DataEx!$1:$1048576,MATCH('2017'!$A45,[1]DataEx!$D:$D,0),MATCH('2017'!I$6,[1]DataEx!$7:$7,0))</f>
        <v>33118374.059999999</v>
      </c>
      <c r="J45" s="189">
        <f>+INDEX([1]DataEx!$1:$1048576,MATCH('2017'!$A45,[1]DataEx!$D:$D,0),MATCH('2017'!J$6,[1]DataEx!$7:$7,0))</f>
        <v>33225573.780000001</v>
      </c>
      <c r="K45" s="189">
        <f>+INDEX([1]DataEx!$1:$1048576,MATCH('2017'!$A45,[1]DataEx!$D:$D,0),MATCH('2017'!K$6,[1]DataEx!$7:$7,0))</f>
        <v>33097965.640000001</v>
      </c>
      <c r="L45" s="189">
        <f>+INDEX([1]DataEx!$1:$1048576,MATCH('2017'!$A45,[1]DataEx!$D:$D,0),MATCH('2017'!L$6,[1]DataEx!$7:$7,0))</f>
        <v>32864422.489999998</v>
      </c>
      <c r="M45" s="189">
        <f>+INDEX([1]DataEx!$1:$1048576,MATCH('2017'!$A45,[1]DataEx!$D:$D,0),MATCH('2017'!M$6,[1]DataEx!$7:$7,0))</f>
        <v>32909306.579999998</v>
      </c>
      <c r="N45" s="189">
        <f>+INDEX([1]DataEx!$1:$1048576,MATCH('2017'!$A45,[1]DataEx!$D:$D,0),MATCH('2017'!N$6,[1]DataEx!$7:$7,0))</f>
        <v>34045532.219999999</v>
      </c>
      <c r="O45" s="189">
        <f>+INDEX([1]DataEx!$1:$1048576,MATCH('2017'!$A45,[1]DataEx!$D:$D,0),MATCH('2017'!O$6,[1]DataEx!$7:$7,0))</f>
        <v>33914885.549999997</v>
      </c>
      <c r="P45" s="189">
        <f>+INDEX([1]DataEx!$1:$1048576,MATCH('2017'!$A45,[1]DataEx!$D:$D,0),MATCH('2017'!P$6,[1]DataEx!$7:$7,0))</f>
        <v>33960607.270000003</v>
      </c>
      <c r="Q45" s="189">
        <f>+INDEX([1]DataEx!$1:$1048576,MATCH('2017'!$A45,[1]DataEx!$D:$D,0),MATCH('2017'!Q$6,[1]DataEx!$7:$7,0))</f>
        <v>33919324.859999999</v>
      </c>
      <c r="R45" s="189">
        <f>+INDEX([1]DataEx!$1:$1048576,MATCH('2017'!$A45,[1]DataEx!$D:$D,0),MATCH('2017'!R$6,[1]DataEx!$7:$7,0))</f>
        <v>33927498.649999999</v>
      </c>
      <c r="S45" s="270">
        <f t="shared" si="3"/>
        <v>401263898.76999998</v>
      </c>
      <c r="T45" s="271">
        <f t="shared" si="4"/>
        <v>9.5491277877727793E-2</v>
      </c>
    </row>
    <row r="46" spans="1:21">
      <c r="A46" s="176">
        <v>424</v>
      </c>
      <c r="B46" s="462" t="str">
        <f>+VLOOKUP($A46,[1]Master!$D$25:$G$223,4,FALSE)</f>
        <v>Ostala prava iz oblasti zdravstvene zaštite</v>
      </c>
      <c r="C46" s="463"/>
      <c r="D46" s="463"/>
      <c r="E46" s="463"/>
      <c r="F46" s="463"/>
      <c r="G46" s="189">
        <f>+INDEX([1]DataEx!$1:$1048576,MATCH('2017'!$A46,[1]DataEx!$D:$D,0),MATCH('2017'!G$6,[1]DataEx!$7:$7,0))</f>
        <v>202511.01</v>
      </c>
      <c r="H46" s="189">
        <f>+INDEX([1]DataEx!$1:$1048576,MATCH('2017'!$A46,[1]DataEx!$D:$D,0),MATCH('2017'!H$6,[1]DataEx!$7:$7,0))</f>
        <v>1122393.47</v>
      </c>
      <c r="I46" s="189">
        <f>+INDEX([1]DataEx!$1:$1048576,MATCH('2017'!$A46,[1]DataEx!$D:$D,0),MATCH('2017'!I$6,[1]DataEx!$7:$7,0))</f>
        <v>2105961.34</v>
      </c>
      <c r="J46" s="189">
        <f>+INDEX([1]DataEx!$1:$1048576,MATCH('2017'!$A46,[1]DataEx!$D:$D,0),MATCH('2017'!J$6,[1]DataEx!$7:$7,0))</f>
        <v>1278855.19</v>
      </c>
      <c r="K46" s="189">
        <f>+INDEX([1]DataEx!$1:$1048576,MATCH('2017'!$A46,[1]DataEx!$D:$D,0),MATCH('2017'!K$6,[1]DataEx!$7:$7,0))</f>
        <v>1134813.47</v>
      </c>
      <c r="L46" s="189">
        <f>+INDEX([1]DataEx!$1:$1048576,MATCH('2017'!$A46,[1]DataEx!$D:$D,0),MATCH('2017'!L$6,[1]DataEx!$7:$7,0))</f>
        <v>1335830.71</v>
      </c>
      <c r="M46" s="189">
        <f>+INDEX([1]DataEx!$1:$1048576,MATCH('2017'!$A46,[1]DataEx!$D:$D,0),MATCH('2017'!M$6,[1]DataEx!$7:$7,0))</f>
        <v>1666149.56</v>
      </c>
      <c r="N46" s="189">
        <f>+INDEX([1]DataEx!$1:$1048576,MATCH('2017'!$A46,[1]DataEx!$D:$D,0),MATCH('2017'!N$6,[1]DataEx!$7:$7,0))</f>
        <v>1463570.61</v>
      </c>
      <c r="O46" s="189">
        <f>+INDEX([1]DataEx!$1:$1048576,MATCH('2017'!$A46,[1]DataEx!$D:$D,0),MATCH('2017'!O$6,[1]DataEx!$7:$7,0))</f>
        <v>1518302.55</v>
      </c>
      <c r="P46" s="189">
        <f>+INDEX([1]DataEx!$1:$1048576,MATCH('2017'!$A46,[1]DataEx!$D:$D,0),MATCH('2017'!P$6,[1]DataEx!$7:$7,0))</f>
        <v>1424217.95</v>
      </c>
      <c r="Q46" s="189">
        <f>+INDEX([1]DataEx!$1:$1048576,MATCH('2017'!$A46,[1]DataEx!$D:$D,0),MATCH('2017'!Q$6,[1]DataEx!$7:$7,0))</f>
        <v>1512893.76</v>
      </c>
      <c r="R46" s="189">
        <f>+INDEX([1]DataEx!$1:$1048576,MATCH('2017'!$A46,[1]DataEx!$D:$D,0),MATCH('2017'!R$6,[1]DataEx!$7:$7,0))</f>
        <v>1723879.49</v>
      </c>
      <c r="S46" s="270">
        <f t="shared" si="3"/>
        <v>16489379.109999999</v>
      </c>
      <c r="T46" s="271">
        <f t="shared" si="4"/>
        <v>3.9240806049356276E-3</v>
      </c>
    </row>
    <row r="47" spans="1:21">
      <c r="A47" s="176">
        <v>425</v>
      </c>
      <c r="B47" s="462" t="str">
        <f>+VLOOKUP($A47,[1]Master!$D$25:$G$223,4,FALSE)</f>
        <v>Ostala prava iz zdravstvenog osiguranja</v>
      </c>
      <c r="C47" s="463"/>
      <c r="D47" s="463"/>
      <c r="E47" s="463"/>
      <c r="F47" s="463"/>
      <c r="G47" s="189">
        <f>+INDEX([1]DataEx!$1:$1048576,MATCH('2017'!$A47,[1]DataEx!$D:$D,0),MATCH('2017'!G$6,[1]DataEx!$7:$7,0))</f>
        <v>266542</v>
      </c>
      <c r="H47" s="189">
        <f>+INDEX([1]DataEx!$1:$1048576,MATCH('2017'!$A47,[1]DataEx!$D:$D,0),MATCH('2017'!H$6,[1]DataEx!$7:$7,0))</f>
        <v>813711.97</v>
      </c>
      <c r="I47" s="189">
        <f>+INDEX([1]DataEx!$1:$1048576,MATCH('2017'!$A47,[1]DataEx!$D:$D,0),MATCH('2017'!I$6,[1]DataEx!$7:$7,0))</f>
        <v>753027.44</v>
      </c>
      <c r="J47" s="189">
        <f>+INDEX([1]DataEx!$1:$1048576,MATCH('2017'!$A47,[1]DataEx!$D:$D,0),MATCH('2017'!J$6,[1]DataEx!$7:$7,0))</f>
        <v>524268.09</v>
      </c>
      <c r="K47" s="189">
        <f>+INDEX([1]DataEx!$1:$1048576,MATCH('2017'!$A47,[1]DataEx!$D:$D,0),MATCH('2017'!K$6,[1]DataEx!$7:$7,0))</f>
        <v>1044437.47</v>
      </c>
      <c r="L47" s="189">
        <f>+INDEX([1]DataEx!$1:$1048576,MATCH('2017'!$A47,[1]DataEx!$D:$D,0),MATCH('2017'!L$6,[1]DataEx!$7:$7,0))</f>
        <v>791930.72</v>
      </c>
      <c r="M47" s="189">
        <f>+INDEX([1]DataEx!$1:$1048576,MATCH('2017'!$A47,[1]DataEx!$D:$D,0),MATCH('2017'!M$6,[1]DataEx!$7:$7,0))</f>
        <v>567515.49</v>
      </c>
      <c r="N47" s="189">
        <f>+INDEX([1]DataEx!$1:$1048576,MATCH('2017'!$A47,[1]DataEx!$D:$D,0),MATCH('2017'!N$6,[1]DataEx!$7:$7,0))</f>
        <v>700345.86</v>
      </c>
      <c r="O47" s="189">
        <f>+INDEX([1]DataEx!$1:$1048576,MATCH('2017'!$A47,[1]DataEx!$D:$D,0),MATCH('2017'!O$6,[1]DataEx!$7:$7,0))</f>
        <v>933405.66</v>
      </c>
      <c r="P47" s="189">
        <f>+INDEX([1]DataEx!$1:$1048576,MATCH('2017'!$A47,[1]DataEx!$D:$D,0),MATCH('2017'!P$6,[1]DataEx!$7:$7,0))</f>
        <v>704680.49</v>
      </c>
      <c r="Q47" s="189">
        <f>+INDEX([1]DataEx!$1:$1048576,MATCH('2017'!$A47,[1]DataEx!$D:$D,0),MATCH('2017'!Q$6,[1]DataEx!$7:$7,0))</f>
        <v>758794.16</v>
      </c>
      <c r="R47" s="189">
        <f>+INDEX([1]DataEx!$1:$1048576,MATCH('2017'!$A47,[1]DataEx!$D:$D,0),MATCH('2017'!R$6,[1]DataEx!$7:$7,0))</f>
        <v>765627.44</v>
      </c>
      <c r="S47" s="270">
        <f t="shared" si="3"/>
        <v>8624286.790000001</v>
      </c>
      <c r="T47" s="271">
        <f t="shared" si="4"/>
        <v>2.052375428952191E-3</v>
      </c>
    </row>
    <row r="48" spans="1:21">
      <c r="A48" s="176">
        <v>43</v>
      </c>
      <c r="B48" s="460" t="str">
        <f>+VLOOKUP($A48,[1]Master!$D$25:$G$223,4,FALSE)</f>
        <v xml:space="preserve">Transferi institucijama, pojedincima, nevladinom i javnom sektoru </v>
      </c>
      <c r="C48" s="461"/>
      <c r="D48" s="461"/>
      <c r="E48" s="461"/>
      <c r="F48" s="461"/>
      <c r="G48" s="201">
        <f>+INDEX([1]DataEx!$1:$1048576,MATCH('2017'!$A48,[1]DataEx!$D:$D,0),MATCH('2017'!G$6,[1]DataEx!$7:$7,0))</f>
        <v>5367351.82</v>
      </c>
      <c r="H48" s="201">
        <f>+INDEX([1]DataEx!$1:$1048576,MATCH('2017'!$A48,[1]DataEx!$D:$D,0),MATCH('2017'!H$6,[1]DataEx!$7:$7,0))</f>
        <v>7878426.2999999998</v>
      </c>
      <c r="I48" s="201">
        <f>+INDEX([1]DataEx!$1:$1048576,MATCH('2017'!$A48,[1]DataEx!$D:$D,0),MATCH('2017'!I$6,[1]DataEx!$7:$7,0))</f>
        <v>12624632.02</v>
      </c>
      <c r="J48" s="201">
        <f>+INDEX([1]DataEx!$1:$1048576,MATCH('2017'!$A48,[1]DataEx!$D:$D,0),MATCH('2017'!J$6,[1]DataEx!$7:$7,0))</f>
        <v>15717196.880000001</v>
      </c>
      <c r="K48" s="201">
        <f>+INDEX([1]DataEx!$1:$1048576,MATCH('2017'!$A48,[1]DataEx!$D:$D,0),MATCH('2017'!K$6,[1]DataEx!$7:$7,0))</f>
        <v>10712461.529999999</v>
      </c>
      <c r="L48" s="201">
        <f>+INDEX([1]DataEx!$1:$1048576,MATCH('2017'!$A48,[1]DataEx!$D:$D,0),MATCH('2017'!L$6,[1]DataEx!$7:$7,0))</f>
        <v>13589172.92</v>
      </c>
      <c r="M48" s="201">
        <f>+INDEX([1]DataEx!$1:$1048576,MATCH('2017'!$A48,[1]DataEx!$D:$D,0),MATCH('2017'!M$6,[1]DataEx!$7:$7,0))</f>
        <v>17165199.760000002</v>
      </c>
      <c r="N48" s="201">
        <f>+INDEX([1]DataEx!$1:$1048576,MATCH('2017'!$A48,[1]DataEx!$D:$D,0),MATCH('2017'!N$6,[1]DataEx!$7:$7,0))</f>
        <v>15793377.119999999</v>
      </c>
      <c r="O48" s="201">
        <f>+INDEX([1]DataEx!$1:$1048576,MATCH('2017'!$A48,[1]DataEx!$D:$D,0),MATCH('2017'!O$6,[1]DataEx!$7:$7,0))</f>
        <v>13743974.02</v>
      </c>
      <c r="P48" s="201">
        <f>+INDEX([1]DataEx!$1:$1048576,MATCH('2017'!$A48,[1]DataEx!$D:$D,0),MATCH('2017'!P$6,[1]DataEx!$7:$7,0))</f>
        <v>13251144.24</v>
      </c>
      <c r="Q48" s="201">
        <f>+INDEX([1]DataEx!$1:$1048576,MATCH('2017'!$A48,[1]DataEx!$D:$D,0),MATCH('2017'!Q$6,[1]DataEx!$7:$7,0))</f>
        <v>11142113.050000001</v>
      </c>
      <c r="R48" s="275">
        <f>+INDEX([1]DataEx!$1:$1048576,MATCH('2017'!$A48,[1]DataEx!$D:$D,0),MATCH('2017'!R$6,[1]DataEx!$7:$7,0))</f>
        <v>29896675.100000001</v>
      </c>
      <c r="S48" s="273">
        <f t="shared" si="3"/>
        <v>166881724.75999999</v>
      </c>
      <c r="T48" s="274">
        <f t="shared" si="4"/>
        <v>3.9713887046952709E-2</v>
      </c>
    </row>
    <row r="49" spans="1:21">
      <c r="A49" s="176">
        <v>44</v>
      </c>
      <c r="B49" s="460" t="str">
        <f>+VLOOKUP($A49,[1]Master!$D$25:$G$223,4,FALSE)</f>
        <v>Kapitalni budžet</v>
      </c>
      <c r="C49" s="461"/>
      <c r="D49" s="461"/>
      <c r="E49" s="461"/>
      <c r="F49" s="461"/>
      <c r="G49" s="201">
        <f>+INDEX([1]DataEx!$1:$1048576,MATCH('2017'!$A49,[1]DataEx!$D:$D,0),MATCH('2017'!G$6,[1]DataEx!$7:$7,0))</f>
        <v>109644.44</v>
      </c>
      <c r="H49" s="201">
        <f>+INDEX([1]DataEx!$1:$1048576,MATCH('2017'!$A49,[1]DataEx!$D:$D,0),MATCH('2017'!H$6,[1]DataEx!$7:$7,0))</f>
        <v>1522597.04</v>
      </c>
      <c r="I49" s="201">
        <f>+INDEX([1]DataEx!$1:$1048576,MATCH('2017'!$A49,[1]DataEx!$D:$D,0),MATCH('2017'!I$6,[1]DataEx!$7:$7,0))</f>
        <v>8434786.5999999996</v>
      </c>
      <c r="J49" s="201">
        <f>+INDEX([1]DataEx!$1:$1048576,MATCH('2017'!$A49,[1]DataEx!$D:$D,0),MATCH('2017'!J$6,[1]DataEx!$7:$7,0))</f>
        <v>6918517.2599999998</v>
      </c>
      <c r="K49" s="201">
        <f>+INDEX([1]DataEx!$1:$1048576,MATCH('2017'!$A49,[1]DataEx!$D:$D,0),MATCH('2017'!K$6,[1]DataEx!$7:$7,0))</f>
        <v>2561374.17</v>
      </c>
      <c r="L49" s="201">
        <f>+INDEX([1]DataEx!$1:$1048576,MATCH('2017'!$A49,[1]DataEx!$D:$D,0),MATCH('2017'!L$6,[1]DataEx!$7:$7,0))</f>
        <v>25163803.16</v>
      </c>
      <c r="M49" s="201">
        <f>+INDEX([1]DataEx!$1:$1048576,MATCH('2017'!$A49,[1]DataEx!$D:$D,0),MATCH('2017'!M$6,[1]DataEx!$7:$7,0))</f>
        <v>10754440.220000001</v>
      </c>
      <c r="N49" s="201">
        <f>+INDEX([1]DataEx!$1:$1048576,MATCH('2017'!$A49,[1]DataEx!$D:$D,0),MATCH('2017'!N$6,[1]DataEx!$7:$7,0))</f>
        <v>29296079.120000001</v>
      </c>
      <c r="O49" s="201">
        <f>+INDEX([1]DataEx!$1:$1048576,MATCH('2017'!$A49,[1]DataEx!$D:$D,0),MATCH('2017'!O$6,[1]DataEx!$7:$7,0))</f>
        <v>19940301.670000002</v>
      </c>
      <c r="P49" s="201">
        <f>+INDEX([1]DataEx!$1:$1048576,MATCH('2017'!$A49,[1]DataEx!$D:$D,0),MATCH('2017'!P$6,[1]DataEx!$7:$7,0))</f>
        <v>29993285.289999999</v>
      </c>
      <c r="Q49" s="201">
        <f>+INDEX([1]DataEx!$1:$1048576,MATCH('2017'!$A49,[1]DataEx!$D:$D,0),MATCH('2017'!Q$6,[1]DataEx!$7:$7,0))</f>
        <v>37935759.630000003</v>
      </c>
      <c r="R49" s="201">
        <f>+INDEX([1]DataEx!$1:$1048576,MATCH('2017'!$A49,[1]DataEx!$D:$D,0),MATCH('2017'!R$6,[1]DataEx!$7:$7,0))</f>
        <v>82875761.950000003</v>
      </c>
      <c r="S49" s="273">
        <f t="shared" si="3"/>
        <v>255506350.55000001</v>
      </c>
      <c r="T49" s="274">
        <f t="shared" si="4"/>
        <v>6.0804443147473887E-2</v>
      </c>
    </row>
    <row r="50" spans="1:21">
      <c r="A50" s="176">
        <v>451</v>
      </c>
      <c r="B50" s="430" t="str">
        <f>+VLOOKUP($A50,[1]Master!$D$25:$G$223,4,FALSE)</f>
        <v>Pozajmice i krediti</v>
      </c>
      <c r="C50" s="431"/>
      <c r="D50" s="431"/>
      <c r="E50" s="431"/>
      <c r="F50" s="431"/>
      <c r="G50" s="189">
        <f>+INDEX([1]DataEx!$1:$1048576,MATCH('2017'!$A50,[1]DataEx!$D:$D,0),MATCH('2017'!G$6,[1]DataEx!$7:$7,0))</f>
        <v>0</v>
      </c>
      <c r="H50" s="189">
        <f>+INDEX([1]DataEx!$1:$1048576,MATCH('2017'!$A50,[1]DataEx!$D:$D,0),MATCH('2017'!H$6,[1]DataEx!$7:$7,0))</f>
        <v>285802</v>
      </c>
      <c r="I50" s="189">
        <f>+INDEX([1]DataEx!$1:$1048576,MATCH('2017'!$A50,[1]DataEx!$D:$D,0),MATCH('2017'!I$6,[1]DataEx!$7:$7,0))</f>
        <v>0</v>
      </c>
      <c r="J50" s="189">
        <f>+INDEX([1]DataEx!$1:$1048576,MATCH('2017'!$A50,[1]DataEx!$D:$D,0),MATCH('2017'!J$6,[1]DataEx!$7:$7,0))</f>
        <v>294172</v>
      </c>
      <c r="K50" s="189">
        <f>+INDEX([1]DataEx!$1:$1048576,MATCH('2017'!$A50,[1]DataEx!$D:$D,0),MATCH('2017'!K$6,[1]DataEx!$7:$7,0))</f>
        <v>40272</v>
      </c>
      <c r="L50" s="189">
        <f>+INDEX([1]DataEx!$1:$1048576,MATCH('2017'!$A50,[1]DataEx!$D:$D,0),MATCH('2017'!L$6,[1]DataEx!$7:$7,0))</f>
        <v>468970.67</v>
      </c>
      <c r="M50" s="189">
        <f>+INDEX([1]DataEx!$1:$1048576,MATCH('2017'!$A50,[1]DataEx!$D:$D,0),MATCH('2017'!M$6,[1]DataEx!$7:$7,0))</f>
        <v>0</v>
      </c>
      <c r="N50" s="189">
        <f>+INDEX([1]DataEx!$1:$1048576,MATCH('2017'!$A50,[1]DataEx!$D:$D,0),MATCH('2017'!N$6,[1]DataEx!$7:$7,0))</f>
        <v>40000</v>
      </c>
      <c r="O50" s="189">
        <f>+INDEX([1]DataEx!$1:$1048576,MATCH('2017'!$A50,[1]DataEx!$D:$D,0),MATCH('2017'!O$6,[1]DataEx!$7:$7,0))</f>
        <v>15000</v>
      </c>
      <c r="P50" s="189">
        <f>+INDEX([1]DataEx!$1:$1048576,MATCH('2017'!$A50,[1]DataEx!$D:$D,0),MATCH('2017'!P$6,[1]DataEx!$7:$7,0))</f>
        <v>691995.33</v>
      </c>
      <c r="Q50" s="189">
        <f>+INDEX([1]DataEx!$1:$1048576,MATCH('2017'!$A50,[1]DataEx!$D:$D,0),MATCH('2017'!Q$6,[1]DataEx!$7:$7,0))</f>
        <v>70920.759999999995</v>
      </c>
      <c r="R50" s="189">
        <f>+INDEX([1]DataEx!$1:$1048576,MATCH('2017'!$A50,[1]DataEx!$D:$D,0),MATCH('2017'!R$6,[1]DataEx!$7:$7,0))</f>
        <v>2950278</v>
      </c>
      <c r="S50" s="270">
        <f t="shared" si="3"/>
        <v>4857410.76</v>
      </c>
      <c r="T50" s="271">
        <f t="shared" si="4"/>
        <v>1.1559483972299564E-3</v>
      </c>
    </row>
    <row r="51" spans="1:21">
      <c r="A51" s="176">
        <v>47</v>
      </c>
      <c r="B51" s="430" t="str">
        <f>+VLOOKUP($A51,[1]Master!$D$25:$G$223,4,FALSE)</f>
        <v>Rezerve</v>
      </c>
      <c r="C51" s="431"/>
      <c r="D51" s="431"/>
      <c r="E51" s="431"/>
      <c r="F51" s="431"/>
      <c r="G51" s="189">
        <f>+INDEX([1]DataEx!$1:$1048576,MATCH('2017'!$A51,[1]DataEx!$D:$D,0),MATCH('2017'!G$6,[1]DataEx!$7:$7,0))</f>
        <v>5000</v>
      </c>
      <c r="H51" s="189">
        <f>+INDEX([1]DataEx!$1:$1048576,MATCH('2017'!$A51,[1]DataEx!$D:$D,0),MATCH('2017'!H$6,[1]DataEx!$7:$7,0))</f>
        <v>25400</v>
      </c>
      <c r="I51" s="189">
        <f>+INDEX([1]DataEx!$1:$1048576,MATCH('2017'!$A51,[1]DataEx!$D:$D,0),MATCH('2017'!I$6,[1]DataEx!$7:$7,0))</f>
        <v>493700</v>
      </c>
      <c r="J51" s="189">
        <f>+INDEX([1]DataEx!$1:$1048576,MATCH('2017'!$A51,[1]DataEx!$D:$D,0),MATCH('2017'!J$6,[1]DataEx!$7:$7,0))</f>
        <v>285897.84000000003</v>
      </c>
      <c r="K51" s="189">
        <f>+INDEX([1]DataEx!$1:$1048576,MATCH('2017'!$A51,[1]DataEx!$D:$D,0),MATCH('2017'!K$6,[1]DataEx!$7:$7,0))</f>
        <v>4315705.9400000004</v>
      </c>
      <c r="L51" s="189">
        <f>+INDEX([1]DataEx!$1:$1048576,MATCH('2017'!$A51,[1]DataEx!$D:$D,0),MATCH('2017'!L$6,[1]DataEx!$7:$7,0))</f>
        <v>1297104.97</v>
      </c>
      <c r="M51" s="189">
        <f>+INDEX([1]DataEx!$1:$1048576,MATCH('2017'!$A51,[1]DataEx!$D:$D,0),MATCH('2017'!M$6,[1]DataEx!$7:$7,0))</f>
        <v>826758.17</v>
      </c>
      <c r="N51" s="189">
        <f>+INDEX([1]DataEx!$1:$1048576,MATCH('2017'!$A51,[1]DataEx!$D:$D,0),MATCH('2017'!N$6,[1]DataEx!$7:$7,0))</f>
        <v>1509270</v>
      </c>
      <c r="O51" s="189">
        <f>+INDEX([1]DataEx!$1:$1048576,MATCH('2017'!$A51,[1]DataEx!$D:$D,0),MATCH('2017'!O$6,[1]DataEx!$7:$7,0))</f>
        <v>1178123.47</v>
      </c>
      <c r="P51" s="189">
        <f>+INDEX([1]DataEx!$1:$1048576,MATCH('2017'!$A51,[1]DataEx!$D:$D,0),MATCH('2017'!P$6,[1]DataEx!$7:$7,0))</f>
        <v>4740919.33</v>
      </c>
      <c r="Q51" s="189">
        <f>+INDEX([1]DataEx!$1:$1048576,MATCH('2017'!$A51,[1]DataEx!$D:$D,0),MATCH('2017'!Q$6,[1]DataEx!$7:$7,0))</f>
        <v>1360299.94</v>
      </c>
      <c r="R51" s="189">
        <f>+INDEX([1]DataEx!$1:$1048576,MATCH('2017'!$A51,[1]DataEx!$D:$D,0),MATCH('2017'!R$6,[1]DataEx!$7:$7,0))</f>
        <v>3645650.27</v>
      </c>
      <c r="S51" s="270">
        <f t="shared" si="3"/>
        <v>19683829.93</v>
      </c>
      <c r="T51" s="271">
        <f t="shared" si="4"/>
        <v>4.6842840317936271E-3</v>
      </c>
    </row>
    <row r="52" spans="1:21" ht="13.5" thickBot="1">
      <c r="A52" s="176">
        <v>462</v>
      </c>
      <c r="B52" s="448" t="str">
        <f>+VLOOKUP($A52,[1]Master!$D$25:$G$223,4,FALSE)</f>
        <v>Otplata garancija</v>
      </c>
      <c r="C52" s="449"/>
      <c r="D52" s="449"/>
      <c r="E52" s="449"/>
      <c r="F52" s="449"/>
      <c r="G52" s="225">
        <f>+INDEX([1]DataEx!$1:$1048576,MATCH('2017'!$A52,[1]DataEx!$D:$D,0),MATCH('2017'!G$6,[1]DataEx!$7:$7,0))</f>
        <v>0</v>
      </c>
      <c r="H52" s="225">
        <f>+INDEX([1]DataEx!$1:$1048576,MATCH('2017'!$A52,[1]DataEx!$D:$D,0),MATCH('2017'!H$6,[1]DataEx!$7:$7,0))</f>
        <v>0</v>
      </c>
      <c r="I52" s="225">
        <f>+INDEX([1]DataEx!$1:$1048576,MATCH('2017'!$A52,[1]DataEx!$D:$D,0),MATCH('2017'!I$6,[1]DataEx!$7:$7,0))</f>
        <v>0</v>
      </c>
      <c r="J52" s="225">
        <f>+INDEX([1]DataEx!$1:$1048576,MATCH('2017'!$A52,[1]DataEx!$D:$D,0),MATCH('2017'!J$6,[1]DataEx!$7:$7,0))</f>
        <v>0</v>
      </c>
      <c r="K52" s="225">
        <f>+INDEX([1]DataEx!$1:$1048576,MATCH('2017'!$A52,[1]DataEx!$D:$D,0),MATCH('2017'!K$6,[1]DataEx!$7:$7,0))</f>
        <v>0</v>
      </c>
      <c r="L52" s="225">
        <f>+INDEX([1]DataEx!$1:$1048576,MATCH('2017'!$A52,[1]DataEx!$D:$D,0),MATCH('2017'!L$6,[1]DataEx!$7:$7,0))</f>
        <v>0</v>
      </c>
      <c r="M52" s="225">
        <f>+INDEX([1]DataEx!$1:$1048576,MATCH('2017'!$A52,[1]DataEx!$D:$D,0),MATCH('2017'!M$6,[1]DataEx!$7:$7,0))</f>
        <v>0</v>
      </c>
      <c r="N52" s="225">
        <f>+INDEX([1]DataEx!$1:$1048576,MATCH('2017'!$A52,[1]DataEx!$D:$D,0),MATCH('2017'!N$6,[1]DataEx!$7:$7,0))</f>
        <v>0</v>
      </c>
      <c r="O52" s="225">
        <f>+INDEX([1]DataEx!$1:$1048576,MATCH('2017'!$A52,[1]DataEx!$D:$D,0),MATCH('2017'!O$6,[1]DataEx!$7:$7,0))</f>
        <v>0</v>
      </c>
      <c r="P52" s="225">
        <f>+INDEX([1]DataEx!$1:$1048576,MATCH('2017'!$A52,[1]DataEx!$D:$D,0),MATCH('2017'!P$6,[1]DataEx!$7:$7,0))</f>
        <v>0</v>
      </c>
      <c r="Q52" s="225">
        <f>+INDEX([1]DataEx!$1:$1048576,MATCH('2017'!$A52,[1]DataEx!$D:$D,0),MATCH('2017'!Q$6,[1]DataEx!$7:$7,0))</f>
        <v>0</v>
      </c>
      <c r="R52" s="225">
        <f>+INDEX([1]DataEx!$1:$1048576,MATCH('2017'!$A52,[1]DataEx!$D:$D,0),MATCH('2017'!R$6,[1]DataEx!$7:$7,0))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1" ht="13.5" thickBot="1">
      <c r="A53" s="170">
        <v>4630</v>
      </c>
      <c r="B53" s="448" t="str">
        <f>+VLOOKUP($A53,[1]Master!$D$25:$G$223,4,TRUE)</f>
        <v>Otplata obaveza iz prethodnih godina</v>
      </c>
      <c r="C53" s="449"/>
      <c r="D53" s="449"/>
      <c r="E53" s="449"/>
      <c r="F53" s="449"/>
      <c r="G53" s="225">
        <f>+INDEX([1]DataEx!$1:$1048576,MATCH('2017'!$A53,[1]DataEx!$D:$D,0),MATCH('2017'!G$6,[1]DataEx!$7:$7,0))</f>
        <v>2184051.7200000002</v>
      </c>
      <c r="H53" s="225">
        <f>+INDEX([1]DataEx!$1:$1048576,MATCH('2017'!$A53,[1]DataEx!$D:$D,0),MATCH('2017'!H$6,[1]DataEx!$7:$7,0))</f>
        <v>1764900.98</v>
      </c>
      <c r="I53" s="225">
        <f>+INDEX([1]DataEx!$1:$1048576,MATCH('2017'!$A53,[1]DataEx!$D:$D,0),MATCH('2017'!I$6,[1]DataEx!$7:$7,0))</f>
        <v>2883254.52</v>
      </c>
      <c r="J53" s="225">
        <f>+INDEX([1]DataEx!$1:$1048576,MATCH('2017'!$A53,[1]DataEx!$D:$D,0),MATCH('2017'!J$6,[1]DataEx!$7:$7,0))</f>
        <v>1767565.23</v>
      </c>
      <c r="K53" s="225">
        <f>+INDEX([1]DataEx!$1:$1048576,MATCH('2017'!$A53,[1]DataEx!$D:$D,0),MATCH('2017'!K$6,[1]DataEx!$7:$7,0))</f>
        <v>1819114.92</v>
      </c>
      <c r="L53" s="225">
        <f>+INDEX([1]DataEx!$1:$1048576,MATCH('2017'!$A53,[1]DataEx!$D:$D,0),MATCH('2017'!L$6,[1]DataEx!$7:$7,0))</f>
        <v>3273831.52</v>
      </c>
      <c r="M53" s="225">
        <f>+INDEX([1]DataEx!$1:$1048576,MATCH('2017'!$A53,[1]DataEx!$D:$D,0),MATCH('2017'!M$6,[1]DataEx!$7:$7,0))</f>
        <v>12593149</v>
      </c>
      <c r="N53" s="225">
        <f>+INDEX([1]DataEx!$1:$1048576,MATCH('2017'!$A53,[1]DataEx!$D:$D,0),MATCH('2017'!N$6,[1]DataEx!$7:$7,0))</f>
        <v>3919363.28</v>
      </c>
      <c r="O53" s="225">
        <f>+INDEX([1]DataEx!$1:$1048576,MATCH('2017'!$A53,[1]DataEx!$D:$D,0),MATCH('2017'!O$6,[1]DataEx!$7:$7,0))</f>
        <v>2388146.7200000002</v>
      </c>
      <c r="P53" s="225">
        <f>+INDEX([1]DataEx!$1:$1048576,MATCH('2017'!$A53,[1]DataEx!$D:$D,0),MATCH('2017'!P$6,[1]DataEx!$7:$7,0))</f>
        <v>2862908.84</v>
      </c>
      <c r="Q53" s="225">
        <f>+INDEX([1]DataEx!$1:$1048576,MATCH('2017'!$A53,[1]DataEx!$D:$D,0),MATCH('2017'!Q$6,[1]DataEx!$7:$7,0))</f>
        <v>2620351.65</v>
      </c>
      <c r="R53" s="225">
        <f>+INDEX([1]DataEx!$1:$1048576,MATCH('2017'!$A53,[1]DataEx!$D:$D,0),MATCH('2017'!R$6,[1]DataEx!$7:$7,0))</f>
        <v>1884186.27</v>
      </c>
      <c r="S53" s="284">
        <f>+SUM(G53:R53)</f>
        <v>39960824.650000006</v>
      </c>
      <c r="T53" s="285">
        <f>+S53/$T$7</f>
        <v>9.5097271959258475E-3</v>
      </c>
    </row>
    <row r="54" spans="1:21" ht="13.5" thickBot="1">
      <c r="A54" s="71">
        <v>1005</v>
      </c>
      <c r="B54" s="482" t="str">
        <f>+VLOOKUP($A54,[1]Master!$D$25:$G$225,4,FALSE)</f>
        <v>Neto povećanje obaveza</v>
      </c>
      <c r="C54" s="483"/>
      <c r="D54" s="483"/>
      <c r="E54" s="483"/>
      <c r="F54" s="483"/>
      <c r="G54" s="99">
        <f>+INDEX([1]DataEx!$1:$1048576,MATCH('2017'!$A54,[1]DataEx!$D:$D,0),MATCH('2017'!G$6,[1]DataEx!$7:$7,0))</f>
        <v>0</v>
      </c>
      <c r="H54" s="99">
        <f>+INDEX([1]DataEx!$1:$1048576,MATCH('2017'!$A54,[1]DataEx!$D:$D,0),MATCH('2017'!H$6,[1]DataEx!$7:$7,0))</f>
        <v>0</v>
      </c>
      <c r="I54" s="99">
        <f>+INDEX([1]DataEx!$1:$1048576,MATCH('2017'!$A54,[1]DataEx!$D:$D,0),MATCH('2017'!I$6,[1]DataEx!$7:$7,0))</f>
        <v>0</v>
      </c>
      <c r="J54" s="99">
        <f>+INDEX([1]DataEx!$1:$1048576,MATCH('2017'!$A54,[1]DataEx!$D:$D,0),MATCH('2017'!J$6,[1]DataEx!$7:$7,0))</f>
        <v>0</v>
      </c>
      <c r="K54" s="99">
        <f>+INDEX([1]DataEx!$1:$1048576,MATCH('2017'!$A54,[1]DataEx!$D:$D,0),MATCH('2017'!K$6,[1]DataEx!$7:$7,0))</f>
        <v>0</v>
      </c>
      <c r="L54" s="99">
        <f>+INDEX([1]DataEx!$1:$1048576,MATCH('2017'!$A54,[1]DataEx!$D:$D,0),MATCH('2017'!L$6,[1]DataEx!$7:$7,0))</f>
        <v>0</v>
      </c>
      <c r="M54" s="99">
        <f>+INDEX([1]DataEx!$1:$1048576,MATCH('2017'!$A54,[1]DataEx!$D:$D,0),MATCH('2017'!M$6,[1]DataEx!$7:$7,0))</f>
        <v>0</v>
      </c>
      <c r="N54" s="99">
        <f>+INDEX([1]DataEx!$1:$1048576,MATCH('2017'!$A54,[1]DataEx!$D:$D,0),MATCH('2017'!N$6,[1]DataEx!$7:$7,0))</f>
        <v>0</v>
      </c>
      <c r="O54" s="99">
        <f>+INDEX([1]DataEx!$1:$1048576,MATCH('2017'!$A54,[1]DataEx!$D:$D,0),MATCH('2017'!O$6,[1]DataEx!$7:$7,0))</f>
        <v>0</v>
      </c>
      <c r="P54" s="99">
        <f>+INDEX([1]DataEx!$1:$1048576,MATCH('2017'!$A54,[1]DataEx!$D:$D,0),MATCH('2017'!P$6,[1]DataEx!$7:$7,0))</f>
        <v>0</v>
      </c>
      <c r="Q54" s="99">
        <f>+INDEX([1]DataEx!$1:$1048576,MATCH('2017'!$A54,[1]DataEx!$D:$D,0),MATCH('2017'!Q$6,[1]DataEx!$7:$7,0))</f>
        <v>0</v>
      </c>
      <c r="R54" s="99">
        <f>+INDEX([1]DataEx!$1:$1048576,MATCH('2017'!$A54,[1]DataEx!$D:$D,0),MATCH('2017'!R$6,[1]DataEx!$7:$7,0))</f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54" t="str">
        <f>+VLOOKUP($A55,[1]Master!$D$25:$G$223,4,FALSE)</f>
        <v>Suficit / deficit</v>
      </c>
      <c r="C55" s="455"/>
      <c r="D55" s="455"/>
      <c r="E55" s="455"/>
      <c r="F55" s="455"/>
      <c r="G55" s="177">
        <f t="shared" ref="G55:R55" si="9">+G10-G29</f>
        <v>-21529911.37999998</v>
      </c>
      <c r="H55" s="177">
        <f t="shared" si="9"/>
        <v>-17782213.969999969</v>
      </c>
      <c r="I55" s="177">
        <f t="shared" si="9"/>
        <v>-31232224.25</v>
      </c>
      <c r="J55" s="177">
        <f t="shared" si="9"/>
        <v>-16288779.5</v>
      </c>
      <c r="K55" s="177">
        <f t="shared" si="9"/>
        <v>-4216304.130000025</v>
      </c>
      <c r="L55" s="177">
        <f t="shared" si="9"/>
        <v>-14086747.659999996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1177428.6900000274</v>
      </c>
      <c r="P55" s="177">
        <f t="shared" si="9"/>
        <v>-17909849.660000026</v>
      </c>
      <c r="Q55" s="177">
        <f t="shared" si="9"/>
        <v>-31817357.449999988</v>
      </c>
      <c r="R55" s="177">
        <f t="shared" si="9"/>
        <v>-85189145.039999962</v>
      </c>
      <c r="S55" s="286">
        <f t="shared" si="3"/>
        <v>-237630909.56999993</v>
      </c>
      <c r="T55" s="287">
        <f t="shared" si="4"/>
        <v>-5.6550512736488881E-2</v>
      </c>
    </row>
    <row r="56" spans="1:21" ht="13.5" thickBot="1">
      <c r="A56" s="170">
        <v>1001</v>
      </c>
      <c r="B56" s="456" t="str">
        <f>+VLOOKUP($A56,[1]Master!$D$25:$G$223,4,FALSE)</f>
        <v>Primarni bilans</v>
      </c>
      <c r="C56" s="457"/>
      <c r="D56" s="457"/>
      <c r="E56" s="457"/>
      <c r="F56" s="457"/>
      <c r="G56" s="231">
        <f>+G55+G37</f>
        <v>-18300190.479999982</v>
      </c>
      <c r="H56" s="231">
        <f t="shared" ref="H56:R56" si="10">+H55+H37</f>
        <v>-16676565.559999969</v>
      </c>
      <c r="I56" s="231">
        <f t="shared" si="10"/>
        <v>8118445.9099999964</v>
      </c>
      <c r="J56" s="231">
        <f t="shared" si="10"/>
        <v>2070888.3599999994</v>
      </c>
      <c r="K56" s="231">
        <f t="shared" si="10"/>
        <v>12131176.939999975</v>
      </c>
      <c r="L56" s="231">
        <f t="shared" si="10"/>
        <v>-11566839.899999997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3194123.8400000273</v>
      </c>
      <c r="P56" s="231">
        <f t="shared" si="10"/>
        <v>-16170708.670000026</v>
      </c>
      <c r="Q56" s="231">
        <f t="shared" si="10"/>
        <v>-27898730.61999999</v>
      </c>
      <c r="R56" s="231">
        <f t="shared" si="10"/>
        <v>-82895762.709999964</v>
      </c>
      <c r="S56" s="286">
        <f t="shared" si="3"/>
        <v>-138925530.98999995</v>
      </c>
      <c r="T56" s="287">
        <f t="shared" si="4"/>
        <v>-3.3060976890126353E-2</v>
      </c>
    </row>
    <row r="57" spans="1:21">
      <c r="A57" s="170">
        <v>46</v>
      </c>
      <c r="B57" s="458" t="str">
        <f>+VLOOKUP($A57,[1]Master!$D$25:$G$223,4,FALSE)</f>
        <v>Otplata dugova</v>
      </c>
      <c r="C57" s="459"/>
      <c r="D57" s="459"/>
      <c r="E57" s="459"/>
      <c r="F57" s="459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68410518.010000005</v>
      </c>
      <c r="O57" s="219">
        <f t="shared" si="11"/>
        <v>13074495.76</v>
      </c>
      <c r="P57" s="219">
        <f t="shared" si="11"/>
        <v>7199515.9700000007</v>
      </c>
      <c r="Q57" s="219">
        <f t="shared" si="11"/>
        <v>7022219.0999999996</v>
      </c>
      <c r="R57" s="219">
        <f t="shared" si="11"/>
        <v>28772200.979999997</v>
      </c>
      <c r="S57" s="288">
        <f t="shared" si="3"/>
        <v>358600568.85000002</v>
      </c>
      <c r="T57" s="289">
        <f t="shared" si="4"/>
        <v>8.5338418612122519E-2</v>
      </c>
    </row>
    <row r="58" spans="1:21">
      <c r="A58" s="170">
        <v>4611</v>
      </c>
      <c r="B58" s="446" t="str">
        <f>+VLOOKUP($A58,[1]Master!$D$25:$G$223,4,FALSE)</f>
        <v>Otplata hartija od vrijednosti i kredita rezidentima</v>
      </c>
      <c r="C58" s="447"/>
      <c r="D58" s="447"/>
      <c r="E58" s="447"/>
      <c r="F58" s="447"/>
      <c r="G58" s="237">
        <f>+INDEX([1]DataEx!$1:$1048576,MATCH('2017'!$A58,[1]DataEx!$D:$D,0),MATCH('2017'!G$6,[1]DataEx!$7:$7,0))</f>
        <v>16509330.02</v>
      </c>
      <c r="H58" s="237">
        <f>+INDEX([1]DataEx!$1:$1048576,MATCH('2017'!$A58,[1]DataEx!$D:$D,0),MATCH('2017'!H$6,[1]DataEx!$7:$7,0))</f>
        <v>40459986.270000003</v>
      </c>
      <c r="I58" s="237">
        <f>+INDEX([1]DataEx!$1:$1048576,MATCH('2017'!$A58,[1]DataEx!$D:$D,0),MATCH('2017'!I$6,[1]DataEx!$7:$7,0))</f>
        <v>28547623.149999999</v>
      </c>
      <c r="J58" s="237">
        <f>+INDEX([1]DataEx!$1:$1048576,MATCH('2017'!$A58,[1]DataEx!$D:$D,0),MATCH('2017'!J$6,[1]DataEx!$7:$7,0))</f>
        <v>111178.77</v>
      </c>
      <c r="K58" s="237">
        <f>+INDEX([1]DataEx!$1:$1048576,MATCH('2017'!$A58,[1]DataEx!$D:$D,0),MATCH('2017'!K$6,[1]DataEx!$7:$7,0))</f>
        <v>861846.67</v>
      </c>
      <c r="L58" s="237">
        <f>+INDEX([1]DataEx!$1:$1048576,MATCH('2017'!$A58,[1]DataEx!$D:$D,0),MATCH('2017'!L$6,[1]DataEx!$7:$7,0))</f>
        <v>18678429.690000001</v>
      </c>
      <c r="M58" s="237">
        <f>+INDEX([1]DataEx!$1:$1048576,MATCH('2017'!$A58,[1]DataEx!$D:$D,0),MATCH('2017'!M$6,[1]DataEx!$7:$7,0))</f>
        <v>25930516.890000001</v>
      </c>
      <c r="N58" s="237">
        <f>+INDEX([1]DataEx!$1:$1048576,MATCH('2017'!$A58,[1]DataEx!$D:$D,0),MATCH('2017'!N$6,[1]DataEx!$7:$7,0))</f>
        <v>65870871.859999999</v>
      </c>
      <c r="O58" s="237">
        <f>+INDEX([1]DataEx!$1:$1048576,MATCH('2017'!$A58,[1]DataEx!$D:$D,0),MATCH('2017'!O$6,[1]DataEx!$7:$7,0))</f>
        <v>8684013.8599999994</v>
      </c>
      <c r="P58" s="237">
        <f>+INDEX([1]DataEx!$1:$1048576,MATCH('2017'!$A58,[1]DataEx!$D:$D,0),MATCH('2017'!P$6,[1]DataEx!$7:$7,0))</f>
        <v>2314998.5699999998</v>
      </c>
      <c r="Q58" s="237">
        <f>+INDEX([1]DataEx!$1:$1048576,MATCH('2017'!$A58,[1]DataEx!$D:$D,0),MATCH('2017'!Q$6,[1]DataEx!$7:$7,0))</f>
        <v>865501.84</v>
      </c>
      <c r="R58" s="237">
        <f>+INDEX([1]DataEx!$1:$1048576,MATCH('2017'!$A58,[1]DataEx!$D:$D,0),MATCH('2017'!R$6,[1]DataEx!$7:$7,0))</f>
        <v>17178358.239999998</v>
      </c>
      <c r="S58" s="290">
        <f t="shared" si="3"/>
        <v>226012655.83000001</v>
      </c>
      <c r="T58" s="291">
        <f t="shared" si="4"/>
        <v>5.3785644280240838E-2</v>
      </c>
    </row>
    <row r="59" spans="1:21" ht="13.5" thickBot="1">
      <c r="A59" s="170">
        <v>4612</v>
      </c>
      <c r="B59" s="430" t="str">
        <f>+VLOOKUP($A59,[1]Master!$D$25:$G$223,4,FALSE)</f>
        <v>Otplata hartija od vrijednosti i kredita nerezidentima</v>
      </c>
      <c r="C59" s="431"/>
      <c r="D59" s="431"/>
      <c r="E59" s="431"/>
      <c r="F59" s="431"/>
      <c r="G59" s="237">
        <f>+INDEX([1]DataEx!$1:$1048576,MATCH('2017'!$A59,[1]DataEx!$D:$D,0),MATCH('2017'!G$6,[1]DataEx!$7:$7,0))</f>
        <v>1802308.17</v>
      </c>
      <c r="H59" s="237">
        <f>+INDEX([1]DataEx!$1:$1048576,MATCH('2017'!$A59,[1]DataEx!$D:$D,0),MATCH('2017'!H$6,[1]DataEx!$7:$7,0))</f>
        <v>1892608.13</v>
      </c>
      <c r="I59" s="237">
        <f>+INDEX([1]DataEx!$1:$1048576,MATCH('2017'!$A59,[1]DataEx!$D:$D,0),MATCH('2017'!I$6,[1]DataEx!$7:$7,0))</f>
        <v>7944436.3899999997</v>
      </c>
      <c r="J59" s="237">
        <f>+INDEX([1]DataEx!$1:$1048576,MATCH('2017'!$A59,[1]DataEx!$D:$D,0),MATCH('2017'!J$6,[1]DataEx!$7:$7,0))</f>
        <v>65321070.240000002</v>
      </c>
      <c r="K59" s="237">
        <f>+INDEX([1]DataEx!$1:$1048576,MATCH('2017'!$A59,[1]DataEx!$D:$D,0),MATCH('2017'!K$6,[1]DataEx!$7:$7,0))</f>
        <v>5208332.1500000004</v>
      </c>
      <c r="L59" s="237">
        <f>+INDEX([1]DataEx!$1:$1048576,MATCH('2017'!$A59,[1]DataEx!$D:$D,0),MATCH('2017'!L$6,[1]DataEx!$7:$7,0))</f>
        <v>11220533.199999999</v>
      </c>
      <c r="M59" s="237">
        <f>+INDEX([1]DataEx!$1:$1048576,MATCH('2017'!$A59,[1]DataEx!$D:$D,0),MATCH('2017'!M$6,[1]DataEx!$7:$7,0))</f>
        <v>9633419.2899999991</v>
      </c>
      <c r="N59" s="237">
        <f>+INDEX([1]DataEx!$1:$1048576,MATCH('2017'!$A59,[1]DataEx!$D:$D,0),MATCH('2017'!N$6,[1]DataEx!$7:$7,0))</f>
        <v>2539646.15</v>
      </c>
      <c r="O59" s="237">
        <f>+INDEX([1]DataEx!$1:$1048576,MATCH('2017'!$A59,[1]DataEx!$D:$D,0),MATCH('2017'!O$6,[1]DataEx!$7:$7,0))</f>
        <v>4390481.9000000004</v>
      </c>
      <c r="P59" s="237">
        <f>+INDEX([1]DataEx!$1:$1048576,MATCH('2017'!$A59,[1]DataEx!$D:$D,0),MATCH('2017'!P$6,[1]DataEx!$7:$7,0))</f>
        <v>4884517.4000000004</v>
      </c>
      <c r="Q59" s="237">
        <f>+INDEX([1]DataEx!$1:$1048576,MATCH('2017'!$A59,[1]DataEx!$D:$D,0),MATCH('2017'!Q$6,[1]DataEx!$7:$7,0))</f>
        <v>6156717.2599999998</v>
      </c>
      <c r="R59" s="237">
        <f>+INDEX([1]DataEx!$1:$1048576,MATCH('2017'!$A59,[1]DataEx!$D:$D,0),MATCH('2017'!R$6,[1]DataEx!$7:$7,0))</f>
        <v>11593842.74</v>
      </c>
      <c r="S59" s="270">
        <f t="shared" si="3"/>
        <v>132587913.02000004</v>
      </c>
      <c r="T59" s="291">
        <f t="shared" si="4"/>
        <v>3.1552774331881688E-2</v>
      </c>
    </row>
    <row r="60" spans="1:21" ht="13.5" thickBot="1">
      <c r="A60" s="170">
        <v>1002</v>
      </c>
      <c r="B60" s="450" t="str">
        <f>+VLOOKUP($A60,[1]Master!$D$25:$G$223,4,FALSE)</f>
        <v>Nedostajuća sredstva</v>
      </c>
      <c r="C60" s="451"/>
      <c r="D60" s="451"/>
      <c r="E60" s="451"/>
      <c r="F60" s="451"/>
      <c r="G60" s="243">
        <f t="shared" ref="G60:R60" si="12">+G55-G57</f>
        <v>-39841549.569999978</v>
      </c>
      <c r="H60" s="243">
        <f t="shared" si="12"/>
        <v>-60134808.369999975</v>
      </c>
      <c r="I60" s="243">
        <f t="shared" si="12"/>
        <v>-67724283.789999992</v>
      </c>
      <c r="J60" s="243">
        <f t="shared" si="12"/>
        <v>-81721028.510000005</v>
      </c>
      <c r="K60" s="243">
        <f t="shared" si="12"/>
        <v>-10286482.950000025</v>
      </c>
      <c r="L60" s="243">
        <f t="shared" si="12"/>
        <v>-43985710.549999997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-11897067.069999972</v>
      </c>
      <c r="P60" s="243">
        <f t="shared" si="12"/>
        <v>-25109365.630000025</v>
      </c>
      <c r="Q60" s="243">
        <f t="shared" si="12"/>
        <v>-38839576.54999999</v>
      </c>
      <c r="R60" s="243">
        <f t="shared" si="12"/>
        <v>-113961346.01999995</v>
      </c>
      <c r="S60" s="292">
        <f t="shared" si="3"/>
        <v>-596231478.41999996</v>
      </c>
      <c r="T60" s="293">
        <f t="shared" si="4"/>
        <v>-0.14188893134861139</v>
      </c>
    </row>
    <row r="61" spans="1:21" ht="13.5" thickBot="1">
      <c r="A61" s="170">
        <v>1003</v>
      </c>
      <c r="B61" s="452" t="str">
        <f>+VLOOKUP($A61,[1]Master!$D$25:$G$223,4,FALSE)</f>
        <v>Finansiranje</v>
      </c>
      <c r="C61" s="453"/>
      <c r="D61" s="453"/>
      <c r="E61" s="453"/>
      <c r="F61" s="453"/>
      <c r="G61" s="177">
        <f>+SUM(G62:G65)</f>
        <v>39841549.569999978</v>
      </c>
      <c r="H61" s="177">
        <f t="shared" ref="H61:R61" si="13">+SUM(H62:H65)</f>
        <v>60134808.369999975</v>
      </c>
      <c r="I61" s="177">
        <f t="shared" si="13"/>
        <v>67724283.789999992</v>
      </c>
      <c r="J61" s="177">
        <f t="shared" si="13"/>
        <v>81721028.510000005</v>
      </c>
      <c r="K61" s="177">
        <f t="shared" si="13"/>
        <v>10286482.950000025</v>
      </c>
      <c r="L61" s="177">
        <f t="shared" si="13"/>
        <v>43985710.549999997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11897067.06999997</v>
      </c>
      <c r="P61" s="177">
        <f t="shared" si="13"/>
        <v>25109365.630000025</v>
      </c>
      <c r="Q61" s="177">
        <f t="shared" si="13"/>
        <v>38839576.54999999</v>
      </c>
      <c r="R61" s="177">
        <f t="shared" si="13"/>
        <v>113961346.01999995</v>
      </c>
      <c r="S61" s="294">
        <f t="shared" si="3"/>
        <v>596231478.41999996</v>
      </c>
      <c r="T61" s="295">
        <f t="shared" si="4"/>
        <v>0.14188893134861139</v>
      </c>
    </row>
    <row r="62" spans="1:21">
      <c r="A62" s="170">
        <v>7511</v>
      </c>
      <c r="B62" s="446" t="str">
        <f>+VLOOKUP($A62,[1]Master!$D$25:$G$223,4,FALSE)</f>
        <v>Pozajmice i krediti od domaćih izvora</v>
      </c>
      <c r="C62" s="447"/>
      <c r="D62" s="447"/>
      <c r="E62" s="447"/>
      <c r="F62" s="447"/>
      <c r="G62" s="237">
        <f>+INDEX([1]DataEx!$1:$1048576,MATCH('2017'!$A62,[1]DataEx!$D:$D,0),MATCH('2017'!G$6,[1]DataEx!$7:$7,0))</f>
        <v>16700681.109999999</v>
      </c>
      <c r="H62" s="237">
        <f>+INDEX([1]DataEx!$1:$1048576,MATCH('2017'!$A62,[1]DataEx!$D:$D,0),MATCH('2017'!H$6,[1]DataEx!$7:$7,0))</f>
        <v>55339318.890000001</v>
      </c>
      <c r="I62" s="237">
        <f>+INDEX([1]DataEx!$1:$1048576,MATCH('2017'!$A62,[1]DataEx!$D:$D,0),MATCH('2017'!I$6,[1]DataEx!$7:$7,0))</f>
        <v>74583448.420000002</v>
      </c>
      <c r="J62" s="237">
        <f>+INDEX([1]DataEx!$1:$1048576,MATCH('2017'!$A62,[1]DataEx!$D:$D,0),MATCH('2017'!J$6,[1]DataEx!$7:$7,0))</f>
        <v>22911551.579999998</v>
      </c>
      <c r="K62" s="237">
        <f>+INDEX([1]DataEx!$1:$1048576,MATCH('2017'!$A62,[1]DataEx!$D:$D,0),MATCH('2017'!K$6,[1]DataEx!$7:$7,0))</f>
        <v>0</v>
      </c>
      <c r="L62" s="237">
        <f>+INDEX([1]DataEx!$1:$1048576,MATCH('2017'!$A62,[1]DataEx!$D:$D,0),MATCH('2017'!L$6,[1]DataEx!$7:$7,0))</f>
        <v>13000000</v>
      </c>
      <c r="M62" s="237">
        <f>+INDEX([1]DataEx!$1:$1048576,MATCH('2017'!$A62,[1]DataEx!$D:$D,0),MATCH('2017'!M$6,[1]DataEx!$7:$7,0))</f>
        <v>24450000</v>
      </c>
      <c r="N62" s="237">
        <f>+INDEX([1]DataEx!$1:$1048576,MATCH('2017'!$A62,[1]DataEx!$D:$D,0),MATCH('2017'!N$6,[1]DataEx!$7:$7,0))</f>
        <v>50085000</v>
      </c>
      <c r="O62" s="237">
        <f>+INDEX([1]DataEx!$1:$1048576,MATCH('2017'!$A62,[1]DataEx!$D:$D,0),MATCH('2017'!O$6,[1]DataEx!$7:$7,0))</f>
        <v>0</v>
      </c>
      <c r="P62" s="237">
        <f>+INDEX([1]DataEx!$1:$1048576,MATCH('2017'!$A62,[1]DataEx!$D:$D,0),MATCH('2017'!P$6,[1]DataEx!$7:$7,0))</f>
        <v>0</v>
      </c>
      <c r="Q62" s="237">
        <f>+INDEX([1]DataEx!$1:$1048576,MATCH('2017'!$A62,[1]DataEx!$D:$D,0),MATCH('2017'!Q$6,[1]DataEx!$7:$7,0))</f>
        <v>0</v>
      </c>
      <c r="R62" s="237">
        <f>+INDEX([1]DataEx!$1:$1048576,MATCH('2017'!$A62,[1]DataEx!$D:$D,0),MATCH('2017'!R$6,[1]DataEx!$7:$7,0))</f>
        <v>3000000</v>
      </c>
      <c r="S62" s="290">
        <f t="shared" si="3"/>
        <v>260070000</v>
      </c>
      <c r="T62" s="291">
        <f t="shared" si="4"/>
        <v>6.1890483329763692E-2</v>
      </c>
    </row>
    <row r="63" spans="1:21">
      <c r="A63" s="170">
        <v>7512</v>
      </c>
      <c r="B63" s="430" t="str">
        <f>+VLOOKUP($A63,[1]Master!$D$25:$G$223,4,FALSE)</f>
        <v>Pozajmice i krediti od inostranih izvora</v>
      </c>
      <c r="C63" s="431"/>
      <c r="D63" s="431"/>
      <c r="E63" s="431"/>
      <c r="F63" s="431"/>
      <c r="G63" s="237">
        <f>+[1]DataEx!EH52</f>
        <v>34554.129999999997</v>
      </c>
      <c r="H63" s="237">
        <f>+INDEX([1]DataEx!$1:$1048576,MATCH('2017'!$A63,[1]DataEx!$D:$D,0),MATCH('2017'!H$6,[1]DataEx!$7:$7,0))</f>
        <v>322585.33</v>
      </c>
      <c r="I63" s="237">
        <f>+INDEX([1]DataEx!$1:$1048576,MATCH('2017'!$A63,[1]DataEx!$D:$D,0),MATCH('2017'!I$6,[1]DataEx!$7:$7,0))</f>
        <v>5656594.5499999998</v>
      </c>
      <c r="J63" s="237">
        <f>+INDEX([1]DataEx!$1:$1048576,MATCH('2017'!$A63,[1]DataEx!$D:$D,0),MATCH('2017'!J$6,[1]DataEx!$7:$7,0))</f>
        <v>84125996.959999993</v>
      </c>
      <c r="K63" s="237">
        <f>+INDEX([1]DataEx!$1:$1048576,MATCH('2017'!$A63,[1]DataEx!$D:$D,0),MATCH('2017'!K$6,[1]DataEx!$7:$7,0))</f>
        <v>259019.66</v>
      </c>
      <c r="L63" s="237">
        <f>+INDEX([1]DataEx!$1:$1048576,MATCH('2017'!$A63,[1]DataEx!$D:$D,0),MATCH('2017'!L$6,[1]DataEx!$7:$7,0))</f>
        <v>16146143.310000001</v>
      </c>
      <c r="M63" s="237">
        <f>+INDEX([1]DataEx!$1:$1048576,MATCH('2017'!$A63,[1]DataEx!$D:$D,0),MATCH('2017'!M$6,[1]DataEx!$7:$7,0))</f>
        <v>733759.27</v>
      </c>
      <c r="N63" s="237">
        <f>+INDEX([1]DataEx!$1:$1048576,MATCH('2017'!$A63,[1]DataEx!$D:$D,0),MATCH('2017'!N$6,[1]DataEx!$7:$7,0))</f>
        <v>26168335.57</v>
      </c>
      <c r="O63" s="237">
        <f>+INDEX([1]DataEx!$1:$1048576,MATCH('2017'!$A63,[1]DataEx!$D:$D,0),MATCH('2017'!O$6,[1]DataEx!$7:$7,0))</f>
        <v>43020325.210000001</v>
      </c>
      <c r="P63" s="237">
        <f>+INDEX([1]DataEx!$1:$1048576,MATCH('2017'!$A63,[1]DataEx!$D:$D,0),MATCH('2017'!P$6,[1]DataEx!$7:$7,0))</f>
        <v>20632990.120000001</v>
      </c>
      <c r="Q63" s="237">
        <f>+INDEX([1]DataEx!$1:$1048576,MATCH('2017'!$A63,[1]DataEx!$D:$D,0),MATCH('2017'!Q$6,[1]DataEx!$7:$7,0))</f>
        <v>28222092.870000001</v>
      </c>
      <c r="R63" s="237">
        <f>+INDEX([1]DataEx!$1:$1048576,MATCH('2017'!$A63,[1]DataEx!$D:$D,0),MATCH('2017'!R$6,[1]DataEx!$7:$7,0))</f>
        <v>127444455.40000001</v>
      </c>
      <c r="S63" s="290">
        <f t="shared" si="3"/>
        <v>352766852.38</v>
      </c>
      <c r="T63" s="291">
        <f t="shared" si="4"/>
        <v>8.395013264320221E-2</v>
      </c>
    </row>
    <row r="64" spans="1:21">
      <c r="A64" s="170">
        <v>72</v>
      </c>
      <c r="B64" s="430" t="str">
        <f>+VLOOKUP($A64,[1]Master!$D$25:$G$223,4,FALSE)</f>
        <v>Primici od prodaje imovine</v>
      </c>
      <c r="C64" s="431"/>
      <c r="D64" s="431"/>
      <c r="E64" s="431"/>
      <c r="F64" s="431"/>
      <c r="G64" s="237">
        <f>+INDEX([1]DataEx!$1:$1048576,MATCH('2017'!$A64,[1]DataEx!$D:$D,0),MATCH('2017'!G$6,[1]DataEx!$7:$7,0))</f>
        <v>20867.330000000002</v>
      </c>
      <c r="H64" s="237">
        <f>+INDEX([1]DataEx!$1:$1048576,MATCH('2017'!$A64,[1]DataEx!$D:$D,0),MATCH('2017'!H$6,[1]DataEx!$7:$7,0))</f>
        <v>70916.160000000003</v>
      </c>
      <c r="I64" s="237">
        <f>+INDEX([1]DataEx!$1:$1048576,MATCH('2017'!$A64,[1]DataEx!$D:$D,0),MATCH('2017'!I$6,[1]DataEx!$7:$7,0))</f>
        <v>65967</v>
      </c>
      <c r="J64" s="237">
        <f>+INDEX([1]DataEx!$1:$1048576,MATCH('2017'!$A64,[1]DataEx!$D:$D,0),MATCH('2017'!J$6,[1]DataEx!$7:$7,0))</f>
        <v>1070298.19</v>
      </c>
      <c r="K64" s="237">
        <f>+INDEX([1]DataEx!$1:$1048576,MATCH('2017'!$A64,[1]DataEx!$D:$D,0),MATCH('2017'!K$6,[1]DataEx!$7:$7,0))</f>
        <v>724479.47</v>
      </c>
      <c r="L64" s="237">
        <f>+INDEX([1]DataEx!$1:$1048576,MATCH('2017'!$A64,[1]DataEx!$D:$D,0),MATCH('2017'!L$6,[1]DataEx!$7:$7,0))</f>
        <v>1430729.48</v>
      </c>
      <c r="M64" s="237">
        <f>+INDEX([1]DataEx!$1:$1048576,MATCH('2017'!$A64,[1]DataEx!$D:$D,0),MATCH('2017'!M$6,[1]DataEx!$7:$7,0))</f>
        <v>1009041.84</v>
      </c>
      <c r="N64" s="237">
        <f>+INDEX([1]DataEx!$1:$1048576,MATCH('2017'!$A64,[1]DataEx!$D:$D,0),MATCH('2017'!N$6,[1]DataEx!$7:$7,0))</f>
        <v>73978.179999999993</v>
      </c>
      <c r="O64" s="237">
        <f>+INDEX([1]DataEx!$1:$1048576,MATCH('2017'!$A64,[1]DataEx!$D:$D,0),MATCH('2017'!O$6,[1]DataEx!$7:$7,0))</f>
        <v>167534.29</v>
      </c>
      <c r="P64" s="237">
        <f>+INDEX([1]DataEx!$1:$1048576,MATCH('2017'!$A64,[1]DataEx!$D:$D,0),MATCH('2017'!P$6,[1]DataEx!$7:$7,0))</f>
        <v>68693.73</v>
      </c>
      <c r="Q64" s="237">
        <f>+INDEX([1]DataEx!$1:$1048576,MATCH('2017'!$A64,[1]DataEx!$D:$D,0),MATCH('2017'!Q$6,[1]DataEx!$7:$7,0))</f>
        <v>399611.81</v>
      </c>
      <c r="R64" s="237">
        <f>+INDEX([1]DataEx!$1:$1048576,MATCH('2017'!$A64,[1]DataEx!$D:$D,0),MATCH('2017'!R$6,[1]DataEx!$7:$7,0))</f>
        <v>1088997.75</v>
      </c>
      <c r="S64" s="290">
        <f t="shared" si="3"/>
        <v>6191115.2299999995</v>
      </c>
      <c r="T64" s="291">
        <f t="shared" si="4"/>
        <v>1.4733383855691201E-3</v>
      </c>
    </row>
    <row r="65" spans="1:20" ht="13.5" thickBot="1">
      <c r="A65" s="170">
        <v>1004</v>
      </c>
      <c r="B65" s="249" t="str">
        <f>+VLOOKUP($A65,[1]Master!$D$25:$G$223,4,FALSE)</f>
        <v>Povećanje / smanjenje depozita</v>
      </c>
      <c r="C65" s="250"/>
      <c r="D65" s="250"/>
      <c r="E65" s="250"/>
      <c r="F65" s="250"/>
      <c r="G65" s="251">
        <f>-G60-SUM(G62:G64)</f>
        <v>23085446.999999978</v>
      </c>
      <c r="H65" s="251">
        <f t="shared" ref="H65:R65" si="14">-H60-SUM(H62:H64)</f>
        <v>4401987.9899999797</v>
      </c>
      <c r="I65" s="251">
        <f t="shared" si="14"/>
        <v>-12581726.180000007</v>
      </c>
      <c r="J65" s="251">
        <f t="shared" si="14"/>
        <v>-26386818.219999984</v>
      </c>
      <c r="K65" s="251">
        <f t="shared" si="14"/>
        <v>9302983.8200000245</v>
      </c>
      <c r="L65" s="251">
        <f t="shared" si="14"/>
        <v>13408837.759999994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-31290792.43000003</v>
      </c>
      <c r="P65" s="251">
        <f t="shared" si="14"/>
        <v>4407681.7800000235</v>
      </c>
      <c r="Q65" s="251">
        <f t="shared" si="14"/>
        <v>10217871.86999999</v>
      </c>
      <c r="R65" s="251">
        <f t="shared" si="14"/>
        <v>-17572107.130000055</v>
      </c>
      <c r="S65" s="296">
        <f>+SUM(G65:R65)</f>
        <v>-22796489.19000005</v>
      </c>
      <c r="T65" s="297">
        <f t="shared" si="4"/>
        <v>-5.4250230099236211E-3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16" t="str">
        <f>+[1]Master!G250</f>
        <v>Plan ostvarenja budžeta</v>
      </c>
      <c r="C101" s="517"/>
      <c r="D101" s="517"/>
      <c r="E101" s="517"/>
      <c r="F101" s="517"/>
      <c r="G101" s="510">
        <v>2017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BDP</v>
      </c>
      <c r="T101" s="117">
        <f>+T7</f>
        <v>4202100000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10" t="str">
        <f>+[1]Master!G244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2" t="str">
        <f>+VLOOKUP(LEFT($A104,LEN(A104)-1)*1,[1]Master!$D$25:$G$223,4,FALSE)</f>
        <v>Prihodi budžeta</v>
      </c>
      <c r="C104" s="513"/>
      <c r="D104" s="513"/>
      <c r="E104" s="513"/>
      <c r="F104" s="513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0.36924791496211701</v>
      </c>
    </row>
    <row r="105" spans="1:21">
      <c r="A105" s="138" t="str">
        <f t="shared" si="17"/>
        <v>711p</v>
      </c>
      <c r="B105" s="514" t="str">
        <f>+VLOOKUP(LEFT($A105,LEN(A105)-1)*1,[1]Master!$D$25:$G$223,4,FALSE)</f>
        <v>Porezi</v>
      </c>
      <c r="C105" s="515"/>
      <c r="D105" s="515"/>
      <c r="E105" s="515"/>
      <c r="F105" s="515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0.22471540283776545</v>
      </c>
      <c r="U105" s="303"/>
    </row>
    <row r="106" spans="1:21">
      <c r="A106" s="138" t="str">
        <f t="shared" si="17"/>
        <v>7111p</v>
      </c>
      <c r="B106" s="496" t="str">
        <f>+VLOOKUP(LEFT($A106,LEN(A106)-1)*1,[1]Master!$D$25:$G$223,4,FALSE)</f>
        <v>Porez na dohodak fizičkih lica</v>
      </c>
      <c r="C106" s="497"/>
      <c r="D106" s="497"/>
      <c r="E106" s="497"/>
      <c r="F106" s="497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6">
        <f t="shared" si="20"/>
        <v>125583391.53741376</v>
      </c>
      <c r="T106" s="127">
        <f t="shared" si="21"/>
        <v>2.9885864576619729E-2</v>
      </c>
    </row>
    <row r="107" spans="1:21">
      <c r="A107" s="138" t="str">
        <f t="shared" si="17"/>
        <v>7112p</v>
      </c>
      <c r="B107" s="496" t="str">
        <f>+VLOOKUP(LEFT($A107,LEN(A107)-1)*1,[1]Master!$D$25:$G$223,4,FALSE)</f>
        <v>Porez na dobit pravnih lica</v>
      </c>
      <c r="C107" s="497"/>
      <c r="D107" s="497"/>
      <c r="E107" s="497"/>
      <c r="F107" s="497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6">
        <f t="shared" si="20"/>
        <v>46922688.056049608</v>
      </c>
      <c r="T107" s="127">
        <f t="shared" si="21"/>
        <v>1.1166485342102664E-2</v>
      </c>
    </row>
    <row r="108" spans="1:21">
      <c r="A108" s="138" t="str">
        <f t="shared" si="17"/>
        <v>7113p</v>
      </c>
      <c r="B108" s="496" t="str">
        <f>+VLOOKUP(LEFT($A108,LEN(A108)-1)*1,[1]Master!$D$25:$G$223,4,FALSE)</f>
        <v>Porez na promet nepokretnosti</v>
      </c>
      <c r="C108" s="497"/>
      <c r="D108" s="497"/>
      <c r="E108" s="497"/>
      <c r="F108" s="497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6">
        <f t="shared" si="20"/>
        <v>2459394.3990422501</v>
      </c>
      <c r="T108" s="127">
        <f t="shared" si="21"/>
        <v>5.8527745628191865E-4</v>
      </c>
    </row>
    <row r="109" spans="1:21">
      <c r="A109" s="138" t="str">
        <f t="shared" si="17"/>
        <v>7114p</v>
      </c>
      <c r="B109" s="496" t="str">
        <f>+VLOOKUP(LEFT($A109,LEN(A109)-1)*1,[1]Master!$D$25:$G$223,4,FALSE)</f>
        <v>Porez na dodatu vrijednost</v>
      </c>
      <c r="C109" s="497"/>
      <c r="D109" s="497"/>
      <c r="E109" s="497"/>
      <c r="F109" s="497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6">
        <f t="shared" si="20"/>
        <v>524745437.38105094</v>
      </c>
      <c r="T109" s="127">
        <f t="shared" si="21"/>
        <v>0.1248769513769427</v>
      </c>
    </row>
    <row r="110" spans="1:21">
      <c r="A110" s="138" t="str">
        <f t="shared" si="17"/>
        <v>7115p</v>
      </c>
      <c r="B110" s="496" t="str">
        <f>+VLOOKUP(LEFT($A110,LEN(A110)-1)*1,[1]Master!$D$25:$G$223,4,FALSE)</f>
        <v>Akcize</v>
      </c>
      <c r="C110" s="497"/>
      <c r="D110" s="497"/>
      <c r="E110" s="497"/>
      <c r="F110" s="497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6">
        <f t="shared" si="20"/>
        <v>210481296.69963041</v>
      </c>
      <c r="T110" s="127">
        <f t="shared" si="21"/>
        <v>5.0089549677454229E-2</v>
      </c>
    </row>
    <row r="111" spans="1:21">
      <c r="A111" s="138" t="str">
        <f t="shared" si="17"/>
        <v>7116p</v>
      </c>
      <c r="B111" s="496" t="str">
        <f>+VLOOKUP(LEFT($A111,LEN(A111)-1)*1,[1]Master!$D$25:$G$223,4,FALSE)</f>
        <v>Porez na međunarodnu trgovinu i transakcije</v>
      </c>
      <c r="C111" s="497"/>
      <c r="D111" s="497"/>
      <c r="E111" s="497"/>
      <c r="F111" s="497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6">
        <f t="shared" si="20"/>
        <v>24426743.525325805</v>
      </c>
      <c r="T111" s="127">
        <f t="shared" si="21"/>
        <v>5.8129848231421918E-3</v>
      </c>
    </row>
    <row r="112" spans="1:21">
      <c r="A112" s="138" t="str">
        <f t="shared" si="17"/>
        <v>7118p</v>
      </c>
      <c r="B112" s="496" t="str">
        <f>+VLOOKUP(LEFT($A112,LEN(A112)-1)*1,[1]Master!$D$25:$G$223,4,FALSE)</f>
        <v>Ostali državni porezi</v>
      </c>
      <c r="C112" s="497"/>
      <c r="D112" s="497"/>
      <c r="E112" s="497"/>
      <c r="F112" s="497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6">
        <f t="shared" si="20"/>
        <v>9657642.6660613157</v>
      </c>
      <c r="T112" s="127">
        <f t="shared" si="21"/>
        <v>2.2982895852219879E-3</v>
      </c>
    </row>
    <row r="113" spans="1:20">
      <c r="A113" s="138" t="str">
        <f t="shared" si="17"/>
        <v>712p</v>
      </c>
      <c r="B113" s="508" t="str">
        <f>+VLOOKUP(LEFT($A113,LEN(A113)-1)*1,[1]Master!$D$25:$G$223,4,FALSE)</f>
        <v>Doprinosi</v>
      </c>
      <c r="C113" s="509"/>
      <c r="D113" s="509"/>
      <c r="E113" s="509"/>
      <c r="F113" s="509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0.11712162777027584</v>
      </c>
    </row>
    <row r="114" spans="1:20">
      <c r="A114" s="138" t="str">
        <f t="shared" si="17"/>
        <v>7121p</v>
      </c>
      <c r="B114" s="496" t="str">
        <f>+VLOOKUP(LEFT($A114,LEN(A114)-1)*1,[1]Master!$D$25:$G$223,4,FALSE)</f>
        <v>Doprinosi za penzijsko i invalidsko osiguranje</v>
      </c>
      <c r="C114" s="497"/>
      <c r="D114" s="497"/>
      <c r="E114" s="497"/>
      <c r="F114" s="497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6">
        <f t="shared" si="20"/>
        <v>293612813.84136897</v>
      </c>
      <c r="T114" s="127">
        <f t="shared" si="21"/>
        <v>6.9872876381182975E-2</v>
      </c>
    </row>
    <row r="115" spans="1:20">
      <c r="A115" s="138" t="str">
        <f t="shared" si="17"/>
        <v>7122p</v>
      </c>
      <c r="B115" s="496" t="str">
        <f>+VLOOKUP(LEFT($A115,LEN(A115)-1)*1,[1]Master!$D$25:$G$223,4,FALSE)</f>
        <v>Doprinosi za zdravstveno osiguranje</v>
      </c>
      <c r="C115" s="497"/>
      <c r="D115" s="497"/>
      <c r="E115" s="497"/>
      <c r="F115" s="497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6">
        <f t="shared" si="20"/>
        <v>172372932.77823201</v>
      </c>
      <c r="T115" s="127">
        <f t="shared" si="21"/>
        <v>4.1020664138938151E-2</v>
      </c>
    </row>
    <row r="116" spans="1:20">
      <c r="A116" s="138" t="str">
        <f t="shared" si="17"/>
        <v>7123p</v>
      </c>
      <c r="B116" s="496" t="str">
        <f>+VLOOKUP(LEFT($A116,LEN(A116)-1)*1,[1]Master!$D$25:$G$223,4,FALSE)</f>
        <v>Doprinosi za osiguranje od nezaposlenosti</v>
      </c>
      <c r="C116" s="497"/>
      <c r="D116" s="497"/>
      <c r="E116" s="497"/>
      <c r="F116" s="497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6">
        <f t="shared" si="20"/>
        <v>13897899.7574651</v>
      </c>
      <c r="T116" s="127">
        <f t="shared" si="21"/>
        <v>3.3073700667440326E-3</v>
      </c>
    </row>
    <row r="117" spans="1:20">
      <c r="A117" s="138" t="str">
        <f t="shared" si="17"/>
        <v>7124p</v>
      </c>
      <c r="B117" s="496" t="str">
        <f>+VLOOKUP(LEFT($A117,LEN(A117)-1)*1,[1]Master!$D$25:$G$223,4,FALSE)</f>
        <v>Ostali doprinosi</v>
      </c>
      <c r="C117" s="497"/>
      <c r="D117" s="497"/>
      <c r="E117" s="497"/>
      <c r="F117" s="497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6">
        <f t="shared" si="20"/>
        <v>12273145.676410003</v>
      </c>
      <c r="T117" s="127">
        <f t="shared" si="21"/>
        <v>2.9207171834106762E-3</v>
      </c>
    </row>
    <row r="118" spans="1:20">
      <c r="A118" s="138" t="str">
        <f t="shared" si="17"/>
        <v>713p</v>
      </c>
      <c r="B118" s="500" t="str">
        <f>+VLOOKUP(LEFT($A118,LEN(A118)-1)*1,[1]Master!$D$25:$G$223,4,FALSE)</f>
        <v>Takse</v>
      </c>
      <c r="C118" s="501"/>
      <c r="D118" s="501"/>
      <c r="E118" s="501"/>
      <c r="F118" s="501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8">
        <f t="shared" si="20"/>
        <v>13832275.892059395</v>
      </c>
      <c r="T118" s="129">
        <f t="shared" si="21"/>
        <v>3.2917531453462304E-3</v>
      </c>
    </row>
    <row r="119" spans="1:20">
      <c r="A119" s="138" t="str">
        <f t="shared" si="17"/>
        <v>714p</v>
      </c>
      <c r="B119" s="500" t="str">
        <f>+VLOOKUP(LEFT($A119,LEN(A119)-1)*1,[1]Master!$D$25:$G$223,4,FALSE)</f>
        <v>Naknade</v>
      </c>
      <c r="C119" s="501"/>
      <c r="D119" s="501"/>
      <c r="E119" s="501"/>
      <c r="F119" s="501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8">
        <f t="shared" si="20"/>
        <v>23449281.372267835</v>
      </c>
      <c r="T119" s="129">
        <f t="shared" si="21"/>
        <v>5.5803720454696065E-3</v>
      </c>
    </row>
    <row r="120" spans="1:20">
      <c r="A120" s="138" t="str">
        <f t="shared" si="17"/>
        <v>715p</v>
      </c>
      <c r="B120" s="500" t="str">
        <f>+VLOOKUP(LEFT($A120,LEN(A120)-1)*1,[1]Master!$D$25:$G$223,4,FALSE)</f>
        <v>Ostali prihodi</v>
      </c>
      <c r="C120" s="501"/>
      <c r="D120" s="501"/>
      <c r="E120" s="501"/>
      <c r="F120" s="501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8">
        <f t="shared" si="20"/>
        <v>37391136.21111349</v>
      </c>
      <c r="T120" s="129">
        <f t="shared" si="21"/>
        <v>8.8982023776477213E-3</v>
      </c>
    </row>
    <row r="121" spans="1:20">
      <c r="A121" s="138" t="str">
        <f t="shared" si="17"/>
        <v>73p</v>
      </c>
      <c r="B121" s="500" t="str">
        <f>+VLOOKUP(LEFT($A121,LEN(A121)-1)*1,[1]Master!$D$25:$G$223,4,FALSE)</f>
        <v>Primici od otplate kredita i sredstva prenesena iz prethodne godine</v>
      </c>
      <c r="C121" s="501"/>
      <c r="D121" s="501"/>
      <c r="E121" s="501"/>
      <c r="F121" s="501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8">
        <f t="shared" si="20"/>
        <v>5310583.6688210517</v>
      </c>
      <c r="T121" s="129">
        <f t="shared" si="21"/>
        <v>1.2637927866593016E-3</v>
      </c>
    </row>
    <row r="122" spans="1:20" ht="13.5" thickBot="1">
      <c r="A122" s="138" t="str">
        <f t="shared" si="17"/>
        <v>74p</v>
      </c>
      <c r="B122" s="502" t="str">
        <f>+VLOOKUP(LEFT($A122,LEN(A122)-1)*1,[1]Master!$D$25:$G$223,4,FALSE)</f>
        <v>Donacije i transferi</v>
      </c>
      <c r="C122" s="503"/>
      <c r="D122" s="503"/>
      <c r="E122" s="503"/>
      <c r="F122" s="503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30">
        <f t="shared" si="20"/>
        <v>35200000</v>
      </c>
      <c r="T122" s="131">
        <f t="shared" si="21"/>
        <v>8.3767639989529036E-3</v>
      </c>
    </row>
    <row r="123" spans="1:20" ht="13.5" thickBot="1">
      <c r="A123" s="138" t="str">
        <f t="shared" si="17"/>
        <v>4p</v>
      </c>
      <c r="B123" s="486" t="str">
        <f>+VLOOKUP(LEFT($A123,LEN(A123)-1)*1,[1]Master!$D$25:$G$223,4,FALSE)</f>
        <v>Budžetki izdaci</v>
      </c>
      <c r="C123" s="487"/>
      <c r="D123" s="487"/>
      <c r="E123" s="487"/>
      <c r="F123" s="487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0.42502074573665544</v>
      </c>
    </row>
    <row r="124" spans="1:20" ht="13.5" thickBot="1">
      <c r="A124" s="138" t="str">
        <f t="shared" si="17"/>
        <v>41p</v>
      </c>
      <c r="B124" s="504" t="str">
        <f>+VLOOKUP(LEFT($A124,LEN(A124)-1)*1,[1]Master!$D$25:$G$223,4,FALSE)</f>
        <v>Tekući izdaci</v>
      </c>
      <c r="C124" s="505"/>
      <c r="D124" s="505"/>
      <c r="E124" s="505"/>
      <c r="F124" s="505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0.3576547620570667</v>
      </c>
    </row>
    <row r="125" spans="1:20">
      <c r="A125" s="138" t="str">
        <f t="shared" si="17"/>
        <v>40p</v>
      </c>
      <c r="B125" s="506" t="str">
        <f>+VLOOKUP(LEFT($A125,LEN(A125)-1)*1,[1]Master!$D$25:$G$223,4,FALSE)</f>
        <v>Tekući budžetski izdaci</v>
      </c>
      <c r="C125" s="507"/>
      <c r="D125" s="507"/>
      <c r="E125" s="507"/>
      <c r="F125" s="507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0.17871047731372408</v>
      </c>
    </row>
    <row r="126" spans="1:20">
      <c r="A126" s="138" t="str">
        <f t="shared" si="17"/>
        <v>411p</v>
      </c>
      <c r="B126" s="496" t="str">
        <f>+VLOOKUP(LEFT($A126,LEN(A126)-1)*1,[1]Master!$D$25:$G$223,4,FALSE)</f>
        <v>Bruto zarade i doprinosi na teret poslodavca</v>
      </c>
      <c r="C126" s="497"/>
      <c r="D126" s="497"/>
      <c r="E126" s="497"/>
      <c r="F126" s="497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6">
        <f t="shared" si="20"/>
        <v>438246239.97999996</v>
      </c>
      <c r="T126" s="127">
        <f t="shared" si="21"/>
        <v>0.10429219675400395</v>
      </c>
    </row>
    <row r="127" spans="1:20">
      <c r="A127" s="138" t="str">
        <f t="shared" si="17"/>
        <v>412p</v>
      </c>
      <c r="B127" s="496" t="str">
        <f>+VLOOKUP(LEFT($A127,LEN(A127)-1)*1,[1]Master!$D$25:$G$223,4,FALSE)</f>
        <v>Ostala lična primanja</v>
      </c>
      <c r="C127" s="497"/>
      <c r="D127" s="497"/>
      <c r="E127" s="497"/>
      <c r="F127" s="497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6">
        <f t="shared" si="20"/>
        <v>10188146.970000004</v>
      </c>
      <c r="T127" s="127">
        <f t="shared" si="21"/>
        <v>2.4245370100663965E-3</v>
      </c>
    </row>
    <row r="128" spans="1:20">
      <c r="A128" s="138" t="str">
        <f t="shared" si="17"/>
        <v>413p</v>
      </c>
      <c r="B128" s="496" t="str">
        <f>+VLOOKUP(LEFT($A128,LEN(A128)-1)*1,[1]Master!$D$25:$G$223,4,FALSE)</f>
        <v>Rashodi za materijal</v>
      </c>
      <c r="C128" s="497"/>
      <c r="D128" s="497"/>
      <c r="E128" s="497"/>
      <c r="F128" s="497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6">
        <f t="shared" si="20"/>
        <v>29597112.899999995</v>
      </c>
      <c r="T128" s="127">
        <f t="shared" si="21"/>
        <v>7.0434099378881973E-3</v>
      </c>
    </row>
    <row r="129" spans="1:20">
      <c r="A129" s="138" t="str">
        <f t="shared" si="17"/>
        <v>414p</v>
      </c>
      <c r="B129" s="496" t="str">
        <f>+VLOOKUP(LEFT($A129,LEN(A129)-1)*1,[1]Master!$D$25:$G$223,4,FALSE)</f>
        <v>Rashodi za usluge</v>
      </c>
      <c r="C129" s="497"/>
      <c r="D129" s="497"/>
      <c r="E129" s="497"/>
      <c r="F129" s="497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6">
        <f t="shared" si="20"/>
        <v>53024750.940000013</v>
      </c>
      <c r="T129" s="127">
        <f t="shared" si="21"/>
        <v>1.2618631384307849E-2</v>
      </c>
    </row>
    <row r="130" spans="1:20">
      <c r="A130" s="138" t="str">
        <f t="shared" si="17"/>
        <v>415p</v>
      </c>
      <c r="B130" s="496" t="str">
        <f>+VLOOKUP(LEFT($A130,LEN(A130)-1)*1,[1]Master!$D$25:$G$223,4,FALSE)</f>
        <v>Rashodi za tekuće održavanje</v>
      </c>
      <c r="C130" s="497"/>
      <c r="D130" s="497"/>
      <c r="E130" s="497"/>
      <c r="F130" s="497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6">
        <f t="shared" si="20"/>
        <v>21226969.68</v>
      </c>
      <c r="T130" s="127">
        <f t="shared" si="21"/>
        <v>5.0515146426786603E-3</v>
      </c>
    </row>
    <row r="131" spans="1:20">
      <c r="A131" s="138" t="str">
        <f t="shared" si="17"/>
        <v>416p</v>
      </c>
      <c r="B131" s="496" t="str">
        <f>+VLOOKUP(LEFT($A131,LEN(A131)-1)*1,[1]Master!$D$25:$G$223,4,FALSE)</f>
        <v>Kamate</v>
      </c>
      <c r="C131" s="497"/>
      <c r="D131" s="497"/>
      <c r="E131" s="497"/>
      <c r="F131" s="497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6">
        <f t="shared" si="20"/>
        <v>95363625.910000011</v>
      </c>
      <c r="T131" s="127">
        <f t="shared" si="21"/>
        <v>2.2694278077627854E-2</v>
      </c>
    </row>
    <row r="132" spans="1:20">
      <c r="A132" s="138" t="str">
        <f t="shared" si="17"/>
        <v>417p</v>
      </c>
      <c r="B132" s="496" t="str">
        <f>+VLOOKUP(LEFT($A132,LEN(A132)-1)*1,[1]Master!$D$25:$G$223,4,FALSE)</f>
        <v>Renta</v>
      </c>
      <c r="C132" s="497"/>
      <c r="D132" s="497"/>
      <c r="E132" s="497"/>
      <c r="F132" s="497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6">
        <f t="shared" si="20"/>
        <v>9323779.5200000014</v>
      </c>
      <c r="T132" s="127">
        <f t="shared" si="21"/>
        <v>2.2188380857190455E-3</v>
      </c>
    </row>
    <row r="133" spans="1:20">
      <c r="A133" s="138" t="str">
        <f t="shared" si="17"/>
        <v>418p</v>
      </c>
      <c r="B133" s="496" t="str">
        <f>+VLOOKUP(LEFT($A133,LEN(A133)-1)*1,[1]Master!$D$25:$G$223,4,FALSE)</f>
        <v>Subvencije</v>
      </c>
      <c r="C133" s="497"/>
      <c r="D133" s="497"/>
      <c r="E133" s="497"/>
      <c r="F133" s="497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6">
        <f t="shared" si="20"/>
        <v>24921799.98</v>
      </c>
      <c r="T133" s="127">
        <f t="shared" si="21"/>
        <v>5.9307965017491252E-3</v>
      </c>
    </row>
    <row r="134" spans="1:20">
      <c r="A134" s="138" t="str">
        <f t="shared" si="17"/>
        <v>419p</v>
      </c>
      <c r="B134" s="496" t="str">
        <f>+VLOOKUP(LEFT($A134,LEN(A134)-1)*1,[1]Master!$D$25:$G$223,4,FALSE)</f>
        <v>Ostali izdaci</v>
      </c>
      <c r="C134" s="497"/>
      <c r="D134" s="497"/>
      <c r="E134" s="497"/>
      <c r="F134" s="497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6">
        <f t="shared" si="20"/>
        <v>32959947.539999999</v>
      </c>
      <c r="T134" s="127">
        <f t="shared" si="21"/>
        <v>7.8436847147854635E-3</v>
      </c>
    </row>
    <row r="135" spans="1:20">
      <c r="A135" s="138" t="str">
        <f t="shared" si="17"/>
        <v>440p</v>
      </c>
      <c r="B135" s="496" t="str">
        <f>+VLOOKUP(LEFT($A135,LEN(A135)-1)*1,[1]Master!$D$25:$G$223,4,FALSE)</f>
        <v>Kapitalni izdaci u tekućem budžetu</v>
      </c>
      <c r="C135" s="497"/>
      <c r="D135" s="497"/>
      <c r="E135" s="497"/>
      <c r="F135" s="497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6">
        <f t="shared" si="20"/>
        <v>36106923.299999997</v>
      </c>
      <c r="T135" s="127">
        <f t="shared" si="21"/>
        <v>8.592590204897551E-3</v>
      </c>
    </row>
    <row r="136" spans="1:20">
      <c r="A136" s="138" t="str">
        <f t="shared" si="17"/>
        <v>42p</v>
      </c>
      <c r="B136" s="494" t="str">
        <f>+VLOOKUP(LEFT($A136,LEN(A136)-1)*1,[1]Master!$D$25:$G$223,4,FALSE)</f>
        <v>Transferi za socijalnu zaštitu</v>
      </c>
      <c r="C136" s="495"/>
      <c r="D136" s="495"/>
      <c r="E136" s="495"/>
      <c r="F136" s="495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0.13586494966802312</v>
      </c>
    </row>
    <row r="137" spans="1:20">
      <c r="A137" s="138" t="str">
        <f t="shared" si="17"/>
        <v>421p</v>
      </c>
      <c r="B137" s="496" t="str">
        <f>+VLOOKUP(LEFT($A137,LEN(A137)-1)*1,[1]Master!$D$25:$G$223,4,FALSE)</f>
        <v>Prava iz oblasti socijalne zaštite</v>
      </c>
      <c r="C137" s="497"/>
      <c r="D137" s="497"/>
      <c r="E137" s="497"/>
      <c r="F137" s="497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6">
        <f t="shared" si="20"/>
        <v>114715625.00000001</v>
      </c>
      <c r="T137" s="127">
        <f t="shared" si="21"/>
        <v>2.7299594250493803E-2</v>
      </c>
    </row>
    <row r="138" spans="1:20">
      <c r="A138" s="138" t="str">
        <f t="shared" si="17"/>
        <v>422p</v>
      </c>
      <c r="B138" s="496" t="str">
        <f>+VLOOKUP(LEFT($A138,LEN(A138)-1)*1,[1]Master!$D$25:$G$223,4,FALSE)</f>
        <v>Sredstva za tehnološke viškove</v>
      </c>
      <c r="C138" s="497"/>
      <c r="D138" s="497"/>
      <c r="E138" s="497"/>
      <c r="F138" s="497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6">
        <f t="shared" si="20"/>
        <v>20596480</v>
      </c>
      <c r="T138" s="127">
        <f t="shared" si="21"/>
        <v>4.9014730729873158E-3</v>
      </c>
    </row>
    <row r="139" spans="1:20">
      <c r="A139" s="138" t="str">
        <f t="shared" si="17"/>
        <v>423p</v>
      </c>
      <c r="B139" s="496" t="str">
        <f>+VLOOKUP(LEFT($A139,LEN(A139)-1)*1,[1]Master!$D$25:$G$223,4,FALSE)</f>
        <v>Prava iz oblasti penzijskog i invalidskog osiguranja</v>
      </c>
      <c r="C139" s="497"/>
      <c r="D139" s="497"/>
      <c r="E139" s="497"/>
      <c r="F139" s="497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6">
        <f t="shared" si="20"/>
        <v>411150000</v>
      </c>
      <c r="T139" s="127">
        <f t="shared" si="21"/>
        <v>9.7843935175269514E-2</v>
      </c>
    </row>
    <row r="140" spans="1:20">
      <c r="A140" s="138" t="str">
        <f t="shared" si="17"/>
        <v>424p</v>
      </c>
      <c r="B140" s="496" t="str">
        <f>+VLOOKUP(LEFT($A140,LEN(A140)-1)*1,[1]Master!$D$25:$G$223,4,FALSE)</f>
        <v>Ostala prava iz oblasti zdravstvene zaštite</v>
      </c>
      <c r="C140" s="497"/>
      <c r="D140" s="497"/>
      <c r="E140" s="497"/>
      <c r="F140" s="497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6">
        <f t="shared" si="20"/>
        <v>15931000.000000002</v>
      </c>
      <c r="T140" s="127">
        <f t="shared" si="21"/>
        <v>3.7911996382761007E-3</v>
      </c>
    </row>
    <row r="141" spans="1:20">
      <c r="A141" s="138" t="str">
        <f t="shared" si="17"/>
        <v>425p</v>
      </c>
      <c r="B141" s="496" t="str">
        <f>+VLOOKUP(LEFT($A141,LEN(A141)-1)*1,[1]Master!$D$25:$G$223,4,FALSE)</f>
        <v>Ostala prava iz zdravstvenog osiguranja</v>
      </c>
      <c r="C141" s="497"/>
      <c r="D141" s="497"/>
      <c r="E141" s="497"/>
      <c r="F141" s="497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6">
        <f t="shared" si="20"/>
        <v>8525000.0000000019</v>
      </c>
      <c r="T141" s="127">
        <f t="shared" si="21"/>
        <v>2.028747530996407E-3</v>
      </c>
    </row>
    <row r="142" spans="1:20">
      <c r="A142" s="138" t="str">
        <f t="shared" si="17"/>
        <v>43p</v>
      </c>
      <c r="B142" s="498" t="str">
        <f>+VLOOKUP(LEFT($A142,LEN(A142)-1)*1,[1]Master!$D$25:$G$223,4,FALSE)</f>
        <v xml:space="preserve">Transferi institucijama, pojedincima, nevladinom i javnom sektoru </v>
      </c>
      <c r="C142" s="499"/>
      <c r="D142" s="499"/>
      <c r="E142" s="499"/>
      <c r="F142" s="499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8">
        <f>+SUM(G142:R142)</f>
        <v>164300000.03999996</v>
      </c>
      <c r="T142" s="129">
        <f t="shared" si="21"/>
        <v>3.9099497879631601E-2</v>
      </c>
    </row>
    <row r="143" spans="1:20">
      <c r="A143" s="138" t="str">
        <f t="shared" si="17"/>
        <v>44p</v>
      </c>
      <c r="B143" s="498" t="str">
        <f>+VLOOKUP(LEFT($A143,LEN(A143)-1)*1,[1]Master!$D$25:$G$223,4,FALSE)</f>
        <v>Kapitalni budžet</v>
      </c>
      <c r="C143" s="499"/>
      <c r="D143" s="499"/>
      <c r="E143" s="499"/>
      <c r="F143" s="499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8">
        <f t="shared" si="20"/>
        <v>283078600.02000004</v>
      </c>
      <c r="T143" s="129">
        <f t="shared" si="21"/>
        <v>6.7365983679588792E-2</v>
      </c>
    </row>
    <row r="144" spans="1:20">
      <c r="A144" s="138" t="str">
        <f t="shared" si="17"/>
        <v>451p</v>
      </c>
      <c r="B144" s="480" t="str">
        <f>+VLOOKUP(LEFT($A144,LEN(A144)-1)*1,[1]Master!$D$25:$G$223,4,FALSE)</f>
        <v>Pozajmice i krediti</v>
      </c>
      <c r="C144" s="481"/>
      <c r="D144" s="481"/>
      <c r="E144" s="481"/>
      <c r="F144" s="481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6">
        <f t="shared" si="20"/>
        <v>2425000</v>
      </c>
      <c r="T144" s="127">
        <f t="shared" si="21"/>
        <v>5.7709240617786345E-4</v>
      </c>
    </row>
    <row r="145" spans="1:20">
      <c r="A145" s="138" t="str">
        <f t="shared" si="17"/>
        <v>47p</v>
      </c>
      <c r="B145" s="480" t="str">
        <f>+VLOOKUP(LEFT($A145,LEN(A145)-1)*1,[1]Master!$D$25:$G$223,4,FALSE)</f>
        <v>Rezerve</v>
      </c>
      <c r="C145" s="481"/>
      <c r="D145" s="481"/>
      <c r="E145" s="481"/>
      <c r="F145" s="481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6">
        <f t="shared" si="20"/>
        <v>14298673.879999997</v>
      </c>
      <c r="T145" s="127">
        <f t="shared" si="21"/>
        <v>3.4027447895100061E-3</v>
      </c>
    </row>
    <row r="146" spans="1:20">
      <c r="A146" s="138" t="str">
        <f t="shared" si="17"/>
        <v>462p</v>
      </c>
      <c r="B146" s="480" t="str">
        <f>+VLOOKUP(LEFT($A146,LEN(A146)-1)*1,[1]Master!$D$25:$G$223,4,FALSE)</f>
        <v>Otplata garancija</v>
      </c>
      <c r="C146" s="481"/>
      <c r="D146" s="481"/>
      <c r="E146" s="481"/>
      <c r="F146" s="481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423" t="s">
        <v>701</v>
      </c>
      <c r="C147" s="424"/>
      <c r="D147" s="424"/>
      <c r="E147" s="424"/>
      <c r="F147" s="424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0" t="str">
        <f>+VLOOKUP(LEFT($A148,LEN(A148)-1)*1,[1]Master!$D$25:$G$223,4,FALSE)</f>
        <v>Suficit / deficit</v>
      </c>
      <c r="C148" s="491"/>
      <c r="D148" s="491"/>
      <c r="E148" s="491"/>
      <c r="F148" s="491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-5.5772830774538443E-2</v>
      </c>
    </row>
    <row r="149" spans="1:20" ht="13.5" thickBot="1">
      <c r="A149" s="139" t="str">
        <f>+CONCATENATE(A56,"p")</f>
        <v>1001p</v>
      </c>
      <c r="B149" s="492" t="str">
        <f>+VLOOKUP(LEFT($A149,LEN(A149)-1)*1,[1]Master!$D$25:$G$223,4,FALSE)</f>
        <v>Primarni bilans</v>
      </c>
      <c r="C149" s="493"/>
      <c r="D149" s="493"/>
      <c r="E149" s="493"/>
      <c r="F149" s="493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-3.3078552696910582E-2</v>
      </c>
    </row>
    <row r="150" spans="1:20">
      <c r="A150" s="139" t="str">
        <f>+CONCATENATE(A57,"p")</f>
        <v>46p</v>
      </c>
      <c r="B150" s="494" t="str">
        <f>+VLOOKUP(LEFT($A150,LEN(A150)-1)*1,[1]Master!$D$25:$G$223,4,FALSE)</f>
        <v>Otplata dugova</v>
      </c>
      <c r="C150" s="495"/>
      <c r="D150" s="495"/>
      <c r="E150" s="495"/>
      <c r="F150" s="495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5.2453654874943474E-2</v>
      </c>
    </row>
    <row r="151" spans="1:20">
      <c r="A151" s="139" t="str">
        <f>+CONCATENATE(A58,"p")</f>
        <v>4611p</v>
      </c>
      <c r="B151" s="488" t="str">
        <f>+VLOOKUP(LEFT($A151,LEN(A151)-1)*1,[1]Master!$D$25:$G$223,4,FALSE)</f>
        <v>Otplata hartija od vrijednosti i kredita rezidentima</v>
      </c>
      <c r="C151" s="489"/>
      <c r="D151" s="489"/>
      <c r="E151" s="489"/>
      <c r="F151" s="489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8">
        <f t="shared" si="20"/>
        <v>51911842.149999999</v>
      </c>
      <c r="T151" s="109">
        <f t="shared" si="21"/>
        <v>1.2353785523904714E-2</v>
      </c>
    </row>
    <row r="152" spans="1:20">
      <c r="A152" s="139" t="str">
        <f>+CONCATENATE(A59,"p")</f>
        <v>4612p</v>
      </c>
      <c r="B152" s="480" t="str">
        <f>+VLOOKUP(LEFT($A152,LEN(A152)-1)*1,[1]Master!$D$25:$G$223,4,FALSE)</f>
        <v>Otplata hartija od vrijednosti i kredita nerezidentima</v>
      </c>
      <c r="C152" s="481"/>
      <c r="D152" s="481"/>
      <c r="E152" s="481"/>
      <c r="F152" s="481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8">
        <f t="shared" si="20"/>
        <v>134787162.19999999</v>
      </c>
      <c r="T152" s="109">
        <f t="shared" si="21"/>
        <v>3.2076143404488229E-2</v>
      </c>
    </row>
    <row r="153" spans="1:20" ht="13.5" thickBot="1">
      <c r="A153" s="139" t="str">
        <f>+CONCATENATE(A53,"p")</f>
        <v>4630p</v>
      </c>
      <c r="B153" s="482" t="str">
        <f>+VLOOKUP(LEFT($A153,LEN(A153)-1)*1,[1]Master!$D$25:$G$223,4,FALSE)</f>
        <v>Otplata obaveza iz prethodnih godina</v>
      </c>
      <c r="C153" s="483"/>
      <c r="D153" s="483"/>
      <c r="E153" s="483"/>
      <c r="F153" s="483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8">
        <f t="shared" si="20"/>
        <v>33716498.800000004</v>
      </c>
      <c r="T153" s="109">
        <f t="shared" si="21"/>
        <v>8.0237259465505348E-3</v>
      </c>
    </row>
    <row r="154" spans="1:20" ht="13.5" thickBot="1">
      <c r="A154" s="139" t="str">
        <f t="shared" ref="A154:A159" si="30">+CONCATENATE(A60,"p")</f>
        <v>1002p</v>
      </c>
      <c r="B154" s="484" t="str">
        <f>+VLOOKUP(LEFT($A154,LEN(A154)-1)*1,[1]Master!$D$25:$G$223,4,FALSE)</f>
        <v>Nedostajuća sredstva</v>
      </c>
      <c r="C154" s="485"/>
      <c r="D154" s="485"/>
      <c r="E154" s="485"/>
      <c r="F154" s="485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-0.10822648564948192</v>
      </c>
    </row>
    <row r="155" spans="1:20" ht="13.5" thickBot="1">
      <c r="A155" s="139" t="str">
        <f t="shared" si="30"/>
        <v>1003p</v>
      </c>
      <c r="B155" s="486" t="str">
        <f>+VLOOKUP(LEFT($A155,LEN(A155)-1)*1,[1]Master!$D$25:$G$223,4,FALSE)</f>
        <v>Finansiranje</v>
      </c>
      <c r="C155" s="487"/>
      <c r="D155" s="487"/>
      <c r="E155" s="487"/>
      <c r="F155" s="487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0.10822648564948192</v>
      </c>
    </row>
    <row r="156" spans="1:20">
      <c r="A156" s="139" t="str">
        <f t="shared" si="30"/>
        <v>7511p</v>
      </c>
      <c r="B156" s="488" t="str">
        <f>+VLOOKUP(LEFT($A156,LEN(A156)-1)*1,[1]Master!$D$25:$G$223,4,FALSE)</f>
        <v>Pozajmice i krediti od domaćih izvora</v>
      </c>
      <c r="C156" s="489"/>
      <c r="D156" s="489"/>
      <c r="E156" s="489"/>
      <c r="F156" s="489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8">
        <f t="shared" si="20"/>
        <v>99999999.999999985</v>
      </c>
      <c r="T156" s="109">
        <f t="shared" si="21"/>
        <v>2.3797624997025292E-2</v>
      </c>
    </row>
    <row r="157" spans="1:20">
      <c r="A157" s="139" t="str">
        <f t="shared" si="30"/>
        <v>7512p</v>
      </c>
      <c r="B157" s="480" t="str">
        <f>+VLOOKUP(LEFT($A157,LEN(A157)-1)*1,[1]Master!$D$25:$G$223,4,FALSE)</f>
        <v>Pozajmice i krediti od inostranih izvora</v>
      </c>
      <c r="C157" s="481"/>
      <c r="D157" s="481"/>
      <c r="E157" s="481"/>
      <c r="F157" s="481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8">
        <f t="shared" si="20"/>
        <v>354173823.63486993</v>
      </c>
      <c r="T157" s="109">
        <f t="shared" si="21"/>
        <v>8.4284958386252093E-2</v>
      </c>
    </row>
    <row r="158" spans="1:20">
      <c r="A158" s="139" t="str">
        <f t="shared" si="30"/>
        <v>72p</v>
      </c>
      <c r="B158" s="480" t="str">
        <f>+VLOOKUP(LEFT($A158,LEN(A158)-1)*1,[1]Master!$D$25:$G$223,4,FALSE)</f>
        <v>Primici od prodaje imovine</v>
      </c>
      <c r="C158" s="481"/>
      <c r="D158" s="481"/>
      <c r="E158" s="481"/>
      <c r="F158" s="481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+VLOOKUP(LEFT($A159,LEN(A159)-1)*1,[1]Master!$D$25:$G$223,4,FALSE)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1.4390226620452311E-4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525" t="str">
        <f>+Master!G249</f>
        <v>Budget Execution</v>
      </c>
      <c r="C7" s="433"/>
      <c r="D7" s="433"/>
      <c r="E7" s="433"/>
      <c r="F7" s="433"/>
      <c r="G7" s="441">
        <v>2016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+Master!G246</f>
        <v>GDP</v>
      </c>
      <c r="T7" s="262">
        <v>3773000000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41" t="str">
        <f>+Master!G243</f>
        <v>Jan - Jan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8" t="str">
        <f>+VLOOKUP($A53,Master!$D$25:$G$223,4,TRUE)</f>
        <v>Repayments of Arrears</v>
      </c>
      <c r="C53" s="449"/>
      <c r="D53" s="449"/>
      <c r="E53" s="449"/>
      <c r="F53" s="449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82" t="str">
        <f>+VLOOKUP($A54,Master!$D$25:$G$225,4,FALSE)</f>
        <v>Net increase of liabilities</v>
      </c>
      <c r="C54" s="483"/>
      <c r="D54" s="483"/>
      <c r="E54" s="483"/>
      <c r="F54" s="483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4" t="str">
        <f>+VLOOKUP($A55,Master!$D$25:$G$223,4,FALSE)</f>
        <v>Surplus / deficit</v>
      </c>
      <c r="C55" s="455"/>
      <c r="D55" s="455"/>
      <c r="E55" s="455"/>
      <c r="F55" s="455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50" t="str">
        <f>+VLOOKUP($A60,Master!$D$25:$G$223,4,FALSE)</f>
        <v>Financing needs</v>
      </c>
      <c r="C60" s="451"/>
      <c r="D60" s="451"/>
      <c r="E60" s="451"/>
      <c r="F60" s="451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52" t="str">
        <f>+VLOOKUP($A61,Master!$D$25:$G$223,4,FALSE)</f>
        <v>Financing</v>
      </c>
      <c r="C61" s="453"/>
      <c r="D61" s="453"/>
      <c r="E61" s="453"/>
      <c r="F61" s="453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46" t="str">
        <f>+VLOOKUP($A62,Master!$D$25:$G$223,4,FALSE)</f>
        <v>Domestic Loans and Borrowings</v>
      </c>
      <c r="C62" s="447"/>
      <c r="D62" s="447"/>
      <c r="E62" s="447"/>
      <c r="F62" s="447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30" t="str">
        <f>+VLOOKUP($A63,Master!$D$25:$G$223,4,FALSE)</f>
        <v>Foreign Loans and Borrowings</v>
      </c>
      <c r="C63" s="431"/>
      <c r="D63" s="431"/>
      <c r="E63" s="431"/>
      <c r="F63" s="431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30" t="str">
        <f>+VLOOKUP($A64,Master!$D$25:$G$223,4,FALSE)</f>
        <v>Revenues from Selling Assets</v>
      </c>
      <c r="C64" s="431"/>
      <c r="D64" s="431"/>
      <c r="E64" s="431"/>
      <c r="F64" s="431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16" t="str">
        <f>+Master!G250</f>
        <v>Planned Budget Execution</v>
      </c>
      <c r="C101" s="517"/>
      <c r="D101" s="517"/>
      <c r="E101" s="517"/>
      <c r="F101" s="517"/>
      <c r="G101" s="510">
        <v>2016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GDP</v>
      </c>
      <c r="T101" s="117">
        <f>+T7</f>
        <v>3773000000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10" t="str">
        <f>+Master!G244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512" t="str">
        <f>+VLOOKUP(LEFT($A104,LEN(A104)-1)*1,Master!$D$25:$G$223,4,FALSE)</f>
        <v>Total Revenues</v>
      </c>
      <c r="C104" s="513"/>
      <c r="D104" s="513"/>
      <c r="E104" s="513"/>
      <c r="F104" s="513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514" t="str">
        <f>+VLOOKUP(LEFT($A105,LEN(A105)-1)*1,Master!$D$25:$G$223,4,FALSE)</f>
        <v>Taxes</v>
      </c>
      <c r="C105" s="515"/>
      <c r="D105" s="515"/>
      <c r="E105" s="515"/>
      <c r="F105" s="515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96" t="str">
        <f>+VLOOKUP(LEFT($A106,LEN(A106)-1)*1,Master!$D$25:$G$223,4,FALSE)</f>
        <v>Personal Income Tax</v>
      </c>
      <c r="C106" s="497"/>
      <c r="D106" s="497"/>
      <c r="E106" s="497"/>
      <c r="F106" s="497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96" t="str">
        <f>+VLOOKUP(LEFT($A107,LEN(A107)-1)*1,Master!$D$25:$G$223,4,FALSE)</f>
        <v>Corporate Income Tax</v>
      </c>
      <c r="C107" s="497"/>
      <c r="D107" s="497"/>
      <c r="E107" s="497"/>
      <c r="F107" s="497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96" t="str">
        <f>+VLOOKUP(LEFT($A108,LEN(A108)-1)*1,Master!$D$25:$G$223,4,FALSE)</f>
        <v xml:space="preserve">Taxes on Sales of Property </v>
      </c>
      <c r="C108" s="497"/>
      <c r="D108" s="497"/>
      <c r="E108" s="497"/>
      <c r="F108" s="497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96" t="str">
        <f>+VLOOKUP(LEFT($A109,LEN(A109)-1)*1,Master!$D$25:$G$223,4,FALSE)</f>
        <v>Value Added Tax</v>
      </c>
      <c r="C109" s="497"/>
      <c r="D109" s="497"/>
      <c r="E109" s="497"/>
      <c r="F109" s="497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96" t="str">
        <f>+VLOOKUP(LEFT($A110,LEN(A110)-1)*1,Master!$D$25:$G$223,4,FALSE)</f>
        <v>Excises</v>
      </c>
      <c r="C110" s="497"/>
      <c r="D110" s="497"/>
      <c r="E110" s="497"/>
      <c r="F110" s="497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96" t="str">
        <f>+VLOOKUP(LEFT($A111,LEN(A111)-1)*1,Master!$D$25:$G$223,4,FALSE)</f>
        <v>Tax on International Trade and Transactions</v>
      </c>
      <c r="C111" s="497"/>
      <c r="D111" s="497"/>
      <c r="E111" s="497"/>
      <c r="F111" s="497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96" t="str">
        <f>+VLOOKUP(LEFT($A112,LEN(A112)-1)*1,Master!$D$25:$G$223,4,FALSE)</f>
        <v>Other Republic Taxes</v>
      </c>
      <c r="C112" s="497"/>
      <c r="D112" s="497"/>
      <c r="E112" s="497"/>
      <c r="F112" s="497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08" t="str">
        <f>+VLOOKUP(LEFT($A113,LEN(A113)-1)*1,Master!$D$25:$G$223,4,FALSE)</f>
        <v>Contributions</v>
      </c>
      <c r="C113" s="509"/>
      <c r="D113" s="509"/>
      <c r="E113" s="509"/>
      <c r="F113" s="509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96" t="str">
        <f>+VLOOKUP(LEFT($A114,LEN(A114)-1)*1,Master!$D$25:$G$223,4,FALSE)</f>
        <v>Contributions for Pension and Disability Insurance</v>
      </c>
      <c r="C114" s="497"/>
      <c r="D114" s="497"/>
      <c r="E114" s="497"/>
      <c r="F114" s="497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96" t="str">
        <f>+VLOOKUP(LEFT($A115,LEN(A115)-1)*1,Master!$D$25:$G$223,4,FALSE)</f>
        <v>Contributions for Health Insurance</v>
      </c>
      <c r="C115" s="497"/>
      <c r="D115" s="497"/>
      <c r="E115" s="497"/>
      <c r="F115" s="497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96" t="str">
        <f>+VLOOKUP(LEFT($A116,LEN(A116)-1)*1,Master!$D$25:$G$223,4,FALSE)</f>
        <v>Contributions for  Unemployment Insurance</v>
      </c>
      <c r="C116" s="497"/>
      <c r="D116" s="497"/>
      <c r="E116" s="497"/>
      <c r="F116" s="497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96" t="str">
        <f>+VLOOKUP(LEFT($A117,LEN(A117)-1)*1,Master!$D$25:$G$223,4,FALSE)</f>
        <v>Other contributions</v>
      </c>
      <c r="C117" s="497"/>
      <c r="D117" s="497"/>
      <c r="E117" s="497"/>
      <c r="F117" s="497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500" t="str">
        <f>+VLOOKUP(LEFT($A118,LEN(A118)-1)*1,Master!$D$25:$G$223,4,FALSE)</f>
        <v>Duties</v>
      </c>
      <c r="C118" s="501"/>
      <c r="D118" s="501"/>
      <c r="E118" s="501"/>
      <c r="F118" s="501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500" t="str">
        <f>+VLOOKUP(LEFT($A119,LEN(A119)-1)*1,Master!$D$25:$G$223,4,FALSE)</f>
        <v>Fees</v>
      </c>
      <c r="C119" s="501"/>
      <c r="D119" s="501"/>
      <c r="E119" s="501"/>
      <c r="F119" s="501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500" t="str">
        <f>+VLOOKUP(LEFT($A120,LEN(A120)-1)*1,Master!$D$25:$G$223,4,FALSE)</f>
        <v>Other revenues</v>
      </c>
      <c r="C120" s="501"/>
      <c r="D120" s="501"/>
      <c r="E120" s="501"/>
      <c r="F120" s="501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500" t="str">
        <f>+VLOOKUP(LEFT($A121,LEN(A121)-1)*1,Master!$D$25:$G$223,4,FALSE)</f>
        <v>Receipts from Repayment of Loans and Funds Carried over from Previous Year</v>
      </c>
      <c r="C121" s="501"/>
      <c r="D121" s="501"/>
      <c r="E121" s="501"/>
      <c r="F121" s="501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02" t="str">
        <f>+VLOOKUP(LEFT($A122,LEN(A122)-1)*1,Master!$D$25:$G$223,4,FALSE)</f>
        <v>Grants and Transfers</v>
      </c>
      <c r="C122" s="503"/>
      <c r="D122" s="503"/>
      <c r="E122" s="503"/>
      <c r="F122" s="503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86" t="str">
        <f>+VLOOKUP(LEFT($A123,LEN(A123)-1)*1,Master!$D$25:$G$223,4,FALSE)</f>
        <v>Total Expenditures</v>
      </c>
      <c r="C123" s="487"/>
      <c r="D123" s="487"/>
      <c r="E123" s="487"/>
      <c r="F123" s="487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04" t="str">
        <f>+VLOOKUP(LEFT($A124,LEN(A124)-1)*1,Master!$D$25:$G$223,4,FALSE)</f>
        <v>Current Expenditures</v>
      </c>
      <c r="C124" s="505"/>
      <c r="D124" s="505"/>
      <c r="E124" s="505"/>
      <c r="F124" s="505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06" t="str">
        <f>+VLOOKUP(LEFT($A125,LEN(A125)-1)*1,Master!$D$25:$G$223,4,FALSE)</f>
        <v>Current Budgetary Expenditures</v>
      </c>
      <c r="C125" s="507"/>
      <c r="D125" s="507"/>
      <c r="E125" s="507"/>
      <c r="F125" s="507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96" t="str">
        <f>+VLOOKUP(LEFT($A126,LEN(A126)-1)*1,Master!$D$25:$G$223,4,FALSE)</f>
        <v>Gross Salaries and Contributions</v>
      </c>
      <c r="C126" s="497"/>
      <c r="D126" s="497"/>
      <c r="E126" s="497"/>
      <c r="F126" s="497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96" t="str">
        <f>+VLOOKUP(LEFT($A127,LEN(A127)-1)*1,Master!$D$25:$G$223,4,FALSE)</f>
        <v>Other Personal Income</v>
      </c>
      <c r="C127" s="497"/>
      <c r="D127" s="497"/>
      <c r="E127" s="497"/>
      <c r="F127" s="497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96" t="str">
        <f>+VLOOKUP(LEFT($A128,LEN(A128)-1)*1,Master!$D$25:$G$223,4,FALSE)</f>
        <v>Expenditures for Supplies</v>
      </c>
      <c r="C128" s="497"/>
      <c r="D128" s="497"/>
      <c r="E128" s="497"/>
      <c r="F128" s="497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96" t="str">
        <f>+VLOOKUP(LEFT($A129,LEN(A129)-1)*1,Master!$D$25:$G$223,4,FALSE)</f>
        <v>Expenditures for Services</v>
      </c>
      <c r="C129" s="497"/>
      <c r="D129" s="497"/>
      <c r="E129" s="497"/>
      <c r="F129" s="497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96" t="str">
        <f>+VLOOKUP(LEFT($A130,LEN(A130)-1)*1,Master!$D$25:$G$223,4,FALSE)</f>
        <v>Current Maintenance</v>
      </c>
      <c r="C130" s="497"/>
      <c r="D130" s="497"/>
      <c r="E130" s="497"/>
      <c r="F130" s="497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96" t="str">
        <f>+VLOOKUP(LEFT($A131,LEN(A131)-1)*1,Master!$D$25:$G$223,4,FALSE)</f>
        <v>Interests</v>
      </c>
      <c r="C131" s="497"/>
      <c r="D131" s="497"/>
      <c r="E131" s="497"/>
      <c r="F131" s="497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96" t="str">
        <f>+VLOOKUP(LEFT($A132,LEN(A132)-1)*1,Master!$D$25:$G$223,4,FALSE)</f>
        <v>Rent</v>
      </c>
      <c r="C132" s="497"/>
      <c r="D132" s="497"/>
      <c r="E132" s="497"/>
      <c r="F132" s="497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96" t="str">
        <f>+VLOOKUP(LEFT($A133,LEN(A133)-1)*1,Master!$D$25:$G$223,4,FALSE)</f>
        <v>Subsidies</v>
      </c>
      <c r="C133" s="497"/>
      <c r="D133" s="497"/>
      <c r="E133" s="497"/>
      <c r="F133" s="497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96" t="str">
        <f>+VLOOKUP(LEFT($A134,LEN(A134)-1)*1,Master!$D$25:$G$223,4,FALSE)</f>
        <v>Other expenditures</v>
      </c>
      <c r="C134" s="497"/>
      <c r="D134" s="497"/>
      <c r="E134" s="497"/>
      <c r="F134" s="497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96" t="str">
        <f>+VLOOKUP(LEFT($A135,LEN(A135)-1)*1,Master!$D$25:$G$223,4,FALSE)</f>
        <v>Current Capital Expenditure</v>
      </c>
      <c r="C135" s="497"/>
      <c r="D135" s="497"/>
      <c r="E135" s="497"/>
      <c r="F135" s="497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494" t="str">
        <f>+VLOOKUP(LEFT($A136,LEN(A136)-1)*1,Master!$D$25:$G$223,4,FALSE)</f>
        <v>Social Security Transfers</v>
      </c>
      <c r="C136" s="495"/>
      <c r="D136" s="495"/>
      <c r="E136" s="495"/>
      <c r="F136" s="495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96" t="str">
        <f>+VLOOKUP(LEFT($A137,LEN(A137)-1)*1,Master!$D$25:$G$223,4,FALSE)</f>
        <v>Social Security</v>
      </c>
      <c r="C137" s="497"/>
      <c r="D137" s="497"/>
      <c r="E137" s="497"/>
      <c r="F137" s="497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96" t="str">
        <f>+VLOOKUP(LEFT($A138,LEN(A138)-1)*1,Master!$D$25:$G$223,4,FALSE)</f>
        <v>Funds for redundant labor</v>
      </c>
      <c r="C138" s="497"/>
      <c r="D138" s="497"/>
      <c r="E138" s="497"/>
      <c r="F138" s="497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96" t="str">
        <f>+VLOOKUP(LEFT($A139,LEN(A139)-1)*1,Master!$D$25:$G$223,4,FALSE)</f>
        <v>Pension and Disability Insurance</v>
      </c>
      <c r="C139" s="497"/>
      <c r="D139" s="497"/>
      <c r="E139" s="497"/>
      <c r="F139" s="497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96" t="str">
        <f>+VLOOKUP(LEFT($A140,LEN(A140)-1)*1,Master!$D$25:$G$223,4,FALSE)</f>
        <v>Other Health Care Transfers</v>
      </c>
      <c r="C140" s="497"/>
      <c r="D140" s="497"/>
      <c r="E140" s="497"/>
      <c r="F140" s="497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96" t="str">
        <f>+VLOOKUP(LEFT($A141,LEN(A141)-1)*1,Master!$D$25:$G$223,4,FALSE)</f>
        <v>Other Health Care Insurance</v>
      </c>
      <c r="C141" s="497"/>
      <c r="D141" s="497"/>
      <c r="E141" s="497"/>
      <c r="F141" s="497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498" t="str">
        <f>+VLOOKUP(LEFT($A142,LEN(A142)-1)*1,Master!$D$25:$G$223,4,FALSE)</f>
        <v xml:space="preserve">Transfers to Institutions, Individuals, NGO and Public Sector </v>
      </c>
      <c r="C142" s="499"/>
      <c r="D142" s="499"/>
      <c r="E142" s="499"/>
      <c r="F142" s="499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498" t="str">
        <f>+VLOOKUP(LEFT($A143,LEN(A143)-1)*1,Master!$D$25:$G$223,4,FALSE)</f>
        <v>Capital Expenditure</v>
      </c>
      <c r="C143" s="499"/>
      <c r="D143" s="499"/>
      <c r="E143" s="499"/>
      <c r="F143" s="499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480" t="str">
        <f>+VLOOKUP(LEFT($A144,LEN(A144)-1)*1,Master!$D$25:$G$223,4,FALSE)</f>
        <v>Credits and Borrowings</v>
      </c>
      <c r="C144" s="481"/>
      <c r="D144" s="481"/>
      <c r="E144" s="481"/>
      <c r="F144" s="481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480" t="str">
        <f>+VLOOKUP(LEFT($A145,LEN(A145)-1)*1,Master!$D$25:$G$223,4,FALSE)</f>
        <v>Reserves</v>
      </c>
      <c r="C145" s="481"/>
      <c r="D145" s="481"/>
      <c r="E145" s="481"/>
      <c r="F145" s="481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480" t="str">
        <f>+VLOOKUP(LEFT($A146,LEN(A146)-1)*1,Master!$D$25:$G$223,4,FALSE)</f>
        <v>Repayment of Guarantees</v>
      </c>
      <c r="C146" s="481"/>
      <c r="D146" s="481"/>
      <c r="E146" s="481"/>
      <c r="F146" s="481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0" t="str">
        <f>+VLOOKUP(LEFT($A148,LEN(A148)-1)*1,Master!$D$25:$G$223,4,FALSE)</f>
        <v>Surplus / deficit</v>
      </c>
      <c r="C148" s="491"/>
      <c r="D148" s="491"/>
      <c r="E148" s="491"/>
      <c r="F148" s="491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492" t="str">
        <f>+VLOOKUP(LEFT($A149,LEN(A149)-1)*1,Master!$D$25:$G$223,4,FALSE)</f>
        <v>Primary balance</v>
      </c>
      <c r="C149" s="493"/>
      <c r="D149" s="493"/>
      <c r="E149" s="493"/>
      <c r="F149" s="493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494" t="str">
        <f>+VLOOKUP(LEFT($A150,LEN(A150)-1)*1,Master!$D$25:$G$223,4,FALSE)</f>
        <v>Repayment of Debt</v>
      </c>
      <c r="C150" s="495"/>
      <c r="D150" s="495"/>
      <c r="E150" s="495"/>
      <c r="F150" s="495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488" t="str">
        <f>+VLOOKUP(LEFT($A151,LEN(A151)-1)*1,Master!$D$25:$G$223,4,FALSE)</f>
        <v>Repayment of Domestic Debt</v>
      </c>
      <c r="C151" s="489"/>
      <c r="D151" s="489"/>
      <c r="E151" s="489"/>
      <c r="F151" s="489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480" t="str">
        <f>+VLOOKUP(LEFT($A152,LEN(A152)-1)*1,Master!$D$25:$G$223,4,FALSE)</f>
        <v>Repayment of Foreign Debt</v>
      </c>
      <c r="C152" s="481"/>
      <c r="D152" s="481"/>
      <c r="E152" s="481"/>
      <c r="F152" s="481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82" t="str">
        <f>+VLOOKUP(LEFT($A153,LEN(A153)-1)*1,Master!$D$25:$G$223,4,FALSE)</f>
        <v>Repayments of Arrears</v>
      </c>
      <c r="C153" s="483"/>
      <c r="D153" s="483"/>
      <c r="E153" s="483"/>
      <c r="F153" s="483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484" t="str">
        <f>+VLOOKUP(LEFT($A154,LEN(A154)-1)*1,Master!$D$25:$G$223,4,FALSE)</f>
        <v>Financing needs</v>
      </c>
      <c r="C154" s="485"/>
      <c r="D154" s="485"/>
      <c r="E154" s="485"/>
      <c r="F154" s="485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86" t="str">
        <f>+VLOOKUP(LEFT($A155,LEN(A155)-1)*1,Master!$D$25:$G$223,4,FALSE)</f>
        <v>Financing</v>
      </c>
      <c r="C155" s="487"/>
      <c r="D155" s="487"/>
      <c r="E155" s="487"/>
      <c r="F155" s="487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488" t="str">
        <f>+VLOOKUP(LEFT($A156,LEN(A156)-1)*1,Master!$D$25:$G$223,4,FALSE)</f>
        <v>Domestic Loans and Borrowings</v>
      </c>
      <c r="C156" s="489"/>
      <c r="D156" s="489"/>
      <c r="E156" s="489"/>
      <c r="F156" s="489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480" t="str">
        <f>+VLOOKUP(LEFT($A157,LEN(A157)-1)*1,Master!$D$25:$G$223,4,FALSE)</f>
        <v>Foreign Loans and Borrowings</v>
      </c>
      <c r="C157" s="481"/>
      <c r="D157" s="481"/>
      <c r="E157" s="481"/>
      <c r="F157" s="481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480" t="str">
        <f>+VLOOKUP(LEFT($A158,LEN(A158)-1)*1,Master!$D$25:$G$223,4,FALSE)</f>
        <v>Revenues from Selling Assets</v>
      </c>
      <c r="C158" s="481"/>
      <c r="D158" s="481"/>
      <c r="E158" s="481"/>
      <c r="F158" s="481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525" t="str">
        <f>+Master!G249</f>
        <v>Budget Execution</v>
      </c>
      <c r="C7" s="433"/>
      <c r="D7" s="433"/>
      <c r="E7" s="433"/>
      <c r="F7" s="433"/>
      <c r="G7" s="441">
        <v>2015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+Master!G246</f>
        <v>GDP</v>
      </c>
      <c r="T7" s="262">
        <v>3625000000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41" t="s">
        <v>742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48" t="str">
        <f>+VLOOKUP($A53,Master!$D$25:$G$223,4,TRUE)</f>
        <v>Repayments of Arrears</v>
      </c>
      <c r="C53" s="449"/>
      <c r="D53" s="449"/>
      <c r="E53" s="449"/>
      <c r="F53" s="449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82" t="str">
        <f>+VLOOKUP($A54,Master!$D$25:$G$225,4,FALSE)</f>
        <v>Net increase of liabilities</v>
      </c>
      <c r="C54" s="483"/>
      <c r="D54" s="483"/>
      <c r="E54" s="483"/>
      <c r="F54" s="483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54" t="str">
        <f>+VLOOKUP($A55,Master!$D$25:$G$223,4,FALSE)</f>
        <v>Surplus / deficit</v>
      </c>
      <c r="C55" s="455"/>
      <c r="D55" s="455"/>
      <c r="E55" s="455"/>
      <c r="F55" s="455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50" t="str">
        <f>+VLOOKUP($A60,Master!$D$25:$G$223,4,FALSE)</f>
        <v>Financing needs</v>
      </c>
      <c r="C60" s="451"/>
      <c r="D60" s="451"/>
      <c r="E60" s="451"/>
      <c r="F60" s="451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52" t="str">
        <f>+VLOOKUP($A61,Master!$D$25:$G$223,4,FALSE)</f>
        <v>Financing</v>
      </c>
      <c r="C61" s="453"/>
      <c r="D61" s="453"/>
      <c r="E61" s="453"/>
      <c r="F61" s="453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46" t="str">
        <f>+VLOOKUP($A62,Master!$D$25:$G$223,4,FALSE)</f>
        <v>Domestic Loans and Borrowings</v>
      </c>
      <c r="C62" s="447"/>
      <c r="D62" s="447"/>
      <c r="E62" s="447"/>
      <c r="F62" s="447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30" t="str">
        <f>+VLOOKUP($A63,Master!$D$25:$G$223,4,FALSE)</f>
        <v>Foreign Loans and Borrowings</v>
      </c>
      <c r="C63" s="431"/>
      <c r="D63" s="431"/>
      <c r="E63" s="431"/>
      <c r="F63" s="431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30" t="str">
        <f>+VLOOKUP($A64,Master!$D$25:$G$223,4,FALSE)</f>
        <v>Revenues from Selling Assets</v>
      </c>
      <c r="C64" s="431"/>
      <c r="D64" s="431"/>
      <c r="E64" s="431"/>
      <c r="F64" s="431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16" t="str">
        <f>+Master!G250</f>
        <v>Planned Budget Execution</v>
      </c>
      <c r="C101" s="517"/>
      <c r="D101" s="517"/>
      <c r="E101" s="517"/>
      <c r="F101" s="517"/>
      <c r="G101" s="510">
        <v>2015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GDP</v>
      </c>
      <c r="T101" s="117">
        <f>+T7</f>
        <v>3625000000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10" t="str">
        <f>+Master!G244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512" t="str">
        <f>+VLOOKUP(LEFT($A104,LEN(A104)-1)*1,Master!$D$25:$G$223,4,FALSE)</f>
        <v>Total Revenues</v>
      </c>
      <c r="C104" s="513"/>
      <c r="D104" s="513"/>
      <c r="E104" s="513"/>
      <c r="F104" s="513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514" t="str">
        <f>+VLOOKUP(LEFT($A105,LEN(A105)-1)*1,Master!$D$25:$G$223,4,FALSE)</f>
        <v>Taxes</v>
      </c>
      <c r="C105" s="515"/>
      <c r="D105" s="515"/>
      <c r="E105" s="515"/>
      <c r="F105" s="515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96" t="str">
        <f>+VLOOKUP(LEFT($A106,LEN(A106)-1)*1,Master!$D$25:$G$223,4,FALSE)</f>
        <v>Personal Income Tax</v>
      </c>
      <c r="C106" s="497"/>
      <c r="D106" s="497"/>
      <c r="E106" s="497"/>
      <c r="F106" s="497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96" t="str">
        <f>+VLOOKUP(LEFT($A107,LEN(A107)-1)*1,Master!$D$25:$G$223,4,FALSE)</f>
        <v>Corporate Income Tax</v>
      </c>
      <c r="C107" s="497"/>
      <c r="D107" s="497"/>
      <c r="E107" s="497"/>
      <c r="F107" s="497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96" t="str">
        <f>+VLOOKUP(LEFT($A108,LEN(A108)-1)*1,Master!$D$25:$G$223,4,FALSE)</f>
        <v xml:space="preserve">Taxes on Sales of Property </v>
      </c>
      <c r="C108" s="497"/>
      <c r="D108" s="497"/>
      <c r="E108" s="497"/>
      <c r="F108" s="497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96" t="str">
        <f>+VLOOKUP(LEFT($A109,LEN(A109)-1)*1,Master!$D$25:$G$223,4,FALSE)</f>
        <v>Value Added Tax</v>
      </c>
      <c r="C109" s="497"/>
      <c r="D109" s="497"/>
      <c r="E109" s="497"/>
      <c r="F109" s="497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96" t="str">
        <f>+VLOOKUP(LEFT($A110,LEN(A110)-1)*1,Master!$D$25:$G$223,4,FALSE)</f>
        <v>Excises</v>
      </c>
      <c r="C110" s="497"/>
      <c r="D110" s="497"/>
      <c r="E110" s="497"/>
      <c r="F110" s="497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96" t="str">
        <f>+VLOOKUP(LEFT($A111,LEN(A111)-1)*1,Master!$D$25:$G$223,4,FALSE)</f>
        <v>Tax on International Trade and Transactions</v>
      </c>
      <c r="C111" s="497"/>
      <c r="D111" s="497"/>
      <c r="E111" s="497"/>
      <c r="F111" s="497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96" t="str">
        <f>+VLOOKUP(LEFT($A112,LEN(A112)-1)*1,Master!$D$25:$G$223,4,FALSE)</f>
        <v>Other Republic Taxes</v>
      </c>
      <c r="C112" s="497"/>
      <c r="D112" s="497"/>
      <c r="E112" s="497"/>
      <c r="F112" s="497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08" t="str">
        <f>+VLOOKUP(LEFT($A113,LEN(A113)-1)*1,Master!$D$25:$G$223,4,FALSE)</f>
        <v>Contributions</v>
      </c>
      <c r="C113" s="509"/>
      <c r="D113" s="509"/>
      <c r="E113" s="509"/>
      <c r="F113" s="509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96" t="str">
        <f>+VLOOKUP(LEFT($A114,LEN(A114)-1)*1,Master!$D$25:$G$223,4,FALSE)</f>
        <v>Contributions for Pension and Disability Insurance</v>
      </c>
      <c r="C114" s="497"/>
      <c r="D114" s="497"/>
      <c r="E114" s="497"/>
      <c r="F114" s="497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96" t="str">
        <f>+VLOOKUP(LEFT($A115,LEN(A115)-1)*1,Master!$D$25:$G$223,4,FALSE)</f>
        <v>Contributions for Health Insurance</v>
      </c>
      <c r="C115" s="497"/>
      <c r="D115" s="497"/>
      <c r="E115" s="497"/>
      <c r="F115" s="497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96" t="str">
        <f>+VLOOKUP(LEFT($A116,LEN(A116)-1)*1,Master!$D$25:$G$223,4,FALSE)</f>
        <v>Contributions for  Unemployment Insurance</v>
      </c>
      <c r="C116" s="497"/>
      <c r="D116" s="497"/>
      <c r="E116" s="497"/>
      <c r="F116" s="497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96" t="str">
        <f>+VLOOKUP(LEFT($A117,LEN(A117)-1)*1,Master!$D$25:$G$223,4,FALSE)</f>
        <v>Other contributions</v>
      </c>
      <c r="C117" s="497"/>
      <c r="D117" s="497"/>
      <c r="E117" s="497"/>
      <c r="F117" s="497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500" t="str">
        <f>+VLOOKUP(LEFT($A118,LEN(A118)-1)*1,Master!$D$25:$G$223,4,FALSE)</f>
        <v>Duties</v>
      </c>
      <c r="C118" s="501"/>
      <c r="D118" s="501"/>
      <c r="E118" s="501"/>
      <c r="F118" s="501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500" t="str">
        <f>+VLOOKUP(LEFT($A119,LEN(A119)-1)*1,Master!$D$25:$G$223,4,FALSE)</f>
        <v>Fees</v>
      </c>
      <c r="C119" s="501"/>
      <c r="D119" s="501"/>
      <c r="E119" s="501"/>
      <c r="F119" s="501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500" t="str">
        <f>+VLOOKUP(LEFT($A120,LEN(A120)-1)*1,Master!$D$25:$G$223,4,FALSE)</f>
        <v>Other revenues</v>
      </c>
      <c r="C120" s="501"/>
      <c r="D120" s="501"/>
      <c r="E120" s="501"/>
      <c r="F120" s="501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500" t="str">
        <f>+VLOOKUP(LEFT($A121,LEN(A121)-1)*1,Master!$D$25:$G$223,4,FALSE)</f>
        <v>Receipts from Repayment of Loans and Funds Carried over from Previous Year</v>
      </c>
      <c r="C121" s="501"/>
      <c r="D121" s="501"/>
      <c r="E121" s="501"/>
      <c r="F121" s="501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02" t="str">
        <f>+VLOOKUP(LEFT($A122,LEN(A122)-1)*1,Master!$D$25:$G$223,4,FALSE)</f>
        <v>Grants and Transfers</v>
      </c>
      <c r="C122" s="503"/>
      <c r="D122" s="503"/>
      <c r="E122" s="503"/>
      <c r="F122" s="503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86" t="str">
        <f>+VLOOKUP(LEFT($A123,LEN(A123)-1)*1,Master!$D$25:$G$223,4,FALSE)</f>
        <v>Total Expenditures</v>
      </c>
      <c r="C123" s="487"/>
      <c r="D123" s="487"/>
      <c r="E123" s="487"/>
      <c r="F123" s="487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04" t="str">
        <f>+VLOOKUP(LEFT($A124,LEN(A124)-1)*1,Master!$D$25:$G$223,4,FALSE)</f>
        <v>Current Expenditures</v>
      </c>
      <c r="C124" s="505"/>
      <c r="D124" s="505"/>
      <c r="E124" s="505"/>
      <c r="F124" s="505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06" t="str">
        <f>+VLOOKUP(LEFT($A125,LEN(A125)-1)*1,Master!$D$25:$G$223,4,FALSE)</f>
        <v>Current Budgetary Expenditures</v>
      </c>
      <c r="C125" s="507"/>
      <c r="D125" s="507"/>
      <c r="E125" s="507"/>
      <c r="F125" s="507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96" t="str">
        <f>+VLOOKUP(LEFT($A126,LEN(A126)-1)*1,Master!$D$25:$G$223,4,FALSE)</f>
        <v>Gross Salaries and Contributions</v>
      </c>
      <c r="C126" s="497"/>
      <c r="D126" s="497"/>
      <c r="E126" s="497"/>
      <c r="F126" s="497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96" t="str">
        <f>+VLOOKUP(LEFT($A127,LEN(A127)-1)*1,Master!$D$25:$G$223,4,FALSE)</f>
        <v>Other Personal Income</v>
      </c>
      <c r="C127" s="497"/>
      <c r="D127" s="497"/>
      <c r="E127" s="497"/>
      <c r="F127" s="497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96" t="str">
        <f>+VLOOKUP(LEFT($A128,LEN(A128)-1)*1,Master!$D$25:$G$223,4,FALSE)</f>
        <v>Expenditures for Supplies</v>
      </c>
      <c r="C128" s="497"/>
      <c r="D128" s="497"/>
      <c r="E128" s="497"/>
      <c r="F128" s="497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96" t="str">
        <f>+VLOOKUP(LEFT($A129,LEN(A129)-1)*1,Master!$D$25:$G$223,4,FALSE)</f>
        <v>Expenditures for Services</v>
      </c>
      <c r="C129" s="497"/>
      <c r="D129" s="497"/>
      <c r="E129" s="497"/>
      <c r="F129" s="497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96" t="str">
        <f>+VLOOKUP(LEFT($A130,LEN(A130)-1)*1,Master!$D$25:$G$223,4,FALSE)</f>
        <v>Current Maintenance</v>
      </c>
      <c r="C130" s="497"/>
      <c r="D130" s="497"/>
      <c r="E130" s="497"/>
      <c r="F130" s="497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96" t="str">
        <f>+VLOOKUP(LEFT($A131,LEN(A131)-1)*1,Master!$D$25:$G$223,4,FALSE)</f>
        <v>Interests</v>
      </c>
      <c r="C131" s="497"/>
      <c r="D131" s="497"/>
      <c r="E131" s="497"/>
      <c r="F131" s="497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96" t="str">
        <f>+VLOOKUP(LEFT($A132,LEN(A132)-1)*1,Master!$D$25:$G$223,4,FALSE)</f>
        <v>Rent</v>
      </c>
      <c r="C132" s="497"/>
      <c r="D132" s="497"/>
      <c r="E132" s="497"/>
      <c r="F132" s="497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96" t="str">
        <f>+VLOOKUP(LEFT($A133,LEN(A133)-1)*1,Master!$D$25:$G$223,4,FALSE)</f>
        <v>Subsidies</v>
      </c>
      <c r="C133" s="497"/>
      <c r="D133" s="497"/>
      <c r="E133" s="497"/>
      <c r="F133" s="497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96" t="str">
        <f>+VLOOKUP(LEFT($A134,LEN(A134)-1)*1,Master!$D$25:$G$223,4,FALSE)</f>
        <v>Other expenditures</v>
      </c>
      <c r="C134" s="497"/>
      <c r="D134" s="497"/>
      <c r="E134" s="497"/>
      <c r="F134" s="497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96" t="str">
        <f>+VLOOKUP(LEFT($A135,LEN(A135)-1)*1,Master!$D$25:$G$223,4,FALSE)</f>
        <v>Current Capital Expenditure</v>
      </c>
      <c r="C135" s="497"/>
      <c r="D135" s="497"/>
      <c r="E135" s="497"/>
      <c r="F135" s="497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494" t="str">
        <f>+VLOOKUP(LEFT($A136,LEN(A136)-1)*1,Master!$D$25:$G$223,4,FALSE)</f>
        <v>Social Security Transfers</v>
      </c>
      <c r="C136" s="495"/>
      <c r="D136" s="495"/>
      <c r="E136" s="495"/>
      <c r="F136" s="495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96" t="str">
        <f>+VLOOKUP(LEFT($A137,LEN(A137)-1)*1,Master!$D$25:$G$223,4,FALSE)</f>
        <v>Social Security</v>
      </c>
      <c r="C137" s="497"/>
      <c r="D137" s="497"/>
      <c r="E137" s="497"/>
      <c r="F137" s="497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96" t="str">
        <f>+VLOOKUP(LEFT($A138,LEN(A138)-1)*1,Master!$D$25:$G$223,4,FALSE)</f>
        <v>Funds for redundant labor</v>
      </c>
      <c r="C138" s="497"/>
      <c r="D138" s="497"/>
      <c r="E138" s="497"/>
      <c r="F138" s="497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96" t="str">
        <f>+VLOOKUP(LEFT($A139,LEN(A139)-1)*1,Master!$D$25:$G$223,4,FALSE)</f>
        <v>Pension and Disability Insurance</v>
      </c>
      <c r="C139" s="497"/>
      <c r="D139" s="497"/>
      <c r="E139" s="497"/>
      <c r="F139" s="497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96" t="str">
        <f>+VLOOKUP(LEFT($A140,LEN(A140)-1)*1,Master!$D$25:$G$223,4,FALSE)</f>
        <v>Other Health Care Transfers</v>
      </c>
      <c r="C140" s="497"/>
      <c r="D140" s="497"/>
      <c r="E140" s="497"/>
      <c r="F140" s="497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96" t="str">
        <f>+VLOOKUP(LEFT($A141,LEN(A141)-1)*1,Master!$D$25:$G$223,4,FALSE)</f>
        <v>Other Health Care Insurance</v>
      </c>
      <c r="C141" s="497"/>
      <c r="D141" s="497"/>
      <c r="E141" s="497"/>
      <c r="F141" s="497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498" t="str">
        <f>+VLOOKUP(LEFT($A142,LEN(A142)-1)*1,Master!$D$25:$G$223,4,FALSE)</f>
        <v xml:space="preserve">Transfers to Institutions, Individuals, NGO and Public Sector </v>
      </c>
      <c r="C142" s="499"/>
      <c r="D142" s="499"/>
      <c r="E142" s="499"/>
      <c r="F142" s="499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498" t="str">
        <f>+VLOOKUP(LEFT($A143,LEN(A143)-1)*1,Master!$D$25:$G$223,4,FALSE)</f>
        <v>Capital Expenditure</v>
      </c>
      <c r="C143" s="499"/>
      <c r="D143" s="499"/>
      <c r="E143" s="499"/>
      <c r="F143" s="499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480" t="str">
        <f>+VLOOKUP(LEFT($A144,LEN(A144)-1)*1,Master!$D$25:$G$223,4,FALSE)</f>
        <v>Credits and Borrowings</v>
      </c>
      <c r="C144" s="481"/>
      <c r="D144" s="481"/>
      <c r="E144" s="481"/>
      <c r="F144" s="481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480" t="str">
        <f>+VLOOKUP(LEFT($A145,LEN(A145)-1)*1,Master!$D$25:$G$223,4,FALSE)</f>
        <v>Reserves</v>
      </c>
      <c r="C145" s="481"/>
      <c r="D145" s="481"/>
      <c r="E145" s="481"/>
      <c r="F145" s="481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82" t="str">
        <f>+VLOOKUP(LEFT($A146,LEN(A146)-1)*1,Master!$D$25:$G$223,4,FALSE)</f>
        <v>Repayment of Guarantees</v>
      </c>
      <c r="C146" s="483"/>
      <c r="D146" s="483"/>
      <c r="E146" s="483"/>
      <c r="F146" s="483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490" t="str">
        <f>+VLOOKUP(LEFT($A147,LEN(A147)-1)*1,Master!$D$25:$G$223,4,FALSE)</f>
        <v>Surplus / deficit</v>
      </c>
      <c r="C147" s="491"/>
      <c r="D147" s="491"/>
      <c r="E147" s="491"/>
      <c r="F147" s="491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492" t="str">
        <f>+VLOOKUP(LEFT($A148,LEN(A148)-1)*1,Master!$D$25:$G$223,4,FALSE)</f>
        <v>Primary balance</v>
      </c>
      <c r="C148" s="493"/>
      <c r="D148" s="493"/>
      <c r="E148" s="493"/>
      <c r="F148" s="493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494" t="str">
        <f>+VLOOKUP(LEFT($A149,LEN(A149)-1)*1,Master!$D$25:$G$223,4,FALSE)</f>
        <v>Repayment of Debt</v>
      </c>
      <c r="C149" s="495"/>
      <c r="D149" s="495"/>
      <c r="E149" s="495"/>
      <c r="F149" s="495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488" t="str">
        <f>+VLOOKUP(LEFT($A150,LEN(A150)-1)*1,Master!$D$25:$G$223,4,FALSE)</f>
        <v>Repayment of Domestic Debt</v>
      </c>
      <c r="C150" s="489"/>
      <c r="D150" s="489"/>
      <c r="E150" s="489"/>
      <c r="F150" s="489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480" t="str">
        <f>+VLOOKUP(LEFT($A151,LEN(A151)-1)*1,Master!$D$25:$G$223,4,FALSE)</f>
        <v>Repayment of Foreign Debt</v>
      </c>
      <c r="C151" s="481"/>
      <c r="D151" s="481"/>
      <c r="E151" s="481"/>
      <c r="F151" s="481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82" t="str">
        <f>+VLOOKUP(LEFT($A152,LEN(A152)-1)*1,Master!$D$25:$G$223,4,FALSE)</f>
        <v>Repayments of Arrears</v>
      </c>
      <c r="C152" s="483"/>
      <c r="D152" s="483"/>
      <c r="E152" s="483"/>
      <c r="F152" s="483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484" t="str">
        <f>+VLOOKUP(LEFT($A153,LEN(A153)-1)*1,Master!$D$25:$G$223,4,FALSE)</f>
        <v>Financing needs</v>
      </c>
      <c r="C153" s="485"/>
      <c r="D153" s="485"/>
      <c r="E153" s="485"/>
      <c r="F153" s="485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86" t="str">
        <f>+VLOOKUP(LEFT($A154,LEN(A154)-1)*1,Master!$D$25:$G$223,4,FALSE)</f>
        <v>Financing</v>
      </c>
      <c r="C154" s="487"/>
      <c r="D154" s="487"/>
      <c r="E154" s="487"/>
      <c r="F154" s="487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488" t="str">
        <f>+VLOOKUP(LEFT($A155,LEN(A155)-1)*1,Master!$D$25:$G$223,4,FALSE)</f>
        <v>Domestic Loans and Borrowings</v>
      </c>
      <c r="C155" s="489"/>
      <c r="D155" s="489"/>
      <c r="E155" s="489"/>
      <c r="F155" s="489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480" t="str">
        <f>+VLOOKUP(LEFT($A156,LEN(A156)-1)*1,Master!$D$25:$G$223,4,FALSE)</f>
        <v>Foreign Loans and Borrowings</v>
      </c>
      <c r="C156" s="481"/>
      <c r="D156" s="481"/>
      <c r="E156" s="481"/>
      <c r="F156" s="481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480" t="str">
        <f>+VLOOKUP(LEFT($A157,LEN(A157)-1)*1,Master!$D$25:$G$223,4,FALSE)</f>
        <v>Revenues from Selling Assets</v>
      </c>
      <c r="C157" s="481"/>
      <c r="D157" s="481"/>
      <c r="E157" s="481"/>
      <c r="F157" s="481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Increase / decrease of deposits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525" t="str">
        <f>+Master!G249</f>
        <v>Budget Execution</v>
      </c>
      <c r="C7" s="433"/>
      <c r="D7" s="433"/>
      <c r="E7" s="433"/>
      <c r="F7" s="433"/>
      <c r="G7" s="441">
        <v>2014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+Master!G246</f>
        <v>GDP</v>
      </c>
      <c r="T7" s="262">
        <v>3457880000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41" t="s">
        <v>707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48" t="str">
        <f>+VLOOKUP($A53,Master!$D$25:$G$223,4,TRUE)</f>
        <v>Repayments of Arrears</v>
      </c>
      <c r="C53" s="449"/>
      <c r="D53" s="449"/>
      <c r="E53" s="449"/>
      <c r="F53" s="449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82" t="str">
        <f>+VLOOKUP($A54,Master!$D$25:$G$225,4,FALSE)</f>
        <v>Net increase of liabilities</v>
      </c>
      <c r="C54" s="483"/>
      <c r="D54" s="483"/>
      <c r="E54" s="483"/>
      <c r="F54" s="48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26" t="str">
        <f>+VLOOKUP($A55,Master!$D$25:$G$223,4,FALSE)</f>
        <v>Surplus / deficit</v>
      </c>
      <c r="C55" s="527"/>
      <c r="D55" s="527"/>
      <c r="E55" s="527"/>
      <c r="F55" s="527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50" t="str">
        <f>+VLOOKUP($A60,Master!$D$25:$G$223,4,FALSE)</f>
        <v>Financing needs</v>
      </c>
      <c r="C60" s="451"/>
      <c r="D60" s="451"/>
      <c r="E60" s="451"/>
      <c r="F60" s="451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52" t="str">
        <f>+VLOOKUP($A61,Master!$D$25:$G$223,4,FALSE)</f>
        <v>Financing</v>
      </c>
      <c r="C61" s="453"/>
      <c r="D61" s="453"/>
      <c r="E61" s="453"/>
      <c r="F61" s="453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46" t="str">
        <f>+VLOOKUP($A62,Master!$D$25:$G$223,4,FALSE)</f>
        <v>Domestic Loans and Borrowings</v>
      </c>
      <c r="C62" s="447"/>
      <c r="D62" s="447"/>
      <c r="E62" s="447"/>
      <c r="F62" s="447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30" t="str">
        <f>+VLOOKUP($A63,Master!$D$25:$G$223,4,FALSE)</f>
        <v>Foreign Loans and Borrowings</v>
      </c>
      <c r="C63" s="431"/>
      <c r="D63" s="431"/>
      <c r="E63" s="431"/>
      <c r="F63" s="431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30" t="str">
        <f>+VLOOKUP($A64,Master!$D$25:$G$223,4,FALSE)</f>
        <v>Revenues from Selling Assets</v>
      </c>
      <c r="C64" s="431"/>
      <c r="D64" s="431"/>
      <c r="E64" s="431"/>
      <c r="F64" s="431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16" t="str">
        <f>+Master!G250</f>
        <v>Planned Budget Execution</v>
      </c>
      <c r="C101" s="517"/>
      <c r="D101" s="517"/>
      <c r="E101" s="517"/>
      <c r="F101" s="517"/>
      <c r="G101" s="510">
        <v>2014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GDP</v>
      </c>
      <c r="T101" s="117">
        <v>3393200615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510" t="str">
        <f>+Master!G244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11" si="16">+CONCATENATE(A10,"p")</f>
        <v>7p</v>
      </c>
      <c r="B104" s="512" t="str">
        <f>+VLOOKUP(LEFT($A104,LEN(A104)-1)*1,Master!$D$25:$G$223,4,FALSE)</f>
        <v>Total Revenues</v>
      </c>
      <c r="C104" s="513"/>
      <c r="D104" s="513"/>
      <c r="E104" s="513"/>
      <c r="F104" s="513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514" t="str">
        <f>+VLOOKUP(LEFT($A105,LEN(A105)-1)*1,Master!$D$25:$G$223,4,FALSE)</f>
        <v>Taxes</v>
      </c>
      <c r="C105" s="515"/>
      <c r="D105" s="515"/>
      <c r="E105" s="515"/>
      <c r="F105" s="515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96" t="str">
        <f>+VLOOKUP(LEFT($A106,LEN(A106)-1)*1,Master!$D$25:$G$223,4,FALSE)</f>
        <v>Personal Income Tax</v>
      </c>
      <c r="C106" s="497"/>
      <c r="D106" s="497"/>
      <c r="E106" s="497"/>
      <c r="F106" s="497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96" t="str">
        <f>+VLOOKUP(LEFT($A107,LEN(A107)-1)*1,Master!$D$25:$G$223,4,FALSE)</f>
        <v>Corporate Income Tax</v>
      </c>
      <c r="C107" s="497"/>
      <c r="D107" s="497"/>
      <c r="E107" s="497"/>
      <c r="F107" s="497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96" t="str">
        <f>+VLOOKUP(LEFT($A108,LEN(A108)-1)*1,Master!$D$25:$G$223,4,FALSE)</f>
        <v xml:space="preserve">Taxes on Sales of Property </v>
      </c>
      <c r="C108" s="497"/>
      <c r="D108" s="497"/>
      <c r="E108" s="497"/>
      <c r="F108" s="497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96" t="str">
        <f>+VLOOKUP(LEFT($A109,LEN(A109)-1)*1,Master!$D$25:$G$223,4,FALSE)</f>
        <v>Value Added Tax</v>
      </c>
      <c r="C109" s="497"/>
      <c r="D109" s="497"/>
      <c r="E109" s="497"/>
      <c r="F109" s="497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96" t="str">
        <f>+VLOOKUP(LEFT($A110,LEN(A110)-1)*1,Master!$D$25:$G$223,4,FALSE)</f>
        <v>Excises</v>
      </c>
      <c r="C110" s="497"/>
      <c r="D110" s="497"/>
      <c r="E110" s="497"/>
      <c r="F110" s="497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96" t="str">
        <f>+VLOOKUP(LEFT($A111,LEN(A111)-1)*1,Master!$D$25:$G$223,4,FALSE)</f>
        <v>Tax on International Trade and Transactions</v>
      </c>
      <c r="C111" s="497"/>
      <c r="D111" s="497"/>
      <c r="E111" s="497"/>
      <c r="F111" s="497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96" t="e">
        <f>+VLOOKUP(LEFT($A112,LEN(A112)-1)*1,Master!$D$25:$G$223,4,FALSE)</f>
        <v>#REF!</v>
      </c>
      <c r="C112" s="497"/>
      <c r="D112" s="497"/>
      <c r="E112" s="497"/>
      <c r="F112" s="497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96" t="str">
        <f>+VLOOKUP(LEFT($A113,LEN(A113)-1)*1,Master!$D$25:$G$223,4,FALSE)</f>
        <v>Other Republic Taxes</v>
      </c>
      <c r="C113" s="497"/>
      <c r="D113" s="497"/>
      <c r="E113" s="497"/>
      <c r="F113" s="497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08" t="str">
        <f>+VLOOKUP(LEFT($A114,LEN(A114)-1)*1,Master!$D$25:$G$223,4,FALSE)</f>
        <v>Contributions</v>
      </c>
      <c r="C114" s="509"/>
      <c r="D114" s="509"/>
      <c r="E114" s="509"/>
      <c r="F114" s="509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96" t="str">
        <f>+VLOOKUP(LEFT($A115,LEN(A115)-1)*1,Master!$D$25:$G$223,4,FALSE)</f>
        <v>Contributions for Pension and Disability Insurance</v>
      </c>
      <c r="C115" s="497"/>
      <c r="D115" s="497"/>
      <c r="E115" s="497"/>
      <c r="F115" s="497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96" t="str">
        <f>+VLOOKUP(LEFT($A116,LEN(A116)-1)*1,Master!$D$25:$G$223,4,FALSE)</f>
        <v>Contributions for Health Insurance</v>
      </c>
      <c r="C116" s="497"/>
      <c r="D116" s="497"/>
      <c r="E116" s="497"/>
      <c r="F116" s="497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96" t="str">
        <f>+VLOOKUP(LEFT($A117,LEN(A117)-1)*1,Master!$D$25:$G$223,4,FALSE)</f>
        <v>Contributions for  Unemployment Insurance</v>
      </c>
      <c r="C117" s="497"/>
      <c r="D117" s="497"/>
      <c r="E117" s="497"/>
      <c r="F117" s="497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96" t="str">
        <f>+VLOOKUP(LEFT($A118,LEN(A118)-1)*1,Master!$D$25:$G$223,4,FALSE)</f>
        <v>Other contributions</v>
      </c>
      <c r="C118" s="497"/>
      <c r="D118" s="497"/>
      <c r="E118" s="497"/>
      <c r="F118" s="497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500" t="str">
        <f>+VLOOKUP(LEFT($A119,LEN(A119)-1)*1,Master!$D$25:$G$223,4,FALSE)</f>
        <v>Duties</v>
      </c>
      <c r="C119" s="501"/>
      <c r="D119" s="501"/>
      <c r="E119" s="501"/>
      <c r="F119" s="501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500" t="str">
        <f>+VLOOKUP(LEFT($A120,LEN(A120)-1)*1,Master!$D$25:$G$223,4,FALSE)</f>
        <v>Fees</v>
      </c>
      <c r="C120" s="501"/>
      <c r="D120" s="501"/>
      <c r="E120" s="501"/>
      <c r="F120" s="501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500" t="str">
        <f>+VLOOKUP(LEFT($A121,LEN(A121)-1)*1,Master!$D$25:$G$223,4,FALSE)</f>
        <v>Other revenues</v>
      </c>
      <c r="C121" s="501"/>
      <c r="D121" s="501"/>
      <c r="E121" s="501"/>
      <c r="F121" s="501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500" t="str">
        <f>+VLOOKUP(LEFT($A122,LEN(A122)-1)*1,Master!$D$25:$G$223,4,FALSE)</f>
        <v>Receipts from Repayment of Loans and Funds Carried over from Previous Year</v>
      </c>
      <c r="C122" s="501"/>
      <c r="D122" s="501"/>
      <c r="E122" s="501"/>
      <c r="F122" s="501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02" t="str">
        <f>+VLOOKUP(LEFT($A123,LEN(A123)-1)*1,Master!$D$25:$G$223,4,FALSE)</f>
        <v>Grants and Transfers</v>
      </c>
      <c r="C123" s="503"/>
      <c r="D123" s="503"/>
      <c r="E123" s="503"/>
      <c r="F123" s="503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86" t="str">
        <f>+VLOOKUP(LEFT($A124,LEN(A124)-1)*1,Master!$D$25:$G$223,4,FALSE)</f>
        <v>Total Expenditures</v>
      </c>
      <c r="C124" s="487"/>
      <c r="D124" s="487"/>
      <c r="E124" s="487"/>
      <c r="F124" s="487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04" t="str">
        <f>+VLOOKUP(LEFT($A125,LEN(A125)-1)*1,Master!$D$25:$G$223,4,FALSE)</f>
        <v>Current Expenditures</v>
      </c>
      <c r="C125" s="505"/>
      <c r="D125" s="505"/>
      <c r="E125" s="505"/>
      <c r="F125" s="505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06" t="str">
        <f>+VLOOKUP(LEFT($A126,LEN(A126)-1)*1,Master!$D$25:$G$223,4,FALSE)</f>
        <v>Current Budgetary Expenditures</v>
      </c>
      <c r="C126" s="507"/>
      <c r="D126" s="507"/>
      <c r="E126" s="507"/>
      <c r="F126" s="507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96" t="str">
        <f>+VLOOKUP(LEFT($A127,LEN(A127)-1)*1,Master!$D$25:$G$223,4,FALSE)</f>
        <v>Gross Salaries and Contributions</v>
      </c>
      <c r="C127" s="497"/>
      <c r="D127" s="497"/>
      <c r="E127" s="497"/>
      <c r="F127" s="497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96" t="str">
        <f>+VLOOKUP(LEFT($A128,LEN(A128)-1)*1,Master!$D$25:$G$223,4,FALSE)</f>
        <v>Other Personal Income</v>
      </c>
      <c r="C128" s="497"/>
      <c r="D128" s="497"/>
      <c r="E128" s="497"/>
      <c r="F128" s="497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96" t="str">
        <f>+VLOOKUP(LEFT($A129,LEN(A129)-1)*1,Master!$D$25:$G$223,4,FALSE)</f>
        <v>Expenditures for Supplies</v>
      </c>
      <c r="C129" s="497"/>
      <c r="D129" s="497"/>
      <c r="E129" s="497"/>
      <c r="F129" s="497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96" t="str">
        <f>+VLOOKUP(LEFT($A130,LEN(A130)-1)*1,Master!$D$25:$G$223,4,FALSE)</f>
        <v>Expenditures for Services</v>
      </c>
      <c r="C130" s="497"/>
      <c r="D130" s="497"/>
      <c r="E130" s="497"/>
      <c r="F130" s="497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96" t="str">
        <f>+VLOOKUP(LEFT($A131,LEN(A131)-1)*1,Master!$D$25:$G$223,4,FALSE)</f>
        <v>Current Maintenance</v>
      </c>
      <c r="C131" s="497"/>
      <c r="D131" s="497"/>
      <c r="E131" s="497"/>
      <c r="F131" s="497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96" t="str">
        <f>+VLOOKUP(LEFT($A132,LEN(A132)-1)*1,Master!$D$25:$G$223,4,FALSE)</f>
        <v>Interests</v>
      </c>
      <c r="C132" s="497"/>
      <c r="D132" s="497"/>
      <c r="E132" s="497"/>
      <c r="F132" s="497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96" t="str">
        <f>+VLOOKUP(LEFT($A133,LEN(A133)-1)*1,Master!$D$25:$G$223,4,FALSE)</f>
        <v>Rent</v>
      </c>
      <c r="C133" s="497"/>
      <c r="D133" s="497"/>
      <c r="E133" s="497"/>
      <c r="F133" s="497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96" t="str">
        <f>+VLOOKUP(LEFT($A134,LEN(A134)-1)*1,Master!$D$25:$G$223,4,FALSE)</f>
        <v>Subsidies</v>
      </c>
      <c r="C134" s="497"/>
      <c r="D134" s="497"/>
      <c r="E134" s="497"/>
      <c r="F134" s="497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96" t="str">
        <f>+VLOOKUP(LEFT($A135,LEN(A135)-1)*1,Master!$D$25:$G$223,4,FALSE)</f>
        <v>Other expenditures</v>
      </c>
      <c r="C135" s="497"/>
      <c r="D135" s="497"/>
      <c r="E135" s="497"/>
      <c r="F135" s="497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96" t="str">
        <f>+VLOOKUP(LEFT($A136,LEN(A136)-1)*1,Master!$D$25:$G$223,4,FALSE)</f>
        <v>Current Capital Expenditure</v>
      </c>
      <c r="C136" s="497"/>
      <c r="D136" s="497"/>
      <c r="E136" s="497"/>
      <c r="F136" s="497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494" t="str">
        <f>+VLOOKUP(LEFT($A137,LEN(A137)-1)*1,Master!$D$25:$G$223,4,FALSE)</f>
        <v>Social Security Transfers</v>
      </c>
      <c r="C137" s="495"/>
      <c r="D137" s="495"/>
      <c r="E137" s="495"/>
      <c r="F137" s="495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96" t="str">
        <f>+VLOOKUP(LEFT($A138,LEN(A138)-1)*1,Master!$D$25:$G$223,4,FALSE)</f>
        <v>Social Security</v>
      </c>
      <c r="C138" s="497"/>
      <c r="D138" s="497"/>
      <c r="E138" s="497"/>
      <c r="F138" s="497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96" t="str">
        <f>+VLOOKUP(LEFT($A139,LEN(A139)-1)*1,Master!$D$25:$G$223,4,FALSE)</f>
        <v>Funds for redundant labor</v>
      </c>
      <c r="C139" s="497"/>
      <c r="D139" s="497"/>
      <c r="E139" s="497"/>
      <c r="F139" s="497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96" t="str">
        <f>+VLOOKUP(LEFT($A140,LEN(A140)-1)*1,Master!$D$25:$G$223,4,FALSE)</f>
        <v>Pension and Disability Insurance</v>
      </c>
      <c r="C140" s="497"/>
      <c r="D140" s="497"/>
      <c r="E140" s="497"/>
      <c r="F140" s="497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96" t="str">
        <f>+VLOOKUP(LEFT($A141,LEN(A141)-1)*1,Master!$D$25:$G$223,4,FALSE)</f>
        <v>Other Health Care Transfers</v>
      </c>
      <c r="C141" s="497"/>
      <c r="D141" s="497"/>
      <c r="E141" s="497"/>
      <c r="F141" s="497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96" t="str">
        <f>+VLOOKUP(LEFT($A142,LEN(A142)-1)*1,Master!$D$25:$G$223,4,FALSE)</f>
        <v>Other Health Care Insurance</v>
      </c>
      <c r="C142" s="497"/>
      <c r="D142" s="497"/>
      <c r="E142" s="497"/>
      <c r="F142" s="497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498" t="str">
        <f>+VLOOKUP(LEFT($A143,LEN(A143)-1)*1,Master!$D$25:$G$223,4,FALSE)</f>
        <v xml:space="preserve">Transfers to Institutions, Individuals, NGO and Public Sector </v>
      </c>
      <c r="C143" s="499"/>
      <c r="D143" s="499"/>
      <c r="E143" s="499"/>
      <c r="F143" s="499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498" t="str">
        <f>+VLOOKUP(LEFT($A144,LEN(A144)-1)*1,Master!$D$25:$G$223,4,FALSE)</f>
        <v>Capital Expenditure</v>
      </c>
      <c r="C144" s="499"/>
      <c r="D144" s="499"/>
      <c r="E144" s="499"/>
      <c r="F144" s="499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480" t="str">
        <f>+VLOOKUP(LEFT($A145,LEN(A145)-1)*1,Master!$D$25:$G$223,4,FALSE)</f>
        <v>Credits and Borrowings</v>
      </c>
      <c r="C145" s="481"/>
      <c r="D145" s="481"/>
      <c r="E145" s="481"/>
      <c r="F145" s="481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480" t="str">
        <f>+VLOOKUP(LEFT($A146,LEN(A146)-1)*1,Master!$D$25:$G$223,4,FALSE)</f>
        <v>Reserves</v>
      </c>
      <c r="C146" s="481"/>
      <c r="D146" s="481"/>
      <c r="E146" s="481"/>
      <c r="F146" s="481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82" t="str">
        <f>+VLOOKUP(LEFT($A147,LEN(A147)-1)*1,Master!$D$25:$G$223,4,FALSE)</f>
        <v>Repayment of Guarantees</v>
      </c>
      <c r="C147" s="483"/>
      <c r="D147" s="483"/>
      <c r="E147" s="483"/>
      <c r="F147" s="483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490" t="str">
        <f>+VLOOKUP(LEFT($A148,LEN(A148)-1)*1,Master!$D$25:$G$223,4,FALSE)</f>
        <v>Surplus / deficit</v>
      </c>
      <c r="C148" s="491"/>
      <c r="D148" s="491"/>
      <c r="E148" s="491"/>
      <c r="F148" s="491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492" t="str">
        <f>+VLOOKUP(LEFT($A149,LEN(A149)-1)*1,Master!$D$25:$G$223,4,FALSE)</f>
        <v>Primary balance</v>
      </c>
      <c r="C149" s="493"/>
      <c r="D149" s="493"/>
      <c r="E149" s="493"/>
      <c r="F149" s="493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494" t="str">
        <f>+VLOOKUP(LEFT($A150,LEN(A150)-1)*1,Master!$D$25:$G$223,4,FALSE)</f>
        <v>Repayment of Debt</v>
      </c>
      <c r="C150" s="495"/>
      <c r="D150" s="495"/>
      <c r="E150" s="495"/>
      <c r="F150" s="495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488" t="str">
        <f>+VLOOKUP(LEFT($A151,LEN(A151)-1)*1,Master!$D$25:$G$223,4,FALSE)</f>
        <v>Repayment of Domestic Debt</v>
      </c>
      <c r="C151" s="489"/>
      <c r="D151" s="489"/>
      <c r="E151" s="489"/>
      <c r="F151" s="489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480" t="str">
        <f>+VLOOKUP(LEFT($A152,LEN(A152)-1)*1,Master!$D$25:$G$223,4,FALSE)</f>
        <v>Repayment of Foreign Debt</v>
      </c>
      <c r="C152" s="481"/>
      <c r="D152" s="481"/>
      <c r="E152" s="481"/>
      <c r="F152" s="481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82" t="str">
        <f>+VLOOKUP(LEFT($A153,LEN(A153)-1)*1,Master!$D$25:$G$223,4,FALSE)</f>
        <v>Repayments of Arrears</v>
      </c>
      <c r="C153" s="483"/>
      <c r="D153" s="483"/>
      <c r="E153" s="483"/>
      <c r="F153" s="483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484" t="str">
        <f>+VLOOKUP(LEFT($A154,LEN(A154)-1)*1,Master!$D$25:$G$223,4,FALSE)</f>
        <v>Financing needs</v>
      </c>
      <c r="C154" s="485"/>
      <c r="D154" s="485"/>
      <c r="E154" s="485"/>
      <c r="F154" s="485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86" t="str">
        <f>+VLOOKUP(LEFT($A155,LEN(A155)-1)*1,Master!$D$25:$G$223,4,FALSE)</f>
        <v>Financing</v>
      </c>
      <c r="C155" s="487"/>
      <c r="D155" s="487"/>
      <c r="E155" s="487"/>
      <c r="F155" s="487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488" t="str">
        <f>+VLOOKUP(LEFT($A156,LEN(A156)-1)*1,Master!$D$25:$G$223,4,FALSE)</f>
        <v>Domestic Loans and Borrowings</v>
      </c>
      <c r="C156" s="489"/>
      <c r="D156" s="489"/>
      <c r="E156" s="489"/>
      <c r="F156" s="489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480" t="str">
        <f>+VLOOKUP(LEFT($A157,LEN(A157)-1)*1,Master!$D$25:$G$223,4,FALSE)</f>
        <v>Foreign Loans and Borrowings</v>
      </c>
      <c r="C157" s="481"/>
      <c r="D157" s="481"/>
      <c r="E157" s="481"/>
      <c r="F157" s="481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480" t="str">
        <f>+VLOOKUP(LEFT($A158,LEN(A158)-1)*1,Master!$D$25:$G$223,4,FALSE)</f>
        <v>Revenues from Selling Assets</v>
      </c>
      <c r="C158" s="481"/>
      <c r="D158" s="481"/>
      <c r="E158" s="481"/>
      <c r="F158" s="481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16" t="str">
        <f>+Master!G249</f>
        <v>Budget Execution</v>
      </c>
      <c r="C7" s="517"/>
      <c r="D7" s="517"/>
      <c r="E7" s="517"/>
      <c r="F7" s="517"/>
      <c r="G7" s="510">
        <v>2013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511"/>
      <c r="V7" s="361"/>
      <c r="W7" s="116" t="str">
        <f>+Master!G246</f>
        <v>GDP</v>
      </c>
      <c r="X7" s="117">
        <v>3327000000</v>
      </c>
    </row>
    <row r="8" spans="1:24" ht="16.5" customHeight="1">
      <c r="B8" s="518"/>
      <c r="C8" s="519"/>
      <c r="D8" s="519"/>
      <c r="E8" s="519"/>
      <c r="F8" s="520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510" t="s">
        <v>708</v>
      </c>
      <c r="X8" s="511"/>
    </row>
    <row r="9" spans="1:24" ht="13.5" thickBot="1">
      <c r="B9" s="521"/>
      <c r="C9" s="522"/>
      <c r="D9" s="522"/>
      <c r="E9" s="522"/>
      <c r="F9" s="523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GDP</v>
      </c>
    </row>
    <row r="10" spans="1:24" ht="13.5" thickBot="1">
      <c r="A10" s="72">
        <v>7</v>
      </c>
      <c r="B10" s="512" t="str">
        <f>+VLOOKUP($A10,Master!$D$25:$G$223,4,FALSE)</f>
        <v>Total Revenues</v>
      </c>
      <c r="C10" s="513"/>
      <c r="D10" s="513"/>
      <c r="E10" s="513"/>
      <c r="F10" s="513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514" t="str">
        <f>+VLOOKUP($A11,Master!$D$25:$G$223,4,FALSE)</f>
        <v>Taxes</v>
      </c>
      <c r="C11" s="515"/>
      <c r="D11" s="515"/>
      <c r="E11" s="515"/>
      <c r="F11" s="515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96" t="str">
        <f>+VLOOKUP($A12,Master!$D$25:$G$223,4,FALSE)</f>
        <v>Personal Income Tax</v>
      </c>
      <c r="C12" s="497"/>
      <c r="D12" s="497"/>
      <c r="E12" s="497"/>
      <c r="F12" s="497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96" t="str">
        <f>+VLOOKUP($A13,Master!$D$25:$G$223,4,FALSE)</f>
        <v>Corporate Income Tax</v>
      </c>
      <c r="C13" s="497"/>
      <c r="D13" s="497"/>
      <c r="E13" s="497"/>
      <c r="F13" s="497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96" t="str">
        <f>+VLOOKUP($A14,Master!$D$25:$G$223,4,FALSE)</f>
        <v xml:space="preserve">Taxes on Sales of Property </v>
      </c>
      <c r="C14" s="497"/>
      <c r="D14" s="497"/>
      <c r="E14" s="497"/>
      <c r="F14" s="497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96" t="str">
        <f>+VLOOKUP($A15,Master!$D$25:$G$223,4,FALSE)</f>
        <v>Value Added Tax</v>
      </c>
      <c r="C15" s="497"/>
      <c r="D15" s="497"/>
      <c r="E15" s="497"/>
      <c r="F15" s="497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96" t="str">
        <f>+VLOOKUP($A16,Master!$D$25:$G$223,4,FALSE)</f>
        <v>Excises</v>
      </c>
      <c r="C16" s="497"/>
      <c r="D16" s="497"/>
      <c r="E16" s="497"/>
      <c r="F16" s="497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96" t="str">
        <f>+VLOOKUP($A17,Master!$D$25:$G$223,4,FALSE)</f>
        <v>Tax on International Trade and Transactions</v>
      </c>
      <c r="C17" s="497"/>
      <c r="D17" s="497"/>
      <c r="E17" s="497"/>
      <c r="F17" s="497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96" t="e">
        <f>+VLOOKUP($A18,Master!$D$25:$G$223,4,FALSE)</f>
        <v>#N/A</v>
      </c>
      <c r="C18" s="497"/>
      <c r="D18" s="497"/>
      <c r="E18" s="497"/>
      <c r="F18" s="497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96" t="str">
        <f>+VLOOKUP($A19,Master!$D$25:$G$223,4,FALSE)</f>
        <v>Other Republic Taxes</v>
      </c>
      <c r="C19" s="497"/>
      <c r="D19" s="497"/>
      <c r="E19" s="497"/>
      <c r="F19" s="497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08" t="str">
        <f>+VLOOKUP($A20,Master!$D$25:$G$223,4,FALSE)</f>
        <v>Contributions</v>
      </c>
      <c r="C20" s="509"/>
      <c r="D20" s="509"/>
      <c r="E20" s="509"/>
      <c r="F20" s="50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96" t="str">
        <f>+VLOOKUP($A21,Master!$D$25:$G$223,4,FALSE)</f>
        <v>Contributions for Pension and Disability Insurance</v>
      </c>
      <c r="C21" s="497"/>
      <c r="D21" s="497"/>
      <c r="E21" s="497"/>
      <c r="F21" s="497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96" t="str">
        <f>+VLOOKUP($A22,Master!$D$25:$G$223,4,FALSE)</f>
        <v>Contributions for Health Insurance</v>
      </c>
      <c r="C22" s="497"/>
      <c r="D22" s="497"/>
      <c r="E22" s="497"/>
      <c r="F22" s="497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96" t="str">
        <f>+VLOOKUP($A23,Master!$D$25:$G$223,4,FALSE)</f>
        <v>Contributions for  Unemployment Insurance</v>
      </c>
      <c r="C23" s="497"/>
      <c r="D23" s="497"/>
      <c r="E23" s="497"/>
      <c r="F23" s="497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96" t="str">
        <f>+VLOOKUP($A24,Master!$D$25:$G$223,4,FALSE)</f>
        <v>Other contributions</v>
      </c>
      <c r="C24" s="497"/>
      <c r="D24" s="497"/>
      <c r="E24" s="497"/>
      <c r="F24" s="497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500" t="str">
        <f>+VLOOKUP($A25,Master!$D$25:$G$223,4,FALSE)</f>
        <v>Duties</v>
      </c>
      <c r="C25" s="501"/>
      <c r="D25" s="501"/>
      <c r="E25" s="501"/>
      <c r="F25" s="501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500" t="str">
        <f>+VLOOKUP($A26,Master!$D$25:$G$223,4,FALSE)</f>
        <v>Fees</v>
      </c>
      <c r="C26" s="501"/>
      <c r="D26" s="501"/>
      <c r="E26" s="501"/>
      <c r="F26" s="501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500" t="str">
        <f>+VLOOKUP($A27,Master!$D$25:$G$223,4,FALSE)</f>
        <v>Other revenues</v>
      </c>
      <c r="C27" s="501"/>
      <c r="D27" s="501"/>
      <c r="E27" s="501"/>
      <c r="F27" s="501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500" t="str">
        <f>+VLOOKUP($A28,Master!$D$25:$G$223,4,FALSE)</f>
        <v>Receipts from Repayment of Loans and Funds Carried over from Previous Year</v>
      </c>
      <c r="C28" s="501"/>
      <c r="D28" s="501"/>
      <c r="E28" s="501"/>
      <c r="F28" s="501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02" t="str">
        <f>+VLOOKUP($A29,Master!$D$25:$G$223,4,FALSE)</f>
        <v>Grants and Transfers</v>
      </c>
      <c r="C29" s="503"/>
      <c r="D29" s="503"/>
      <c r="E29" s="503"/>
      <c r="F29" s="503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86" t="str">
        <f>+VLOOKUP($A30,Master!$D$25:$G$223,4,FALSE)</f>
        <v>Total Expenditures</v>
      </c>
      <c r="C30" s="487"/>
      <c r="D30" s="487"/>
      <c r="E30" s="487"/>
      <c r="F30" s="487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04" t="str">
        <f>+VLOOKUP($A31,Master!$D$25:$G$223,4,FALSE)</f>
        <v>Current Expenditures</v>
      </c>
      <c r="C31" s="505"/>
      <c r="D31" s="505"/>
      <c r="E31" s="505"/>
      <c r="F31" s="505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06" t="str">
        <f>+VLOOKUP($A32,Master!$D$25:$G$223,4,FALSE)</f>
        <v>Current Budgetary Expenditures</v>
      </c>
      <c r="C32" s="507"/>
      <c r="D32" s="507"/>
      <c r="E32" s="507"/>
      <c r="F32" s="507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96" t="str">
        <f>+VLOOKUP($A33,Master!$D$25:$G$223,4,FALSE)</f>
        <v>Gross Salaries and Contributions</v>
      </c>
      <c r="C33" s="497"/>
      <c r="D33" s="497"/>
      <c r="E33" s="497"/>
      <c r="F33" s="497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96" t="str">
        <f>+VLOOKUP($A34,Master!$D$25:$G$223,4,FALSE)</f>
        <v>Other Personal Income</v>
      </c>
      <c r="C34" s="497"/>
      <c r="D34" s="497"/>
      <c r="E34" s="497"/>
      <c r="F34" s="497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96" t="str">
        <f>+VLOOKUP($A35,Master!$D$25:$G$223,4,FALSE)</f>
        <v>Expenditures for Supplies</v>
      </c>
      <c r="C35" s="497"/>
      <c r="D35" s="497"/>
      <c r="E35" s="497"/>
      <c r="F35" s="497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96" t="str">
        <f>+VLOOKUP($A36,Master!$D$25:$G$223,4,FALSE)</f>
        <v>Expenditures for Services</v>
      </c>
      <c r="C36" s="497"/>
      <c r="D36" s="497"/>
      <c r="E36" s="497"/>
      <c r="F36" s="497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96" t="str">
        <f>+VLOOKUP($A37,Master!$D$25:$G$223,4,FALSE)</f>
        <v>Current Maintenance</v>
      </c>
      <c r="C37" s="497"/>
      <c r="D37" s="497"/>
      <c r="E37" s="497"/>
      <c r="F37" s="497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96" t="str">
        <f>+VLOOKUP($A38,Master!$D$25:$G$223,4,FALSE)</f>
        <v>Interests</v>
      </c>
      <c r="C38" s="497"/>
      <c r="D38" s="497"/>
      <c r="E38" s="497"/>
      <c r="F38" s="497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96" t="str">
        <f>+VLOOKUP($A39,Master!$D$25:$G$223,4,FALSE)</f>
        <v>Rent</v>
      </c>
      <c r="C39" s="497"/>
      <c r="D39" s="497"/>
      <c r="E39" s="497"/>
      <c r="F39" s="497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96" t="str">
        <f>+VLOOKUP($A40,Master!$D$25:$G$223,4,FALSE)</f>
        <v>Subsidies</v>
      </c>
      <c r="C40" s="497"/>
      <c r="D40" s="497"/>
      <c r="E40" s="497"/>
      <c r="F40" s="497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96" t="str">
        <f>+VLOOKUP($A41,Master!$D$25:$G$223,4,FALSE)</f>
        <v>Other expenditures</v>
      </c>
      <c r="C41" s="497"/>
      <c r="D41" s="497"/>
      <c r="E41" s="497"/>
      <c r="F41" s="497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96" t="str">
        <f>+VLOOKUP($A42,Master!$D$25:$G$223,4,FALSE)</f>
        <v>Current Capital Expenditure</v>
      </c>
      <c r="C42" s="497"/>
      <c r="D42" s="497"/>
      <c r="E42" s="497"/>
      <c r="F42" s="497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494" t="str">
        <f>+VLOOKUP($A43,Master!$D$25:$G$223,4,FALSE)</f>
        <v>Social Security Transfers</v>
      </c>
      <c r="C43" s="495"/>
      <c r="D43" s="495"/>
      <c r="E43" s="495"/>
      <c r="F43" s="495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96" t="str">
        <f>+VLOOKUP($A44,Master!$D$25:$G$223,4,FALSE)</f>
        <v>Social Security</v>
      </c>
      <c r="C44" s="497"/>
      <c r="D44" s="497"/>
      <c r="E44" s="497"/>
      <c r="F44" s="497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96" t="str">
        <f>+VLOOKUP($A45,Master!$D$25:$G$223,4,FALSE)</f>
        <v>Funds for redundant labor</v>
      </c>
      <c r="C45" s="497"/>
      <c r="D45" s="497"/>
      <c r="E45" s="497"/>
      <c r="F45" s="497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96" t="str">
        <f>+VLOOKUP($A46,Master!$D$25:$G$223,4,FALSE)</f>
        <v>Pension and Disability Insurance</v>
      </c>
      <c r="C46" s="497"/>
      <c r="D46" s="497"/>
      <c r="E46" s="497"/>
      <c r="F46" s="497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96" t="str">
        <f>+VLOOKUP($A47,Master!$D$25:$G$223,4,FALSE)</f>
        <v>Other Health Care Transfers</v>
      </c>
      <c r="C47" s="497"/>
      <c r="D47" s="497"/>
      <c r="E47" s="497"/>
      <c r="F47" s="497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96" t="str">
        <f>+VLOOKUP($A48,Master!$D$25:$G$223,4,FALSE)</f>
        <v>Other Health Care Insurance</v>
      </c>
      <c r="C48" s="497"/>
      <c r="D48" s="497"/>
      <c r="E48" s="497"/>
      <c r="F48" s="497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498" t="str">
        <f>+VLOOKUP($A49,Master!$D$25:$G$223,4,FALSE)</f>
        <v xml:space="preserve">Transfers to Institutions, Individuals, NGO and Public Sector </v>
      </c>
      <c r="C49" s="499"/>
      <c r="D49" s="499"/>
      <c r="E49" s="499"/>
      <c r="F49" s="499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498" t="str">
        <f>+VLOOKUP($A50,Master!$D$25:$G$223,4,FALSE)</f>
        <v>Capital Expenditure</v>
      </c>
      <c r="C50" s="499"/>
      <c r="D50" s="499"/>
      <c r="E50" s="499"/>
      <c r="F50" s="499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80" t="str">
        <f>+VLOOKUP($A51,Master!$D$25:$G$223,4,FALSE)</f>
        <v>Credits and Borrowings</v>
      </c>
      <c r="C51" s="481"/>
      <c r="D51" s="481"/>
      <c r="E51" s="481"/>
      <c r="F51" s="481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80" t="str">
        <f>+VLOOKUP($A52,Master!$D$25:$G$223,4,FALSE)</f>
        <v>Reserves</v>
      </c>
      <c r="C52" s="481"/>
      <c r="D52" s="481"/>
      <c r="E52" s="481"/>
      <c r="F52" s="481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82" t="str">
        <f>+VLOOKUP($A53,Master!$D$25:$G$223,4,FALSE)</f>
        <v>Repayment of Guarantees</v>
      </c>
      <c r="C53" s="483"/>
      <c r="D53" s="483"/>
      <c r="E53" s="483"/>
      <c r="F53" s="483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82" t="str">
        <f>+VLOOKUP($A54,Master!$D$25:$G$223,4,FALSE)</f>
        <v>Repayments of Arrears</v>
      </c>
      <c r="C54" s="483"/>
      <c r="D54" s="483"/>
      <c r="E54" s="483"/>
      <c r="F54" s="483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82" t="str">
        <f>+VLOOKUP($A55,Master!$D$25:$G$225,4,FALSE)</f>
        <v>Net increase of liabilities</v>
      </c>
      <c r="C55" s="483"/>
      <c r="D55" s="483"/>
      <c r="E55" s="483"/>
      <c r="F55" s="483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490" t="str">
        <f>+VLOOKUP($A56,Master!$D$25:$G$223,4,FALSE)</f>
        <v>Surplus / deficit</v>
      </c>
      <c r="C56" s="491"/>
      <c r="D56" s="491"/>
      <c r="E56" s="491"/>
      <c r="F56" s="491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492" t="str">
        <f>+VLOOKUP($A57,Master!$D$25:$G$223,4,FALSE)</f>
        <v>Primary balance</v>
      </c>
      <c r="C57" s="493"/>
      <c r="D57" s="493"/>
      <c r="E57" s="493"/>
      <c r="F57" s="493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494" t="str">
        <f>+VLOOKUP($A58,Master!$D$25:$G$223,4,FALSE)</f>
        <v>Repayment of Debt</v>
      </c>
      <c r="C58" s="495"/>
      <c r="D58" s="495"/>
      <c r="E58" s="495"/>
      <c r="F58" s="495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488" t="str">
        <f>+VLOOKUP($A59,Master!$D$25:$G$223,4,FALSE)</f>
        <v>Repayment of Domestic Debt</v>
      </c>
      <c r="C59" s="489"/>
      <c r="D59" s="489"/>
      <c r="E59" s="489"/>
      <c r="F59" s="489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80" t="str">
        <f>+VLOOKUP($A60,Master!$D$25:$G$223,4,FALSE)</f>
        <v>Repayment of Foreign Debt</v>
      </c>
      <c r="C60" s="481"/>
      <c r="D60" s="481"/>
      <c r="E60" s="481"/>
      <c r="F60" s="481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484" t="str">
        <f>+VLOOKUP($A61,Master!$D$25:$G$223,4,FALSE)</f>
        <v>Financing needs</v>
      </c>
      <c r="C61" s="485"/>
      <c r="D61" s="485"/>
      <c r="E61" s="485"/>
      <c r="F61" s="485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86" t="str">
        <f>+VLOOKUP($A62,Master!$D$25:$G$223,4,FALSE)</f>
        <v>Financing</v>
      </c>
      <c r="C62" s="487"/>
      <c r="D62" s="487"/>
      <c r="E62" s="487"/>
      <c r="F62" s="487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488" t="str">
        <f>+VLOOKUP($A63,Master!$D$25:$G$223,4,FALSE)</f>
        <v>Domestic Loans and Borrowings</v>
      </c>
      <c r="C63" s="489"/>
      <c r="D63" s="489"/>
      <c r="E63" s="489"/>
      <c r="F63" s="489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80" t="str">
        <f>+VLOOKUP($A64,Master!$D$25:$G$223,4,FALSE)</f>
        <v>Foreign Loans and Borrowings</v>
      </c>
      <c r="C64" s="481"/>
      <c r="D64" s="481"/>
      <c r="E64" s="481"/>
      <c r="F64" s="481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80" t="str">
        <f>+VLOOKUP($A65,Master!$D$25:$G$223,4,FALSE)</f>
        <v>Revenues from Selling Assets</v>
      </c>
      <c r="C65" s="481"/>
      <c r="D65" s="481"/>
      <c r="E65" s="481"/>
      <c r="F65" s="481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525" t="str">
        <f>+Master!G250</f>
        <v>Planned Budget Execution</v>
      </c>
      <c r="C102" s="433"/>
      <c r="D102" s="433"/>
      <c r="E102" s="433"/>
      <c r="F102" s="433"/>
      <c r="G102" s="441">
        <v>2013</v>
      </c>
      <c r="H102" s="442"/>
      <c r="I102" s="442"/>
      <c r="J102" s="442"/>
      <c r="K102" s="442"/>
      <c r="L102" s="442"/>
      <c r="M102" s="442"/>
      <c r="N102" s="442"/>
      <c r="O102" s="442"/>
      <c r="P102" s="442"/>
      <c r="Q102" s="442"/>
      <c r="R102" s="442"/>
      <c r="S102" s="442"/>
      <c r="T102" s="442"/>
      <c r="U102" s="445"/>
      <c r="V102" s="364"/>
      <c r="W102" s="261" t="str">
        <f>+W7</f>
        <v>GDP</v>
      </c>
      <c r="X102" s="262">
        <v>3393200615</v>
      </c>
    </row>
    <row r="103" spans="1:24" ht="15.75" customHeight="1">
      <c r="A103" s="170"/>
      <c r="B103" s="434"/>
      <c r="C103" s="435"/>
      <c r="D103" s="435"/>
      <c r="E103" s="435"/>
      <c r="F103" s="436"/>
      <c r="G103" s="171" t="str">
        <f t="shared" ref="G103:U103" si="20">+G8</f>
        <v>January</v>
      </c>
      <c r="H103" s="171" t="str">
        <f t="shared" si="20"/>
        <v>February</v>
      </c>
      <c r="I103" s="171" t="str">
        <f t="shared" si="20"/>
        <v>March</v>
      </c>
      <c r="J103" s="171"/>
      <c r="K103" s="171" t="str">
        <f t="shared" si="20"/>
        <v>April</v>
      </c>
      <c r="L103" s="171" t="str">
        <f t="shared" si="20"/>
        <v>May</v>
      </c>
      <c r="M103" s="171" t="str">
        <f t="shared" si="20"/>
        <v>June</v>
      </c>
      <c r="N103" s="171"/>
      <c r="O103" s="171" t="str">
        <f t="shared" si="20"/>
        <v>July</v>
      </c>
      <c r="P103" s="171" t="str">
        <f t="shared" si="20"/>
        <v>August</v>
      </c>
      <c r="Q103" s="171" t="str">
        <f t="shared" si="20"/>
        <v>September</v>
      </c>
      <c r="R103" s="171"/>
      <c r="S103" s="171" t="str">
        <f t="shared" si="20"/>
        <v>October</v>
      </c>
      <c r="T103" s="171" t="str">
        <f t="shared" si="20"/>
        <v>November</v>
      </c>
      <c r="U103" s="171" t="str">
        <f t="shared" si="20"/>
        <v>December</v>
      </c>
      <c r="V103" s="171"/>
      <c r="W103" s="441" t="str">
        <f>+Master!G244</f>
        <v>Jan - Dec</v>
      </c>
      <c r="X103" s="445">
        <f>+X8</f>
        <v>0</v>
      </c>
    </row>
    <row r="104" spans="1:24" ht="13.5" thickBot="1">
      <c r="A104" s="170"/>
      <c r="B104" s="437"/>
      <c r="C104" s="438"/>
      <c r="D104" s="438"/>
      <c r="E104" s="438"/>
      <c r="F104" s="439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GDP</v>
      </c>
    </row>
    <row r="105" spans="1:24" ht="13.5" thickBot="1">
      <c r="A105" s="298" t="str">
        <f t="shared" ref="A105:A148" si="21">+CONCATENATE(A10,"p")</f>
        <v>7p</v>
      </c>
      <c r="B105" s="474" t="str">
        <f>+VLOOKUP(LEFT($A105,LEN(A105)-1)*1,Master!$D$25:$G$223,4,FALSE)</f>
        <v>Total Revenues</v>
      </c>
      <c r="C105" s="475"/>
      <c r="D105" s="475"/>
      <c r="E105" s="475"/>
      <c r="F105" s="475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76" t="str">
        <f>+VLOOKUP(LEFT($A106,LEN(A106)-1)*1,Master!$D$25:$G$223,4,FALSE)</f>
        <v>Taxes</v>
      </c>
      <c r="C106" s="477"/>
      <c r="D106" s="477"/>
      <c r="E106" s="477"/>
      <c r="F106" s="477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62" t="str">
        <f>+VLOOKUP(LEFT($A107,LEN(A107)-1)*1,Master!$D$25:$G$223,4,FALSE)</f>
        <v>Personal Income Tax</v>
      </c>
      <c r="C107" s="463"/>
      <c r="D107" s="463"/>
      <c r="E107" s="463"/>
      <c r="F107" s="463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62" t="str">
        <f>+VLOOKUP(LEFT($A108,LEN(A108)-1)*1,Master!$D$25:$G$223,4,FALSE)</f>
        <v>Corporate Income Tax</v>
      </c>
      <c r="C108" s="463"/>
      <c r="D108" s="463"/>
      <c r="E108" s="463"/>
      <c r="F108" s="463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62" t="str">
        <f>+VLOOKUP(LEFT($A109,LEN(A109)-1)*1,Master!$D$25:$G$223,4,FALSE)</f>
        <v xml:space="preserve">Taxes on Sales of Property </v>
      </c>
      <c r="C109" s="463"/>
      <c r="D109" s="463"/>
      <c r="E109" s="463"/>
      <c r="F109" s="463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62" t="str">
        <f>+VLOOKUP(LEFT($A110,LEN(A110)-1)*1,Master!$D$25:$G$223,4,FALSE)</f>
        <v>Value Added Tax</v>
      </c>
      <c r="C110" s="463"/>
      <c r="D110" s="463"/>
      <c r="E110" s="463"/>
      <c r="F110" s="463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62" t="str">
        <f>+VLOOKUP(LEFT($A111,LEN(A111)-1)*1,Master!$D$25:$G$223,4,FALSE)</f>
        <v>Excises</v>
      </c>
      <c r="C111" s="463"/>
      <c r="D111" s="463"/>
      <c r="E111" s="463"/>
      <c r="F111" s="463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62" t="str">
        <f>+VLOOKUP(LEFT($A112,LEN(A112)-1)*1,Master!$D$25:$G$223,4,FALSE)</f>
        <v>Tax on International Trade and Transactions</v>
      </c>
      <c r="C112" s="463"/>
      <c r="D112" s="463"/>
      <c r="E112" s="463"/>
      <c r="F112" s="463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62" t="e">
        <f>+VLOOKUP(LEFT($A113,LEN(A113)-1)*1,Master!$D$25:$G$223,4,FALSE)</f>
        <v>#N/A</v>
      </c>
      <c r="C113" s="463"/>
      <c r="D113" s="463"/>
      <c r="E113" s="463"/>
      <c r="F113" s="463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62" t="str">
        <f>+VLOOKUP(LEFT($A114,LEN(A114)-1)*1,Master!$D$25:$G$223,4,FALSE)</f>
        <v>Other Republic Taxes</v>
      </c>
      <c r="C114" s="463"/>
      <c r="D114" s="463"/>
      <c r="E114" s="463"/>
      <c r="F114" s="463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72" t="str">
        <f>+VLOOKUP(LEFT($A115,LEN(A115)-1)*1,Master!$D$25:$G$223,4,FALSE)</f>
        <v>Contributions</v>
      </c>
      <c r="C115" s="473"/>
      <c r="D115" s="473"/>
      <c r="E115" s="473"/>
      <c r="F115" s="473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62" t="str">
        <f>+VLOOKUP(LEFT($A116,LEN(A116)-1)*1,Master!$D$25:$G$223,4,FALSE)</f>
        <v>Contributions for Pension and Disability Insurance</v>
      </c>
      <c r="C116" s="463"/>
      <c r="D116" s="463"/>
      <c r="E116" s="463"/>
      <c r="F116" s="463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62" t="str">
        <f>+VLOOKUP(LEFT($A117,LEN(A117)-1)*1,Master!$D$25:$G$223,4,FALSE)</f>
        <v>Contributions for Health Insurance</v>
      </c>
      <c r="C117" s="463"/>
      <c r="D117" s="463"/>
      <c r="E117" s="463"/>
      <c r="F117" s="463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62" t="str">
        <f>+VLOOKUP(LEFT($A118,LEN(A118)-1)*1,Master!$D$25:$G$223,4,FALSE)</f>
        <v>Contributions for  Unemployment Insurance</v>
      </c>
      <c r="C118" s="463"/>
      <c r="D118" s="463"/>
      <c r="E118" s="463"/>
      <c r="F118" s="463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62" t="str">
        <f>+VLOOKUP(LEFT($A119,LEN(A119)-1)*1,Master!$D$25:$G$223,4,FALSE)</f>
        <v>Other contributions</v>
      </c>
      <c r="C119" s="463"/>
      <c r="D119" s="463"/>
      <c r="E119" s="463"/>
      <c r="F119" s="463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64" t="str">
        <f>+VLOOKUP(LEFT($A120,LEN(A120)-1)*1,Master!$D$25:$G$223,4,FALSE)</f>
        <v>Duties</v>
      </c>
      <c r="C120" s="465"/>
      <c r="D120" s="465"/>
      <c r="E120" s="465"/>
      <c r="F120" s="465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64" t="str">
        <f>+VLOOKUP(LEFT($A121,LEN(A121)-1)*1,Master!$D$25:$G$223,4,FALSE)</f>
        <v>Fees</v>
      </c>
      <c r="C121" s="465"/>
      <c r="D121" s="465"/>
      <c r="E121" s="465"/>
      <c r="F121" s="465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64" t="str">
        <f>+VLOOKUP(LEFT($A122,LEN(A122)-1)*1,Master!$D$25:$G$223,4,FALSE)</f>
        <v>Other revenues</v>
      </c>
      <c r="C122" s="465"/>
      <c r="D122" s="465"/>
      <c r="E122" s="465"/>
      <c r="F122" s="465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64" t="str">
        <f>+VLOOKUP(LEFT($A123,LEN(A123)-1)*1,Master!$D$25:$G$223,4,FALSE)</f>
        <v>Receipts from Repayment of Loans and Funds Carried over from Previous Year</v>
      </c>
      <c r="C123" s="465"/>
      <c r="D123" s="465"/>
      <c r="E123" s="465"/>
      <c r="F123" s="465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66" t="str">
        <f>+VLOOKUP(LEFT($A124,LEN(A124)-1)*1,Master!$D$25:$G$223,4,FALSE)</f>
        <v>Grants and Transfers</v>
      </c>
      <c r="C124" s="467"/>
      <c r="D124" s="467"/>
      <c r="E124" s="467"/>
      <c r="F124" s="467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52" t="str">
        <f>+VLOOKUP(LEFT($A125,LEN(A125)-1)*1,Master!$D$25:$G$223,4,FALSE)</f>
        <v>Total Expenditures</v>
      </c>
      <c r="C125" s="453"/>
      <c r="D125" s="453"/>
      <c r="E125" s="453"/>
      <c r="F125" s="453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68" t="str">
        <f>+VLOOKUP(LEFT($A126,LEN(A126)-1)*1,Master!$D$25:$G$223,4,FALSE)</f>
        <v>Current Expenditures</v>
      </c>
      <c r="C126" s="469"/>
      <c r="D126" s="469"/>
      <c r="E126" s="469"/>
      <c r="F126" s="469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70" t="str">
        <f>+VLOOKUP(LEFT($A127,LEN(A127)-1)*1,Master!$D$25:$G$223,4,FALSE)</f>
        <v>Current Budgetary Expenditures</v>
      </c>
      <c r="C127" s="471"/>
      <c r="D127" s="471"/>
      <c r="E127" s="471"/>
      <c r="F127" s="471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62" t="str">
        <f>+VLOOKUP(LEFT($A128,LEN(A128)-1)*1,Master!$D$25:$G$223,4,FALSE)</f>
        <v>Gross Salaries and Contributions</v>
      </c>
      <c r="C128" s="463"/>
      <c r="D128" s="463"/>
      <c r="E128" s="463"/>
      <c r="F128" s="463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62" t="str">
        <f>+VLOOKUP(LEFT($A129,LEN(A129)-1)*1,Master!$D$25:$G$223,4,FALSE)</f>
        <v>Other Personal Income</v>
      </c>
      <c r="C129" s="463"/>
      <c r="D129" s="463"/>
      <c r="E129" s="463"/>
      <c r="F129" s="463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62" t="str">
        <f>+VLOOKUP(LEFT($A130,LEN(A130)-1)*1,Master!$D$25:$G$223,4,FALSE)</f>
        <v>Expenditures for Supplies</v>
      </c>
      <c r="C130" s="463"/>
      <c r="D130" s="463"/>
      <c r="E130" s="463"/>
      <c r="F130" s="463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62" t="str">
        <f>+VLOOKUP(LEFT($A131,LEN(A131)-1)*1,Master!$D$25:$G$223,4,FALSE)</f>
        <v>Expenditures for Services</v>
      </c>
      <c r="C131" s="463"/>
      <c r="D131" s="463"/>
      <c r="E131" s="463"/>
      <c r="F131" s="463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62" t="str">
        <f>+VLOOKUP(LEFT($A132,LEN(A132)-1)*1,Master!$D$25:$G$223,4,FALSE)</f>
        <v>Current Maintenance</v>
      </c>
      <c r="C132" s="463"/>
      <c r="D132" s="463"/>
      <c r="E132" s="463"/>
      <c r="F132" s="463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62" t="str">
        <f>+VLOOKUP(LEFT($A133,LEN(A133)-1)*1,Master!$D$25:$G$223,4,FALSE)</f>
        <v>Interests</v>
      </c>
      <c r="C133" s="463"/>
      <c r="D133" s="463"/>
      <c r="E133" s="463"/>
      <c r="F133" s="463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62" t="str">
        <f>+VLOOKUP(LEFT($A134,LEN(A134)-1)*1,Master!$D$25:$G$223,4,FALSE)</f>
        <v>Rent</v>
      </c>
      <c r="C134" s="463"/>
      <c r="D134" s="463"/>
      <c r="E134" s="463"/>
      <c r="F134" s="463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62" t="str">
        <f>+VLOOKUP(LEFT($A135,LEN(A135)-1)*1,Master!$D$25:$G$223,4,FALSE)</f>
        <v>Subsidies</v>
      </c>
      <c r="C135" s="463"/>
      <c r="D135" s="463"/>
      <c r="E135" s="463"/>
      <c r="F135" s="463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62" t="str">
        <f>+VLOOKUP(LEFT($A136,LEN(A136)-1)*1,Master!$D$25:$G$223,4,FALSE)</f>
        <v>Other expenditures</v>
      </c>
      <c r="C136" s="463"/>
      <c r="D136" s="463"/>
      <c r="E136" s="463"/>
      <c r="F136" s="463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62" t="str">
        <f>+VLOOKUP(LEFT($A137,LEN(A137)-1)*1,Master!$D$25:$G$223,4,FALSE)</f>
        <v>Current Capital Expenditure</v>
      </c>
      <c r="C137" s="463"/>
      <c r="D137" s="463"/>
      <c r="E137" s="463"/>
      <c r="F137" s="463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58" t="str">
        <f>+VLOOKUP(LEFT($A138,LEN(A138)-1)*1,Master!$D$25:$G$223,4,FALSE)</f>
        <v>Social Security Transfers</v>
      </c>
      <c r="C138" s="459"/>
      <c r="D138" s="459"/>
      <c r="E138" s="459"/>
      <c r="F138" s="459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62" t="str">
        <f>+VLOOKUP(LEFT($A139,LEN(A139)-1)*1,Master!$D$25:$G$223,4,FALSE)</f>
        <v>Social Security</v>
      </c>
      <c r="C139" s="463"/>
      <c r="D139" s="463"/>
      <c r="E139" s="463"/>
      <c r="F139" s="463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62" t="str">
        <f>+VLOOKUP(LEFT($A140,LEN(A140)-1)*1,Master!$D$25:$G$223,4,FALSE)</f>
        <v>Funds for redundant labor</v>
      </c>
      <c r="C140" s="463"/>
      <c r="D140" s="463"/>
      <c r="E140" s="463"/>
      <c r="F140" s="463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62" t="str">
        <f>+VLOOKUP(LEFT($A141,LEN(A141)-1)*1,Master!$D$25:$G$223,4,FALSE)</f>
        <v>Pension and Disability Insurance</v>
      </c>
      <c r="C141" s="463"/>
      <c r="D141" s="463"/>
      <c r="E141" s="463"/>
      <c r="F141" s="463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62" t="str">
        <f>+VLOOKUP(LEFT($A142,LEN(A142)-1)*1,Master!$D$25:$G$223,4,FALSE)</f>
        <v>Other Health Care Transfers</v>
      </c>
      <c r="C142" s="463"/>
      <c r="D142" s="463"/>
      <c r="E142" s="463"/>
      <c r="F142" s="463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62" t="str">
        <f>+VLOOKUP(LEFT($A143,LEN(A143)-1)*1,Master!$D$25:$G$223,4,FALSE)</f>
        <v>Other Health Care Insurance</v>
      </c>
      <c r="C143" s="463"/>
      <c r="D143" s="463"/>
      <c r="E143" s="463"/>
      <c r="F143" s="463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60" t="str">
        <f>+VLOOKUP(LEFT($A144,LEN(A144)-1)*1,Master!$D$25:$G$223,4,FALSE)</f>
        <v xml:space="preserve">Transfers to Institutions, Individuals, NGO and Public Sector </v>
      </c>
      <c r="C144" s="461"/>
      <c r="D144" s="461"/>
      <c r="E144" s="461"/>
      <c r="F144" s="461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60" t="str">
        <f>+VLOOKUP(LEFT($A145,LEN(A145)-1)*1,Master!$D$25:$G$223,4,FALSE)</f>
        <v>Capital Expenditure</v>
      </c>
      <c r="C145" s="461"/>
      <c r="D145" s="461"/>
      <c r="E145" s="461"/>
      <c r="F145" s="461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30" t="str">
        <f>+VLOOKUP(LEFT($A146,LEN(A146)-1)*1,Master!$D$25:$G$223,4,FALSE)</f>
        <v>Credits and Borrowings</v>
      </c>
      <c r="C146" s="431"/>
      <c r="D146" s="431"/>
      <c r="E146" s="431"/>
      <c r="F146" s="431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30" t="str">
        <f>+VLOOKUP(LEFT($A147,LEN(A147)-1)*1,Master!$D$25:$G$223,4,FALSE)</f>
        <v>Reserves</v>
      </c>
      <c r="C147" s="431"/>
      <c r="D147" s="431"/>
      <c r="E147" s="431"/>
      <c r="F147" s="431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48" t="str">
        <f>+VLOOKUP(LEFT($A148,LEN(A148)-1)*1,Master!$D$25:$G$223,4,FALSE)</f>
        <v>Repayment of Guarantees</v>
      </c>
      <c r="C148" s="449"/>
      <c r="D148" s="449"/>
      <c r="E148" s="449"/>
      <c r="F148" s="449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54" t="str">
        <f>+VLOOKUP(LEFT($A149,LEN(A149)-1)*1,Master!$D$25:$G$223,4,FALSE)</f>
        <v>Surplus / deficit</v>
      </c>
      <c r="C149" s="455"/>
      <c r="D149" s="455"/>
      <c r="E149" s="455"/>
      <c r="F149" s="455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56" t="str">
        <f>+VLOOKUP(LEFT($A150,LEN(A150)-1)*1,Master!$D$25:$G$223,4,FALSE)</f>
        <v>Primary balance</v>
      </c>
      <c r="C150" s="457"/>
      <c r="D150" s="457"/>
      <c r="E150" s="457"/>
      <c r="F150" s="457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58" t="str">
        <f>+VLOOKUP(LEFT($A151,LEN(A151)-1)*1,Master!$D$25:$G$223,4,FALSE)</f>
        <v>Repayment of Debt</v>
      </c>
      <c r="C151" s="459"/>
      <c r="D151" s="459"/>
      <c r="E151" s="459"/>
      <c r="F151" s="459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46" t="str">
        <f>+VLOOKUP(LEFT($A152,LEN(A152)-1)*1,Master!$D$25:$G$223,4,FALSE)</f>
        <v>Repayment of Domestic Debt</v>
      </c>
      <c r="C152" s="447"/>
      <c r="D152" s="447"/>
      <c r="E152" s="447"/>
      <c r="F152" s="447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30" t="str">
        <f>+VLOOKUP(LEFT($A153,LEN(A153)-1)*1,Master!$D$25:$G$223,4,FALSE)</f>
        <v>Repayment of Foreign Debt</v>
      </c>
      <c r="C153" s="431"/>
      <c r="D153" s="431"/>
      <c r="E153" s="431"/>
      <c r="F153" s="431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48" t="str">
        <f>+VLOOKUP(LEFT($A154,LEN(A154)-1)*1,Master!$D$25:$G$223,4,FALSE)</f>
        <v>Repayments of Arrears</v>
      </c>
      <c r="C154" s="449"/>
      <c r="D154" s="449"/>
      <c r="E154" s="449"/>
      <c r="F154" s="449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50" t="str">
        <f>+VLOOKUP(LEFT($A155,LEN(A155)-1)*1,Master!$D$25:$G$223,4,FALSE)</f>
        <v>Financing needs</v>
      </c>
      <c r="C155" s="451"/>
      <c r="D155" s="451"/>
      <c r="E155" s="451"/>
      <c r="F155" s="451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52" t="str">
        <f>+VLOOKUP(LEFT($A156,LEN(A156)-1)*1,Master!$D$25:$G$223,4,FALSE)</f>
        <v>Financing</v>
      </c>
      <c r="C156" s="453"/>
      <c r="D156" s="453"/>
      <c r="E156" s="453"/>
      <c r="F156" s="453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46" t="str">
        <f>+VLOOKUP(LEFT($A157,LEN(A157)-1)*1,Master!$D$25:$G$223,4,FALSE)</f>
        <v>Domestic Loans and Borrowings</v>
      </c>
      <c r="C157" s="447"/>
      <c r="D157" s="447"/>
      <c r="E157" s="447"/>
      <c r="F157" s="447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30" t="str">
        <f>+VLOOKUP(LEFT($A158,LEN(A158)-1)*1,Master!$D$25:$G$223,4,FALSE)</f>
        <v>Foreign Loans and Borrowings</v>
      </c>
      <c r="C158" s="431"/>
      <c r="D158" s="431"/>
      <c r="E158" s="431"/>
      <c r="F158" s="431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30" t="str">
        <f>+VLOOKUP(LEFT($A159,LEN(A159)-1)*1,Master!$D$25:$G$223,4,FALSE)</f>
        <v>Revenues from Selling Assets</v>
      </c>
      <c r="C159" s="431"/>
      <c r="D159" s="431"/>
      <c r="E159" s="431"/>
      <c r="F159" s="431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Increase / decrease of deposits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Analitika - 2014</vt:lpstr>
      <vt:lpstr>Breakdown</vt:lpstr>
      <vt:lpstr>Analytics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2017-03-01T13:10:49Z</cp:lastPrinted>
  <dcterms:created xsi:type="dcterms:W3CDTF">2014-09-15T13:41:17Z</dcterms:created>
  <dcterms:modified xsi:type="dcterms:W3CDTF">2018-03-02T12:11:59Z</dcterms:modified>
</cp:coreProperties>
</file>