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2q1Vco5PPoJONC9HGjvyoPOj3ZGThlqcxpwI18FLKccP4LwGvD/868XMvUlo4bWKo/mKXgs7kSSxodPFTOSzVg==" workbookSaltValue="q59kMpEWYY2DyhX/O40lIA==" workbookSpinCount="100000" lockStructure="1"/>
  <bookViews>
    <workbookView xWindow="0" yWindow="0" windowWidth="11970" windowHeight="6045" tabRatio="587" firstSheet="1" activeTab="2"/>
  </bookViews>
  <sheets>
    <sheet name="Analitika - 2014" sheetId="3" state="hidden" r:id="rId1"/>
    <sheet name="Pregled" sheetId="1" r:id="rId2"/>
    <sheet name="Analit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I47" i="11" l="1"/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H52" i="11" l="1"/>
  <c r="H58" i="11"/>
  <c r="H61" i="11"/>
  <c r="H21" i="1" l="1"/>
  <c r="G21" i="1"/>
  <c r="H17" i="1"/>
  <c r="G17" i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T48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T135" i="22" s="1"/>
  <c r="A135" i="22"/>
  <c r="A134" i="22"/>
  <c r="A133" i="22"/>
  <c r="S132" i="22"/>
  <c r="T132" i="22" s="1"/>
  <c r="A132" i="22"/>
  <c r="S131" i="22"/>
  <c r="A131" i="22"/>
  <c r="S130" i="22"/>
  <c r="A130" i="22"/>
  <c r="R129" i="22"/>
  <c r="Q129" i="22"/>
  <c r="P129" i="22"/>
  <c r="O129" i="22"/>
  <c r="N129" i="22"/>
  <c r="M129" i="22"/>
  <c r="L129" i="22"/>
  <c r="K129" i="22"/>
  <c r="J129" i="22"/>
  <c r="I129" i="22"/>
  <c r="O55" i="11" s="1"/>
  <c r="H129" i="22"/>
  <c r="A129" i="22"/>
  <c r="A128" i="22"/>
  <c r="A127" i="22"/>
  <c r="S126" i="22"/>
  <c r="A126" i="22"/>
  <c r="S125" i="22"/>
  <c r="H51" i="11" s="1"/>
  <c r="A125" i="22"/>
  <c r="S124" i="22"/>
  <c r="H50" i="11" s="1"/>
  <c r="A124" i="22"/>
  <c r="S123" i="22"/>
  <c r="H49" i="11" s="1"/>
  <c r="A123" i="22"/>
  <c r="S122" i="22"/>
  <c r="H48" i="11" s="1"/>
  <c r="A122" i="22"/>
  <c r="S121" i="22"/>
  <c r="H47" i="11" s="1"/>
  <c r="A121" i="22"/>
  <c r="S120" i="22"/>
  <c r="H46" i="11" s="1"/>
  <c r="A120" i="22"/>
  <c r="S119" i="22"/>
  <c r="H45" i="11" s="1"/>
  <c r="A119" i="22"/>
  <c r="S118" i="22"/>
  <c r="H44" i="11" s="1"/>
  <c r="A118" i="22"/>
  <c r="S117" i="22"/>
  <c r="H43" i="11" s="1"/>
  <c r="A117" i="22"/>
  <c r="S116" i="22"/>
  <c r="H42" i="11" s="1"/>
  <c r="A116" i="22"/>
  <c r="S115" i="22"/>
  <c r="H41" i="11" s="1"/>
  <c r="A115" i="22"/>
  <c r="R114" i="22"/>
  <c r="Q114" i="22"/>
  <c r="Q103" i="22" s="1"/>
  <c r="P114" i="22"/>
  <c r="P103" i="22" s="1"/>
  <c r="O114" i="22"/>
  <c r="N114" i="22"/>
  <c r="M114" i="22"/>
  <c r="L114" i="22"/>
  <c r="K114" i="22"/>
  <c r="J114" i="22"/>
  <c r="I114" i="22"/>
  <c r="O40" i="11" s="1"/>
  <c r="H114" i="22"/>
  <c r="G114" i="22"/>
  <c r="A114" i="22"/>
  <c r="S113" i="22"/>
  <c r="A113" i="22"/>
  <c r="S112" i="22"/>
  <c r="A112" i="22"/>
  <c r="S111" i="22"/>
  <c r="A111" i="22"/>
  <c r="S110" i="22"/>
  <c r="H36" i="11" s="1"/>
  <c r="A110" i="22"/>
  <c r="S109" i="22"/>
  <c r="A109" i="22"/>
  <c r="S108" i="22"/>
  <c r="H34" i="11" s="1"/>
  <c r="A108" i="22"/>
  <c r="S107" i="22"/>
  <c r="A107" i="22"/>
  <c r="S106" i="22"/>
  <c r="H32" i="11" s="1"/>
  <c r="A106" i="22"/>
  <c r="S105" i="22"/>
  <c r="A105" i="22"/>
  <c r="R104" i="22"/>
  <c r="Q104" i="22"/>
  <c r="P104" i="22"/>
  <c r="O104" i="22"/>
  <c r="O103" i="22" s="1"/>
  <c r="N104" i="22"/>
  <c r="M104" i="22"/>
  <c r="L104" i="22"/>
  <c r="L103" i="22" s="1"/>
  <c r="K104" i="22"/>
  <c r="K103" i="22" s="1"/>
  <c r="J104" i="22"/>
  <c r="I104" i="22"/>
  <c r="O30" i="11" s="1"/>
  <c r="H104" i="22"/>
  <c r="G104" i="22"/>
  <c r="A104" i="22"/>
  <c r="M103" i="22"/>
  <c r="A103" i="22"/>
  <c r="S102" i="22"/>
  <c r="H28" i="11" s="1"/>
  <c r="A102" i="22"/>
  <c r="S101" i="22"/>
  <c r="A101" i="22"/>
  <c r="S100" i="22"/>
  <c r="H26" i="11" s="1"/>
  <c r="A100" i="22"/>
  <c r="S99" i="22"/>
  <c r="A99" i="22"/>
  <c r="S98" i="22"/>
  <c r="H24" i="11" s="1"/>
  <c r="A98" i="22"/>
  <c r="S97" i="22"/>
  <c r="A97" i="22"/>
  <c r="S96" i="22"/>
  <c r="H22" i="11" s="1"/>
  <c r="A96" i="22"/>
  <c r="S95" i="22"/>
  <c r="A95" i="22"/>
  <c r="S94" i="22"/>
  <c r="H20" i="11" s="1"/>
  <c r="A94" i="22"/>
  <c r="R93" i="22"/>
  <c r="Q93" i="22"/>
  <c r="P93" i="22"/>
  <c r="O93" i="22"/>
  <c r="N93" i="22"/>
  <c r="M93" i="22"/>
  <c r="L93" i="22"/>
  <c r="K93" i="22"/>
  <c r="J93" i="22"/>
  <c r="I93" i="22"/>
  <c r="O19" i="11" s="1"/>
  <c r="H93" i="22"/>
  <c r="G93" i="22"/>
  <c r="A93" i="22"/>
  <c r="S92" i="22"/>
  <c r="A92" i="22"/>
  <c r="S91" i="22"/>
  <c r="H17" i="11" s="1"/>
  <c r="A91" i="22"/>
  <c r="S90" i="22"/>
  <c r="A90" i="22"/>
  <c r="S89" i="22"/>
  <c r="H15" i="11" s="1"/>
  <c r="A89" i="22"/>
  <c r="S88" i="22"/>
  <c r="A88" i="22"/>
  <c r="S87" i="22"/>
  <c r="H13" i="11" s="1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O11" i="11" s="1"/>
  <c r="P11" i="11" s="1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N30" i="11" s="1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L10" i="22" s="1"/>
  <c r="J11" i="22"/>
  <c r="H11" i="22"/>
  <c r="S12" i="22"/>
  <c r="T12" i="22" s="1"/>
  <c r="Q11" i="22"/>
  <c r="Q10" i="22" s="1"/>
  <c r="O11" i="22"/>
  <c r="O10" i="22" s="1"/>
  <c r="M11" i="22"/>
  <c r="K11" i="22"/>
  <c r="K10" i="22" s="1"/>
  <c r="I11" i="22"/>
  <c r="I10" i="22" s="1"/>
  <c r="N10" i="11" s="1"/>
  <c r="G11" i="22"/>
  <c r="R5" i="22"/>
  <c r="Q5" i="22"/>
  <c r="P5" i="22"/>
  <c r="O5" i="22"/>
  <c r="N5" i="22"/>
  <c r="M5" i="22"/>
  <c r="L5" i="22"/>
  <c r="K5" i="22"/>
  <c r="J5" i="22"/>
  <c r="I5" i="22"/>
  <c r="H5" i="22"/>
  <c r="G5" i="22"/>
  <c r="T137" i="22" l="1"/>
  <c r="H63" i="11"/>
  <c r="T136" i="22"/>
  <c r="H62" i="11"/>
  <c r="T131" i="22"/>
  <c r="H57" i="11"/>
  <c r="T130" i="22"/>
  <c r="H56" i="11"/>
  <c r="T113" i="22"/>
  <c r="H39" i="11"/>
  <c r="T112" i="22"/>
  <c r="H38" i="11"/>
  <c r="T111" i="22"/>
  <c r="H37" i="11"/>
  <c r="T109" i="22"/>
  <c r="H35" i="11"/>
  <c r="T107" i="22"/>
  <c r="H33" i="11"/>
  <c r="T105" i="22"/>
  <c r="H31" i="11"/>
  <c r="I103" i="22"/>
  <c r="O29" i="11" s="1"/>
  <c r="T101" i="22"/>
  <c r="H27" i="11"/>
  <c r="T99" i="22"/>
  <c r="H25" i="11"/>
  <c r="T95" i="22"/>
  <c r="H21" i="11"/>
  <c r="T97" i="22"/>
  <c r="H23" i="11"/>
  <c r="T86" i="22"/>
  <c r="H12" i="11"/>
  <c r="T88" i="22"/>
  <c r="H14" i="11"/>
  <c r="T90" i="22"/>
  <c r="H16" i="11"/>
  <c r="T92" i="22"/>
  <c r="H18" i="11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K53" i="22" s="1"/>
  <c r="K54" i="22" s="1"/>
  <c r="O29" i="22"/>
  <c r="O53" i="22" s="1"/>
  <c r="O59" i="22" s="1"/>
  <c r="O64" i="22" s="1"/>
  <c r="O60" i="22" s="1"/>
  <c r="L29" i="22"/>
  <c r="L53" i="22" s="1"/>
  <c r="L54" i="22" s="1"/>
  <c r="P29" i="22"/>
  <c r="P53" i="22" s="1"/>
  <c r="P54" i="22" s="1"/>
  <c r="H29" i="22"/>
  <c r="J10" i="22"/>
  <c r="N10" i="22"/>
  <c r="R10" i="22"/>
  <c r="S129" i="22"/>
  <c r="J127" i="22"/>
  <c r="J128" i="22" s="1"/>
  <c r="L84" i="22"/>
  <c r="P84" i="22"/>
  <c r="I84" i="22"/>
  <c r="K84" i="22"/>
  <c r="K127" i="22" s="1"/>
  <c r="K128" i="22" s="1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L127" i="22"/>
  <c r="L133" i="22" s="1"/>
  <c r="L138" i="22" s="1"/>
  <c r="L134" i="22" s="1"/>
  <c r="P127" i="22"/>
  <c r="P133" i="22" s="1"/>
  <c r="P138" i="22" s="1"/>
  <c r="P134" i="22" s="1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K133" i="22"/>
  <c r="K138" i="22" s="1"/>
  <c r="K134" i="22" s="1"/>
  <c r="I53" i="22" l="1"/>
  <c r="N29" i="11"/>
  <c r="Q29" i="11" s="1"/>
  <c r="T129" i="22"/>
  <c r="H55" i="11"/>
  <c r="T114" i="22"/>
  <c r="H40" i="11"/>
  <c r="T104" i="22"/>
  <c r="H30" i="11"/>
  <c r="T93" i="22"/>
  <c r="H19" i="11"/>
  <c r="I127" i="22"/>
  <c r="I128" i="22" s="1"/>
  <c r="O54" i="11" s="1"/>
  <c r="O10" i="11"/>
  <c r="P10" i="11" s="1"/>
  <c r="T85" i="22"/>
  <c r="H11" i="11"/>
  <c r="H127" i="22"/>
  <c r="H133" i="22" s="1"/>
  <c r="Q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J133" i="22"/>
  <c r="J138" i="22" s="1"/>
  <c r="J134" i="22" s="1"/>
  <c r="N53" i="22"/>
  <c r="N59" i="22" s="1"/>
  <c r="N64" i="22" s="1"/>
  <c r="N60" i="22" s="1"/>
  <c r="S103" i="22"/>
  <c r="L59" i="22"/>
  <c r="L64" i="22" s="1"/>
  <c r="L60" i="22" s="1"/>
  <c r="R53" i="22"/>
  <c r="R54" i="22" s="1"/>
  <c r="I59" i="22"/>
  <c r="Q59" i="22"/>
  <c r="Q64" i="22" s="1"/>
  <c r="Q60" i="22" s="1"/>
  <c r="K59" i="22"/>
  <c r="K64" i="22" s="1"/>
  <c r="K60" i="22" s="1"/>
  <c r="L128" i="22"/>
  <c r="P128" i="22"/>
  <c r="O133" i="22"/>
  <c r="O138" i="22" s="1"/>
  <c r="O134" i="22" s="1"/>
  <c r="S84" i="22"/>
  <c r="M128" i="22"/>
  <c r="Q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L48" i="11"/>
  <c r="M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M54" i="22"/>
  <c r="N54" i="22"/>
  <c r="A145" i="19"/>
  <c r="A144" i="19"/>
  <c r="A151" i="19"/>
  <c r="A157" i="19"/>
  <c r="A152" i="19"/>
  <c r="A153" i="19"/>
  <c r="I64" i="22" l="1"/>
  <c r="N59" i="11"/>
  <c r="I54" i="22"/>
  <c r="N54" i="11" s="1"/>
  <c r="N53" i="11"/>
  <c r="T103" i="22"/>
  <c r="H29" i="11"/>
  <c r="T84" i="22"/>
  <c r="H10" i="11"/>
  <c r="I133" i="22"/>
  <c r="O53" i="11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64" i="22" s="1"/>
  <c r="J60" i="22" s="1"/>
  <c r="J54" i="22"/>
  <c r="R140" i="19"/>
  <c r="Q140" i="19"/>
  <c r="P140" i="19"/>
  <c r="O140" i="19"/>
  <c r="N140" i="19"/>
  <c r="M140" i="19"/>
  <c r="I60" i="22" l="1"/>
  <c r="N60" i="11" s="1"/>
  <c r="N64" i="11"/>
  <c r="S54" i="22"/>
  <c r="T54" i="22" s="1"/>
  <c r="T127" i="22"/>
  <c r="H53" i="11"/>
  <c r="I138" i="22"/>
  <c r="O59" i="11"/>
  <c r="Q59" i="11" s="1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Q54" i="11"/>
  <c r="S128" i="22"/>
  <c r="T128" i="22" l="1"/>
  <c r="H54" i="11"/>
  <c r="I54" i="11" s="1"/>
  <c r="T133" i="22"/>
  <c r="H59" i="11"/>
  <c r="I134" i="22"/>
  <c r="O60" i="11" s="1"/>
  <c r="O64" i="11"/>
  <c r="H60" i="22"/>
  <c r="Q64" i="11"/>
  <c r="I53" i="11"/>
  <c r="G20" i="1"/>
  <c r="H20" i="1" s="1"/>
  <c r="S64" i="22"/>
  <c r="T64" i="22" s="1"/>
  <c r="J53" i="11"/>
  <c r="G60" i="22"/>
  <c r="S60" i="22" s="1"/>
  <c r="T60" i="22" s="1"/>
  <c r="J54" i="11"/>
  <c r="G59" i="11"/>
  <c r="S138" i="22"/>
  <c r="G134" i="22"/>
  <c r="GC35" i="6"/>
  <c r="GC28" i="6"/>
  <c r="GC23" i="6"/>
  <c r="GC18" i="6"/>
  <c r="GC10" i="6"/>
  <c r="T138" i="22" l="1"/>
  <c r="H64" i="11"/>
  <c r="G64" i="11"/>
  <c r="G60" i="11"/>
  <c r="J59" i="11"/>
  <c r="I59" i="11"/>
  <c r="S134" i="22"/>
  <c r="Q60" i="11"/>
  <c r="GB35" i="6"/>
  <c r="GB28" i="6"/>
  <c r="GB23" i="6"/>
  <c r="GB18" i="6"/>
  <c r="GB10" i="6"/>
  <c r="T134" i="22" l="1"/>
  <c r="H60" i="11"/>
  <c r="J60" i="11" s="1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59" i="6" s="1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I30" i="20" s="1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R32" i="20"/>
  <c r="G32" i="20"/>
  <c r="H30" i="20"/>
  <c r="L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40" i="20" l="1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K29" i="20" l="1"/>
  <c r="M29" i="20"/>
  <c r="J29" i="20"/>
  <c r="G29" i="20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l="1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l="1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<sst xmlns="http://schemas.openxmlformats.org/spreadsheetml/2006/main" count="1728" uniqueCount="828">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</sst>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mart 2021. godine iznosili su 348,4 mil. € ili 7,5%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15,9 mil. € ili 4,8% u odnosu na planirane. U odnosu na isti period prethodne godine prihodi su manji za 27,0 mil. € ili 7,2%.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mart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451,9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9,7%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0,7 mil. € ili 0,2% u odnosu na isti period prethodne godine. U odnosu na planirane, izdaci su manji za 77,5 mil. € ili 14,6%. U periodu januar - mart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103,5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 2021. godine, Rješenjem o privremenom finansiranju budžeta za februar 2021. godine i Rješenjem o privremenom finansiranju budžeta za mart 2021. godine.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2021-03</v>
      </c>
      <c r="O6" s="143" t="str">
        <f>+CONCATENATE(N6,"p")</f>
        <v>2021-03p</v>
      </c>
      <c r="P6" s="130"/>
      <c r="Q6" s="130"/>
      <c r="R6" s="143" t="str">
        <f>+IF(Master!B3-10&gt;=0,CONCATENATE(Master!B4-1,"-",Master!B3),CONCATENATE(Master!B4-1,"-0",Master!B3))</f>
        <v>2020-03</v>
      </c>
      <c r="S6" s="130"/>
      <c r="T6" s="130"/>
    </row>
    <row r="7" spans="1:20">
      <c r="A7" s="144"/>
      <c r="B7" s="517" t="s">
        <v>692</v>
      </c>
      <c r="C7" s="518"/>
      <c r="D7" s="518"/>
      <c r="E7" s="518"/>
      <c r="F7" s="518"/>
      <c r="G7" s="526" t="s">
        <v>691</v>
      </c>
      <c r="H7" s="527"/>
      <c r="I7" s="527"/>
      <c r="J7" s="527"/>
      <c r="K7" s="527"/>
      <c r="L7" s="527"/>
      <c r="M7" s="528"/>
      <c r="N7" s="529" t="str">
        <f>+Master!G242</f>
        <v>Decembar</v>
      </c>
      <c r="O7" s="527"/>
      <c r="P7" s="527"/>
      <c r="Q7" s="527"/>
      <c r="R7" s="527"/>
      <c r="S7" s="527"/>
      <c r="T7" s="530"/>
    </row>
    <row r="8" spans="1:20">
      <c r="A8" s="144"/>
      <c r="B8" s="519"/>
      <c r="C8" s="520"/>
      <c r="D8" s="520"/>
      <c r="E8" s="520"/>
      <c r="F8" s="521"/>
      <c r="G8" s="145" t="str">
        <f>+Master!G25</f>
        <v>Ostvarenje</v>
      </c>
      <c r="H8" s="145" t="str">
        <f>+Master!G24</f>
        <v>Plan</v>
      </c>
      <c r="I8" s="515" t="str">
        <f>+Master!G260</f>
        <v>Odstupanje</v>
      </c>
      <c r="J8" s="515"/>
      <c r="K8" s="145" t="str">
        <f>+CONCATENATE(Master!G245," ",Master!B4-1)</f>
        <v>Jan - Mar 2020</v>
      </c>
      <c r="L8" s="515" t="str">
        <f>+I8</f>
        <v>Odstupanje</v>
      </c>
      <c r="M8" s="525"/>
      <c r="N8" s="146" t="str">
        <f>+G8</f>
        <v>Ostvarenje</v>
      </c>
      <c r="O8" s="145" t="str">
        <f>+H8</f>
        <v>Plan</v>
      </c>
      <c r="P8" s="515" t="str">
        <f>+I8</f>
        <v>Odstupanje</v>
      </c>
      <c r="Q8" s="515"/>
      <c r="R8" s="145" t="str">
        <f>+CONCATENATE(Master!G244," ",Master!B4-1)</f>
        <v>Mart 2020</v>
      </c>
      <c r="S8" s="515" t="str">
        <f>+P8</f>
        <v>Odstupanje</v>
      </c>
      <c r="T8" s="516"/>
    </row>
    <row r="9" spans="1:20" ht="15.7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85" t="str">
        <f>+VLOOKUP($A10,Master!$D$29:$G$225,4,FALSE)</f>
        <v>Prihodi budžeta</v>
      </c>
      <c r="C10" s="486"/>
      <c r="D10" s="486"/>
      <c r="E10" s="486"/>
      <c r="F10" s="486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489" t="e">
        <f>+VLOOKUP($A18,Master!$D$29:$G$225,4,FALSE)</f>
        <v>#N/A</v>
      </c>
      <c r="C18" s="490"/>
      <c r="D18" s="490"/>
      <c r="E18" s="490"/>
      <c r="F18" s="49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489" t="str">
        <f>+VLOOKUP($A19,Master!$D$29:$G$225,4,FALSE)</f>
        <v>Ostali državni porezi</v>
      </c>
      <c r="C19" s="490"/>
      <c r="D19" s="490"/>
      <c r="E19" s="490"/>
      <c r="F19" s="49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493" t="str">
        <f>+VLOOKUP($A20,Master!$D$29:$G$225,4,FALSE)</f>
        <v>Doprinosi</v>
      </c>
      <c r="C20" s="494"/>
      <c r="D20" s="494"/>
      <c r="E20" s="494"/>
      <c r="F20" s="494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489" t="str">
        <f>+VLOOKUP($A21,Master!$D$29:$G$225,4,FALSE)</f>
        <v>Doprinosi za penzijsko i invalidsko osiguranje</v>
      </c>
      <c r="C21" s="490"/>
      <c r="D21" s="490"/>
      <c r="E21" s="490"/>
      <c r="F21" s="49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489" t="str">
        <f>+VLOOKUP($A22,Master!$D$29:$G$225,4,FALSE)</f>
        <v>Doprinosi za zdravstveno osiguranje</v>
      </c>
      <c r="C22" s="490"/>
      <c r="D22" s="490"/>
      <c r="E22" s="490"/>
      <c r="F22" s="49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489" t="str">
        <f>+VLOOKUP($A23,Master!$D$29:$G$225,4,FALSE)</f>
        <v>Doprinosi za osiguranje od nezaposlenosti</v>
      </c>
      <c r="C23" s="490"/>
      <c r="D23" s="490"/>
      <c r="E23" s="490"/>
      <c r="F23" s="49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489" t="str">
        <f>+VLOOKUP($A24,Master!$D$29:$G$225,4,FALSE)</f>
        <v>Ostali doprinosi</v>
      </c>
      <c r="C24" s="490"/>
      <c r="D24" s="490"/>
      <c r="E24" s="490"/>
      <c r="F24" s="49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491" t="str">
        <f>+VLOOKUP($A25,Master!$D$29:$G$225,4,FALSE)</f>
        <v>Takse</v>
      </c>
      <c r="C25" s="492"/>
      <c r="D25" s="492"/>
      <c r="E25" s="492"/>
      <c r="F25" s="49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491" t="str">
        <f>+VLOOKUP($A26,Master!$D$29:$G$225,4,FALSE)</f>
        <v>Naknade</v>
      </c>
      <c r="C26" s="492"/>
      <c r="D26" s="492"/>
      <c r="E26" s="492"/>
      <c r="F26" s="49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491" t="str">
        <f>+VLOOKUP($A27,Master!$D$29:$G$225,4,FALSE)</f>
        <v>Ostali prihodi</v>
      </c>
      <c r="C27" s="492"/>
      <c r="D27" s="492"/>
      <c r="E27" s="492"/>
      <c r="F27" s="49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491" t="str">
        <f>+VLOOKUP($A28,Master!$D$29:$G$225,4,FALSE)</f>
        <v>Primici od otplate kredita i sredstva prenesena iz prethodne godine</v>
      </c>
      <c r="C28" s="492"/>
      <c r="D28" s="492"/>
      <c r="E28" s="492"/>
      <c r="F28" s="49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495" t="str">
        <f>+VLOOKUP($A29,Master!$D$29:$G$225,4,FALSE)</f>
        <v>Donacije i transferi</v>
      </c>
      <c r="C29" s="496"/>
      <c r="D29" s="496"/>
      <c r="E29" s="496"/>
      <c r="F29" s="496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497" t="str">
        <f>+VLOOKUP($A30,Master!$D$29:$G$225,4,FALSE)</f>
        <v>Izdaci budžeta</v>
      </c>
      <c r="C30" s="498"/>
      <c r="D30" s="498"/>
      <c r="E30" s="498"/>
      <c r="F30" s="498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499" t="str">
        <f>+VLOOKUP($A31,Master!$D$29:$G$225,4,FALSE)</f>
        <v>Tekući izdaci</v>
      </c>
      <c r="C31" s="500"/>
      <c r="D31" s="500"/>
      <c r="E31" s="500"/>
      <c r="F31" s="500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01" t="str">
        <f>+VLOOKUP($A32,Master!$D$29:$G$225,4,FALSE)</f>
        <v>Tekuća budžetska potrošnja</v>
      </c>
      <c r="C32" s="502"/>
      <c r="D32" s="502"/>
      <c r="E32" s="502"/>
      <c r="F32" s="502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489" t="str">
        <f>+VLOOKUP($A33,Master!$D$29:$G$225,4,FALSE)</f>
        <v>Bruto zarade i doprinosi na teret poslodavca</v>
      </c>
      <c r="C33" s="490"/>
      <c r="D33" s="490"/>
      <c r="E33" s="490"/>
      <c r="F33" s="49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489" t="str">
        <f>+VLOOKUP($A34,Master!$D$29:$G$225,4,FALSE)</f>
        <v>Ostala lična primanja</v>
      </c>
      <c r="C34" s="490"/>
      <c r="D34" s="490"/>
      <c r="E34" s="490"/>
      <c r="F34" s="49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489" t="str">
        <f>+VLOOKUP($A35,Master!$D$29:$G$225,4,FALSE)</f>
        <v>Rashodi za materijal</v>
      </c>
      <c r="C35" s="490"/>
      <c r="D35" s="490"/>
      <c r="E35" s="490"/>
      <c r="F35" s="49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489" t="str">
        <f>+VLOOKUP($A36,Master!$D$29:$G$225,4,FALSE)</f>
        <v>Rashodi za usluge</v>
      </c>
      <c r="C36" s="490"/>
      <c r="D36" s="490"/>
      <c r="E36" s="490"/>
      <c r="F36" s="49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489" t="str">
        <f>+VLOOKUP($A37,Master!$D$29:$G$225,4,FALSE)</f>
        <v>Rashodi za tekuće održavanje</v>
      </c>
      <c r="C37" s="490"/>
      <c r="D37" s="490"/>
      <c r="E37" s="490"/>
      <c r="F37" s="49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489" t="str">
        <f>+VLOOKUP($A38,Master!$D$29:$G$225,4,FALSE)</f>
        <v>Kamate</v>
      </c>
      <c r="C38" s="490"/>
      <c r="D38" s="490"/>
      <c r="E38" s="490"/>
      <c r="F38" s="49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489" t="str">
        <f>+VLOOKUP($A39,Master!$D$29:$G$225,4,FALSE)</f>
        <v>Renta</v>
      </c>
      <c r="C39" s="490"/>
      <c r="D39" s="490"/>
      <c r="E39" s="490"/>
      <c r="F39" s="49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489" t="str">
        <f>+VLOOKUP($A40,Master!$D$29:$G$225,4,FALSE)</f>
        <v>Subvencije</v>
      </c>
      <c r="C40" s="490"/>
      <c r="D40" s="490"/>
      <c r="E40" s="490"/>
      <c r="F40" s="49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489" t="str">
        <f>+VLOOKUP($A41,Master!$D$29:$G$225,4,FALSE)</f>
        <v>Ostali izdaci</v>
      </c>
      <c r="C41" s="490"/>
      <c r="D41" s="490"/>
      <c r="E41" s="490"/>
      <c r="F41" s="49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489" t="e">
        <f>+VLOOKUP($A42,Master!$D$29:$G$225,4,FALSE)</f>
        <v>#N/A</v>
      </c>
      <c r="C42" s="490"/>
      <c r="D42" s="490"/>
      <c r="E42" s="490"/>
      <c r="F42" s="49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05" t="str">
        <f>+VLOOKUP($A43,Master!$D$29:$G$225,4,FALSE)</f>
        <v>Transferi za socijalnu zaštitu</v>
      </c>
      <c r="C43" s="506"/>
      <c r="D43" s="506"/>
      <c r="E43" s="506"/>
      <c r="F43" s="50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489" t="str">
        <f>+VLOOKUP($A44,Master!$D$29:$G$225,4,FALSE)</f>
        <v>Prava iz oblasti socijalne zaštite</v>
      </c>
      <c r="C44" s="490"/>
      <c r="D44" s="490"/>
      <c r="E44" s="490"/>
      <c r="F44" s="49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489" t="str">
        <f>+VLOOKUP($A45,Master!$D$29:$G$225,4,FALSE)</f>
        <v>Sredstva za tehnološke viškove</v>
      </c>
      <c r="C45" s="490"/>
      <c r="D45" s="490"/>
      <c r="E45" s="490"/>
      <c r="F45" s="49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489" t="str">
        <f>+VLOOKUP($A46,Master!$D$29:$G$225,4,FALSE)</f>
        <v>Prava iz oblasti penzijskog i invalidskog osiguranja</v>
      </c>
      <c r="C46" s="490"/>
      <c r="D46" s="490"/>
      <c r="E46" s="490"/>
      <c r="F46" s="49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489" t="str">
        <f>+VLOOKUP($A47,Master!$D$29:$G$225,4,FALSE)</f>
        <v>Ostala prava iz oblasti zdravstvene zaštite</v>
      </c>
      <c r="C47" s="490"/>
      <c r="D47" s="490"/>
      <c r="E47" s="490"/>
      <c r="F47" s="49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489" t="str">
        <f>+VLOOKUP($A48,Master!$D$29:$G$225,4,FALSE)</f>
        <v>Ostala prava iz zdravstvenog osiguranja</v>
      </c>
      <c r="C48" s="490"/>
      <c r="D48" s="490"/>
      <c r="E48" s="490"/>
      <c r="F48" s="49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03" t="str">
        <f>+VLOOKUP($A49,Master!$D$29:$G$225,4,FALSE)</f>
        <v xml:space="preserve">Transferi institucijama, pojedincima, nevladinom i javnom sektoru </v>
      </c>
      <c r="C49" s="504"/>
      <c r="D49" s="504"/>
      <c r="E49" s="504"/>
      <c r="F49" s="50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03" t="str">
        <f>+VLOOKUP($A50,Master!$D$29:$G$225,4,FALSE)</f>
        <v>Kapitalni izdaci</v>
      </c>
      <c r="C50" s="504"/>
      <c r="D50" s="504"/>
      <c r="E50" s="504"/>
      <c r="F50" s="50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7" t="str">
        <f>+VLOOKUP($A51,Master!$D$29:$G$225,4,FALSE)</f>
        <v>Pozajmice i krediti</v>
      </c>
      <c r="C51" s="508"/>
      <c r="D51" s="508"/>
      <c r="E51" s="508"/>
      <c r="F51" s="50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7" t="str">
        <f>+VLOOKUP($A52,Master!$D$29:$G$225,4,FALSE)</f>
        <v>Rezerve</v>
      </c>
      <c r="C52" s="508"/>
      <c r="D52" s="508"/>
      <c r="E52" s="508"/>
      <c r="F52" s="50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9" t="str">
        <f>+VLOOKUP($A53,Master!$D$29:$G$225,4,FALSE)</f>
        <v>Otplata garancija</v>
      </c>
      <c r="C53" s="510"/>
      <c r="D53" s="510"/>
      <c r="E53" s="510"/>
      <c r="F53" s="510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9" t="str">
        <f>+VLOOKUP($A54,Master!$D$29:$G$225,4,FALSE)</f>
        <v>Otplata obaveza iz prethodnog perioda</v>
      </c>
      <c r="C54" s="510"/>
      <c r="D54" s="510"/>
      <c r="E54" s="510"/>
      <c r="F54" s="510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9" t="str">
        <f>+VLOOKUP($A55,Master!$D$29:$G$227,4,FALSE)</f>
        <v>Neto povećanje obaveza</v>
      </c>
      <c r="C55" s="510"/>
      <c r="D55" s="510"/>
      <c r="E55" s="510"/>
      <c r="F55" s="510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1" t="str">
        <f>+VLOOKUP($A56,Master!$D$29:$G$225,4,FALSE)</f>
        <v>Suficit / deficit</v>
      </c>
      <c r="C56" s="512"/>
      <c r="D56" s="512"/>
      <c r="E56" s="512"/>
      <c r="F56" s="51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3" t="str">
        <f>+VLOOKUP($A57,Master!$D$29:$G$225,4,FALSE)</f>
        <v>Primarni suficit/deficit</v>
      </c>
      <c r="C57" s="514"/>
      <c r="D57" s="514"/>
      <c r="E57" s="514"/>
      <c r="F57" s="51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05" t="str">
        <f>+VLOOKUP($A58,Master!$D$29:$G$225,4,FALSE)</f>
        <v>Otplata dugova</v>
      </c>
      <c r="C58" s="506"/>
      <c r="D58" s="506"/>
      <c r="E58" s="506"/>
      <c r="F58" s="50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31" t="str">
        <f>+VLOOKUP($A59,Master!$D$29:$G$225,4,FALSE)</f>
        <v>Otplata hartija od vrijednosti i kredita rezidentima</v>
      </c>
      <c r="C59" s="532"/>
      <c r="D59" s="532"/>
      <c r="E59" s="532"/>
      <c r="F59" s="532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7" t="str">
        <f>+VLOOKUP($A60,Master!$D$29:$G$225,4,FALSE)</f>
        <v>Otplata hartija od vrijednosti i kredita nerezidentima</v>
      </c>
      <c r="C60" s="508"/>
      <c r="D60" s="508"/>
      <c r="E60" s="508"/>
      <c r="F60" s="50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33" t="str">
        <f>+VLOOKUP($A62,Master!$D$29:$G$225,4,FALSE)</f>
        <v>Nedostajuća sredstva</v>
      </c>
      <c r="C62" s="534"/>
      <c r="D62" s="534"/>
      <c r="E62" s="534"/>
      <c r="F62" s="53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497" t="str">
        <f>+VLOOKUP($A63,Master!$D$29:$G$225,4,FALSE)</f>
        <v>Finansiranje</v>
      </c>
      <c r="C63" s="498"/>
      <c r="D63" s="498"/>
      <c r="E63" s="498"/>
      <c r="F63" s="498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31" t="str">
        <f>+VLOOKUP($A64,Master!$D$29:$G$225,4,FALSE)</f>
        <v>Pozajmice i krediti od domaćih izvora</v>
      </c>
      <c r="C64" s="532"/>
      <c r="D64" s="532"/>
      <c r="E64" s="532"/>
      <c r="F64" s="532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7" t="str">
        <f>+VLOOKUP($A65,Master!$D$29:$G$225,4,FALSE)</f>
        <v>Pozajmice i krediti od inostranih izvora</v>
      </c>
      <c r="C65" s="508"/>
      <c r="D65" s="508"/>
      <c r="E65" s="508"/>
      <c r="F65" s="50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7" t="str">
        <f>+VLOOKUP($A66,Master!$D$29:$G$225,4,FALSE)</f>
        <v>Primici od prodaje imovine</v>
      </c>
      <c r="C66" s="508"/>
      <c r="D66" s="508"/>
      <c r="E66" s="508"/>
      <c r="F66" s="50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Mart</v>
      </c>
      <c r="E11" s="135"/>
      <c r="F11" s="135"/>
      <c r="G11" s="137" t="str">
        <f>+Master!G273</f>
        <v>Prihodi za period Januar - Mart</v>
      </c>
      <c r="H11" s="135"/>
      <c r="I11" s="135"/>
      <c r="J11" s="135"/>
      <c r="K11" s="136"/>
    </row>
    <row r="12" spans="3:11">
      <c r="C12" s="134"/>
      <c r="D12" s="138">
        <f>+'Analitka - 2021'!N10</f>
        <v>154129701.31</v>
      </c>
      <c r="E12" s="456">
        <f>+D12/'2021'!T7</f>
        <v>3.3241966378380713E-2</v>
      </c>
      <c r="F12" s="135"/>
      <c r="G12" s="138">
        <f>+'Analitka - 2021'!G10</f>
        <v>348377186.71000004</v>
      </c>
      <c r="H12" s="456">
        <f>+G12/'2021'!T7</f>
        <v>7.5136347045248686E-2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Mart</v>
      </c>
      <c r="E15" s="135"/>
      <c r="F15" s="135"/>
      <c r="G15" s="137" t="str">
        <f>+Master!G274</f>
        <v>Rashodi za period Januar - Mart</v>
      </c>
      <c r="H15" s="135"/>
      <c r="I15" s="135"/>
      <c r="J15" s="135"/>
      <c r="K15" s="136"/>
    </row>
    <row r="16" spans="3:11">
      <c r="C16" s="134"/>
      <c r="D16" s="138">
        <f>+'Analitka - 2021'!N29</f>
        <v>164554451.06999999</v>
      </c>
      <c r="E16" s="456">
        <f>+D16/'2021'!T7</f>
        <v>3.5490327194495963E-2</v>
      </c>
      <c r="F16" s="135"/>
      <c r="G16" s="138">
        <f>+'Analitka - 2021'!G29</f>
        <v>451857635.99000001</v>
      </c>
      <c r="H16" s="456">
        <f>+G16/'2021'!T7</f>
        <v>9.7454521845749043E-2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Mart</v>
      </c>
      <c r="E19" s="135"/>
      <c r="F19" s="135"/>
      <c r="G19" s="137" t="str">
        <f>+Master!G275</f>
        <v>Suficit/Deficit za period Januar - Mart</v>
      </c>
      <c r="H19" s="135"/>
      <c r="I19" s="135"/>
      <c r="J19" s="135"/>
      <c r="K19" s="136"/>
    </row>
    <row r="20" spans="3:12">
      <c r="C20" s="134"/>
      <c r="D20" s="138">
        <f>+'Analitka - 2021'!N53</f>
        <v>-10424749.75999999</v>
      </c>
      <c r="E20" s="456">
        <f>+D20/'2021'!T7</f>
        <v>-2.2483608161152548E-3</v>
      </c>
      <c r="F20" s="135"/>
      <c r="G20" s="138">
        <f>+'Analitka - 2021'!G53</f>
        <v>-103480449.28</v>
      </c>
      <c r="H20" s="456">
        <f>+G20/'2021'!T7</f>
        <v>-2.2318174800500367E-2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o/bo1WdK6nfuT3953zn7IvTBqARaodz2B3w0szSW/2rcNhvX+t4rq+hFQEebDBLcgr1baNhLT5w4DL1Ua0gIfw==" saltValue="AOER33FbDzFpOwvUuRnbt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5" sqref="G15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2021-03</v>
      </c>
      <c r="O6" s="143" t="str">
        <f>+CONCATENATE(N6,"p")</f>
        <v>2021-03p</v>
      </c>
      <c r="P6" s="130"/>
      <c r="Q6" s="130"/>
      <c r="R6" s="143" t="str">
        <f>+IF(Master!B3-10&gt;=0,CONCATENATE(Master!B4-1,"-",Master!B3),CONCATENATE(Master!B4-1,"-0",Master!B3))</f>
        <v>2020-03</v>
      </c>
      <c r="S6" s="130"/>
      <c r="T6" s="130"/>
    </row>
    <row r="7" spans="1:20">
      <c r="A7" s="144"/>
      <c r="B7" s="517" t="str">
        <f>+Master!G253</f>
        <v>Analitika za period Jan - Mar</v>
      </c>
      <c r="C7" s="518"/>
      <c r="D7" s="518"/>
      <c r="E7" s="518"/>
      <c r="F7" s="518"/>
      <c r="G7" s="526" t="str">
        <f>+Master!G245</f>
        <v>Jan - Mar</v>
      </c>
      <c r="H7" s="527"/>
      <c r="I7" s="527"/>
      <c r="J7" s="527"/>
      <c r="K7" s="527"/>
      <c r="L7" s="527"/>
      <c r="M7" s="528"/>
      <c r="N7" s="529" t="str">
        <f>+Master!G244</f>
        <v>Mart</v>
      </c>
      <c r="O7" s="527"/>
      <c r="P7" s="527"/>
      <c r="Q7" s="527"/>
      <c r="R7" s="527"/>
      <c r="S7" s="527"/>
      <c r="T7" s="530"/>
    </row>
    <row r="8" spans="1:20">
      <c r="A8" s="144"/>
      <c r="B8" s="519"/>
      <c r="C8" s="520"/>
      <c r="D8" s="520"/>
      <c r="E8" s="520"/>
      <c r="F8" s="521"/>
      <c r="G8" s="358" t="str">
        <f>+Master!G25</f>
        <v>Ostvarenje</v>
      </c>
      <c r="H8" s="145" t="str">
        <f>+Master!G24</f>
        <v>Plan</v>
      </c>
      <c r="I8" s="515" t="str">
        <f>+Master!G260</f>
        <v>Odstupanje</v>
      </c>
      <c r="J8" s="515"/>
      <c r="K8" s="145" t="str">
        <f>+CONCATENATE(Master!G245," ",Master!B4-1)</f>
        <v>Jan - Mar 2020</v>
      </c>
      <c r="L8" s="515" t="str">
        <f>+I8</f>
        <v>Odstupanje</v>
      </c>
      <c r="M8" s="525"/>
      <c r="N8" s="146" t="str">
        <f>+G8</f>
        <v>Ostvarenje</v>
      </c>
      <c r="O8" s="145" t="str">
        <f>+H8</f>
        <v>Plan</v>
      </c>
      <c r="P8" s="515" t="str">
        <f>+I8</f>
        <v>Odstupanje</v>
      </c>
      <c r="Q8" s="515"/>
      <c r="R8" s="145" t="str">
        <f>+CONCATENATE(Master!G244," ",Master!B4-1)</f>
        <v>Mart 2020</v>
      </c>
      <c r="S8" s="515" t="str">
        <f>+P8</f>
        <v>Odstupanje</v>
      </c>
      <c r="T8" s="516"/>
    </row>
    <row r="9" spans="1:20" ht="15.75" thickBot="1">
      <c r="A9" s="144"/>
      <c r="B9" s="522"/>
      <c r="C9" s="523"/>
      <c r="D9" s="523"/>
      <c r="E9" s="523"/>
      <c r="F9" s="524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97" t="str">
        <f>+VLOOKUP($A10,Master!$D$29:$G$225,4,FALSE)</f>
        <v>Prihodi budžeta</v>
      </c>
      <c r="C10" s="498"/>
      <c r="D10" s="498"/>
      <c r="E10" s="498"/>
      <c r="F10" s="498"/>
      <c r="G10" s="151">
        <f>'2021'!S10</f>
        <v>348377186.71000004</v>
      </c>
      <c r="H10" s="151">
        <f>'2021'!S84</f>
        <v>332469039.9808085</v>
      </c>
      <c r="I10" s="152">
        <f>+G10-H10</f>
        <v>15908146.729191542</v>
      </c>
      <c r="J10" s="154">
        <f>IF(+IF(ISERROR(G10/H10),"…",G10/H10-1)&gt;200%,"...",IF(ISERROR(G10/H10),"…",G10/H10-1))</f>
        <v>4.7848505623590665E-2</v>
      </c>
      <c r="K10" s="151">
        <f>SUM('2020'!G10:I10)</f>
        <v>375367695.29999995</v>
      </c>
      <c r="L10" s="152">
        <f>+G10-K10</f>
        <v>-26990508.589999914</v>
      </c>
      <c r="M10" s="154">
        <f>IF(+IF(ISERROR(G10/K10),"…",G10/K10-1)&gt;200%,"...",IF(ISERROR(G10/K10),"…",G10/K10-1))</f>
        <v>-7.1904186023330152E-2</v>
      </c>
      <c r="N10" s="151">
        <f>'2021'!I10</f>
        <v>154129701.31</v>
      </c>
      <c r="O10" s="151">
        <f>'2021'!I84</f>
        <v>134980379.98407871</v>
      </c>
      <c r="P10" s="152">
        <f>+N10-O10</f>
        <v>19149321.325921297</v>
      </c>
      <c r="Q10" s="154">
        <f>IF(+IF(ISERROR(N10/O10),"…",N10/O10-1)&gt;200%,"...",IF(ISERROR(N10/O10),"…",N10/O10-1))</f>
        <v>0.1418674427215274</v>
      </c>
      <c r="R10" s="151">
        <f>'2020'!I10</f>
        <v>161192245.46000001</v>
      </c>
      <c r="S10" s="152">
        <f>+N10-R10</f>
        <v>-7062544.150000006</v>
      </c>
      <c r="T10" s="154">
        <f>IF(+IF(ISERROR(N10/R10),"…",N10/R10-1)&gt;200%,"...",IF(ISERROR(N10/R10),"…",N10/R10-1))</f>
        <v>-4.3814416319131078E-2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277">
        <f>'2021'!S11</f>
        <v>228312824.08000001</v>
      </c>
      <c r="H11" s="277">
        <f>'2021'!S85</f>
        <v>211623290.14455384</v>
      </c>
      <c r="I11" s="158">
        <f t="shared" ref="I11:I57" si="0">+G11-H11</f>
        <v>16689533.935446173</v>
      </c>
      <c r="J11" s="160">
        <f t="shared" ref="J11:J64" si="1">IF(+IF(ISERROR(G11/H11-1),"…",G11/H11-1)&gt;200%,"...",IF(ISERROR(G11/H11-1),"…",G11/H11-1))</f>
        <v>7.8864353370775131E-2</v>
      </c>
      <c r="K11" s="277">
        <f>SUM('2020'!G11:I11)</f>
        <v>248617029.26999998</v>
      </c>
      <c r="L11" s="158">
        <f>+G11-K11</f>
        <v>-20304205.189999968</v>
      </c>
      <c r="M11" s="160">
        <f t="shared" ref="M11:M64" si="2">IF(+IF(ISERROR(G11/K11),"…",G11/K11-1)&gt;200%,"...",IF(ISERROR(G11/K11),"…",G11/K11-1))</f>
        <v>-8.1668601903972737E-2</v>
      </c>
      <c r="N11" s="277">
        <f>'2021'!I11</f>
        <v>99466337.219999999</v>
      </c>
      <c r="O11" s="277">
        <f>'2021'!I85</f>
        <v>85560402.362817332</v>
      </c>
      <c r="P11" s="158">
        <f>+N11-O11</f>
        <v>13905934.857182667</v>
      </c>
      <c r="Q11" s="160">
        <f t="shared" ref="Q11:Q64" si="3">IF(+IF(ISERROR(N11/O11),"…",N11/O11-1)&gt;200%,"...",IF(ISERROR(N11/O11),"…",N11/O11-1))</f>
        <v>0.16252769357272068</v>
      </c>
      <c r="R11" s="277">
        <f>'2020'!I11</f>
        <v>105613736.66000001</v>
      </c>
      <c r="S11" s="158">
        <f t="shared" ref="S11:S57" si="4">+N11-R11</f>
        <v>-6147399.4400000125</v>
      </c>
      <c r="T11" s="160">
        <f t="shared" ref="T11:T64" si="5">IF(+IF(ISERROR(N11/R11),"…",N11/R11-1)&gt;200%,"...",IF(ISERROR(N11/R11),"…",N11/R11-1))</f>
        <v>-5.8206438238145086E-2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f>'2021'!S12</f>
        <v>22794265.77</v>
      </c>
      <c r="H12" s="163">
        <f>'2021'!S86</f>
        <v>22454948.641956083</v>
      </c>
      <c r="I12" s="164">
        <f t="shared" si="0"/>
        <v>339317.12804391608</v>
      </c>
      <c r="J12" s="166">
        <f t="shared" si="1"/>
        <v>1.511101777404722E-2</v>
      </c>
      <c r="K12" s="163">
        <f>SUM('2020'!G12:I12)</f>
        <v>23820985.240000002</v>
      </c>
      <c r="L12" s="164">
        <f>+G12-K12</f>
        <v>-1026719.4700000025</v>
      </c>
      <c r="M12" s="166">
        <f t="shared" si="2"/>
        <v>-4.3101469551139471E-2</v>
      </c>
      <c r="N12" s="163">
        <f>'2021'!I12</f>
        <v>10457309.710000001</v>
      </c>
      <c r="O12" s="163">
        <f>'2021'!I86</f>
        <v>8968045.92361046</v>
      </c>
      <c r="P12" s="164">
        <f t="shared" ref="P12:P57" si="6">+N12-O12</f>
        <v>1489263.7863895409</v>
      </c>
      <c r="Q12" s="166">
        <f t="shared" si="3"/>
        <v>0.16606335416600726</v>
      </c>
      <c r="R12" s="163">
        <f>'2020'!I12</f>
        <v>9988296.0800000001</v>
      </c>
      <c r="S12" s="164">
        <f t="shared" si="4"/>
        <v>469013.63000000082</v>
      </c>
      <c r="T12" s="166">
        <f t="shared" si="5"/>
        <v>4.695632030163055E-2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f>'2021'!S13</f>
        <v>30868426.009999998</v>
      </c>
      <c r="H13" s="163">
        <f>'2021'!S87</f>
        <v>18647009.191442244</v>
      </c>
      <c r="I13" s="164">
        <f t="shared" si="0"/>
        <v>12221416.818557754</v>
      </c>
      <c r="J13" s="166">
        <f t="shared" si="1"/>
        <v>0.65540895556412249</v>
      </c>
      <c r="K13" s="163">
        <f>SUM('2020'!G13:I13)</f>
        <v>24277400.609999999</v>
      </c>
      <c r="L13" s="164">
        <f t="shared" ref="L13:L57" si="7">+G13-K13</f>
        <v>6591025.3999999985</v>
      </c>
      <c r="M13" s="166">
        <f t="shared" si="2"/>
        <v>0.27148810146029878</v>
      </c>
      <c r="N13" s="163">
        <f>'2021'!I13</f>
        <v>28472275</v>
      </c>
      <c r="O13" s="163">
        <f>'2021'!I87</f>
        <v>16286919.813094042</v>
      </c>
      <c r="P13" s="164">
        <f t="shared" si="6"/>
        <v>12185355.186905958</v>
      </c>
      <c r="Q13" s="166">
        <f t="shared" si="3"/>
        <v>0.74816818199776569</v>
      </c>
      <c r="R13" s="163">
        <f>'2020'!I13</f>
        <v>21201257.989999998</v>
      </c>
      <c r="S13" s="164">
        <f t="shared" si="4"/>
        <v>7271017.0100000016</v>
      </c>
      <c r="T13" s="166">
        <f t="shared" si="5"/>
        <v>0.34295214998230406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f>'2021'!S14</f>
        <v>308911.34999999998</v>
      </c>
      <c r="H14" s="163">
        <f>'2021'!S88</f>
        <v>390079.22281064914</v>
      </c>
      <c r="I14" s="164">
        <f t="shared" si="0"/>
        <v>-81167.872810649162</v>
      </c>
      <c r="J14" s="166">
        <f t="shared" si="1"/>
        <v>-0.20808048228205522</v>
      </c>
      <c r="K14" s="163">
        <f>SUM('2020'!G14:I14)</f>
        <v>482272.25</v>
      </c>
      <c r="L14" s="164">
        <f t="shared" si="7"/>
        <v>-173360.90000000002</v>
      </c>
      <c r="M14" s="166">
        <f t="shared" si="2"/>
        <v>-0.35946687788899323</v>
      </c>
      <c r="N14" s="163">
        <f>'2021'!I14</f>
        <v>106253.15</v>
      </c>
      <c r="O14" s="163">
        <f>'2021'!I88</f>
        <v>131491.90722034202</v>
      </c>
      <c r="P14" s="164">
        <f t="shared" si="6"/>
        <v>-25238.757220342028</v>
      </c>
      <c r="Q14" s="166">
        <f t="shared" si="3"/>
        <v>-0.19194152517728136</v>
      </c>
      <c r="R14" s="163">
        <f>'2020'!I14</f>
        <v>129165.08</v>
      </c>
      <c r="S14" s="164">
        <f t="shared" si="4"/>
        <v>-22911.930000000008</v>
      </c>
      <c r="T14" s="166">
        <f t="shared" si="5"/>
        <v>-0.17738486284373456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f>'2021'!S15</f>
        <v>124572035.69</v>
      </c>
      <c r="H15" s="163">
        <f>'2021'!S89</f>
        <v>123198876.42972094</v>
      </c>
      <c r="I15" s="164">
        <f t="shared" si="0"/>
        <v>1373159.2602790594</v>
      </c>
      <c r="J15" s="166">
        <f t="shared" si="1"/>
        <v>1.1145874865688299E-2</v>
      </c>
      <c r="K15" s="163">
        <f>SUM('2020'!G15:I15)</f>
        <v>142842604.22999999</v>
      </c>
      <c r="L15" s="164">
        <f t="shared" si="7"/>
        <v>-18270568.539999992</v>
      </c>
      <c r="M15" s="166">
        <f t="shared" si="2"/>
        <v>-0.12790699692496077</v>
      </c>
      <c r="N15" s="163">
        <f>'2021'!I15</f>
        <v>44544288.810000002</v>
      </c>
      <c r="O15" s="163">
        <f>'2021'!I89</f>
        <v>44660112.929988585</v>
      </c>
      <c r="P15" s="164">
        <f t="shared" si="6"/>
        <v>-115824.11998858303</v>
      </c>
      <c r="Q15" s="166">
        <f t="shared" si="3"/>
        <v>-2.5934578394406493E-3</v>
      </c>
      <c r="R15" s="163">
        <f>'2020'!I15</f>
        <v>54963852.219999999</v>
      </c>
      <c r="S15" s="164">
        <f t="shared" si="4"/>
        <v>-10419563.409999996</v>
      </c>
      <c r="T15" s="166">
        <f t="shared" si="5"/>
        <v>-0.18957119978225567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f>'2021'!S16</f>
        <v>42325324.729999997</v>
      </c>
      <c r="H16" s="163">
        <f>'2021'!S90</f>
        <v>39472720.931465149</v>
      </c>
      <c r="I16" s="164">
        <f t="shared" si="0"/>
        <v>2852603.7985348478</v>
      </c>
      <c r="J16" s="166">
        <f t="shared" si="1"/>
        <v>7.2267726450570891E-2</v>
      </c>
      <c r="K16" s="163">
        <f>SUM('2020'!G16:I16)</f>
        <v>49013508.640000001</v>
      </c>
      <c r="L16" s="164">
        <f t="shared" si="7"/>
        <v>-6688183.9100000039</v>
      </c>
      <c r="M16" s="166">
        <f t="shared" si="2"/>
        <v>-0.13645593012171686</v>
      </c>
      <c r="N16" s="163">
        <f>'2021'!I16</f>
        <v>12802969.220000001</v>
      </c>
      <c r="O16" s="163">
        <f>'2021'!I90</f>
        <v>12459967.247236492</v>
      </c>
      <c r="P16" s="164">
        <f t="shared" si="6"/>
        <v>343001.97276350856</v>
      </c>
      <c r="Q16" s="166">
        <f t="shared" si="3"/>
        <v>2.7528320577213661E-2</v>
      </c>
      <c r="R16" s="163">
        <f>'2020'!I16</f>
        <v>16111610.99</v>
      </c>
      <c r="S16" s="164">
        <f t="shared" si="4"/>
        <v>-3308641.7699999996</v>
      </c>
      <c r="T16" s="166">
        <f t="shared" si="5"/>
        <v>-0.205357600307851</v>
      </c>
    </row>
    <row r="17" spans="1:20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f>'2021'!S17</f>
        <v>5055156.43</v>
      </c>
      <c r="H17" s="163">
        <f>'2021'!S91</f>
        <v>5131736.0986488108</v>
      </c>
      <c r="I17" s="164">
        <f t="shared" si="0"/>
        <v>-76579.668648811057</v>
      </c>
      <c r="J17" s="166">
        <f t="shared" si="1"/>
        <v>-1.4922760480410191E-2</v>
      </c>
      <c r="K17" s="163">
        <f>SUM('2020'!G17:I17)</f>
        <v>5823715.0499999998</v>
      </c>
      <c r="L17" s="164">
        <f t="shared" si="7"/>
        <v>-768558.62000000011</v>
      </c>
      <c r="M17" s="166">
        <f t="shared" si="2"/>
        <v>-0.13197050566545154</v>
      </c>
      <c r="N17" s="163">
        <f>'2021'!I17</f>
        <v>2245463.5699999998</v>
      </c>
      <c r="O17" s="163">
        <f>'2021'!I91</f>
        <v>2247907.0128576038</v>
      </c>
      <c r="P17" s="164">
        <f t="shared" si="6"/>
        <v>-2443.4428576040082</v>
      </c>
      <c r="Q17" s="166">
        <f t="shared" si="3"/>
        <v>-1.0869857354542933E-3</v>
      </c>
      <c r="R17" s="163">
        <f>'2020'!I17</f>
        <v>2363697.87</v>
      </c>
      <c r="S17" s="164">
        <f t="shared" si="4"/>
        <v>-118234.30000000028</v>
      </c>
      <c r="T17" s="166">
        <f t="shared" si="5"/>
        <v>-5.0020902206084572E-2</v>
      </c>
    </row>
    <row r="18" spans="1:20">
      <c r="A18" s="150">
        <v>7118</v>
      </c>
      <c r="B18" s="489" t="str">
        <f>+VLOOKUP($A18,Master!$D$29:$G$225,4,FALSE)</f>
        <v>Ostali državni porezi</v>
      </c>
      <c r="C18" s="490"/>
      <c r="D18" s="490"/>
      <c r="E18" s="490"/>
      <c r="F18" s="490"/>
      <c r="G18" s="163">
        <f>'2021'!S18</f>
        <v>2388704.1</v>
      </c>
      <c r="H18" s="163">
        <f>'2021'!S92</f>
        <v>2327919.6285099816</v>
      </c>
      <c r="I18" s="164">
        <f t="shared" si="0"/>
        <v>60784.471490018535</v>
      </c>
      <c r="J18" s="166">
        <f t="shared" si="1"/>
        <v>2.6111069620098792E-2</v>
      </c>
      <c r="K18" s="163">
        <f>SUM('2020'!G18:I18)</f>
        <v>2356543.25</v>
      </c>
      <c r="L18" s="164">
        <f t="shared" si="7"/>
        <v>32160.850000000093</v>
      </c>
      <c r="M18" s="166">
        <f t="shared" si="2"/>
        <v>1.3647468596216239E-2</v>
      </c>
      <c r="N18" s="163">
        <f>'2021'!I18</f>
        <v>837777.76</v>
      </c>
      <c r="O18" s="163">
        <f>'2021'!I92</f>
        <v>805957.52880981751</v>
      </c>
      <c r="P18" s="164">
        <f t="shared" si="6"/>
        <v>31820.231190182501</v>
      </c>
      <c r="Q18" s="166">
        <f t="shared" si="3"/>
        <v>3.948127544285418E-2</v>
      </c>
      <c r="R18" s="163">
        <f>'2020'!I18</f>
        <v>855856.43</v>
      </c>
      <c r="S18" s="164">
        <f t="shared" si="4"/>
        <v>-18078.670000000042</v>
      </c>
      <c r="T18" s="166">
        <f t="shared" si="5"/>
        <v>-2.1123484461056163E-2</v>
      </c>
    </row>
    <row r="19" spans="1:20">
      <c r="A19" s="150">
        <v>712</v>
      </c>
      <c r="B19" s="491" t="str">
        <f>+VLOOKUP($A19,Master!$D$29:$G$225,4,FALSE)</f>
        <v>Doprinosi</v>
      </c>
      <c r="C19" s="492"/>
      <c r="D19" s="492"/>
      <c r="E19" s="492"/>
      <c r="F19" s="492"/>
      <c r="G19" s="169">
        <f>'2021'!S19</f>
        <v>100648998.08</v>
      </c>
      <c r="H19" s="169">
        <f>'2021'!S93</f>
        <v>98217938.653918147</v>
      </c>
      <c r="I19" s="170">
        <f t="shared" si="0"/>
        <v>2431059.4260818511</v>
      </c>
      <c r="J19" s="172">
        <f t="shared" si="1"/>
        <v>2.4751684462122059E-2</v>
      </c>
      <c r="K19" s="169">
        <f>SUM('2020'!G19:I19)</f>
        <v>103212812.68000001</v>
      </c>
      <c r="L19" s="170">
        <f t="shared" si="7"/>
        <v>-2563814.6000000089</v>
      </c>
      <c r="M19" s="172">
        <f t="shared" si="2"/>
        <v>-2.4840080736379444E-2</v>
      </c>
      <c r="N19" s="169">
        <f>'2021'!I19</f>
        <v>47599893.060000002</v>
      </c>
      <c r="O19" s="169">
        <f>'2021'!I93</f>
        <v>40535464.795886271</v>
      </c>
      <c r="P19" s="170">
        <f t="shared" si="6"/>
        <v>7064428.2641137317</v>
      </c>
      <c r="Q19" s="172">
        <f t="shared" si="3"/>
        <v>0.17427771704817507</v>
      </c>
      <c r="R19" s="169">
        <f>'2020'!I19</f>
        <v>44888756.57</v>
      </c>
      <c r="S19" s="170">
        <f t="shared" si="4"/>
        <v>2711136.4900000021</v>
      </c>
      <c r="T19" s="172">
        <f t="shared" si="5"/>
        <v>6.0396783006725352E-2</v>
      </c>
    </row>
    <row r="20" spans="1:20">
      <c r="A20" s="150">
        <v>7121</v>
      </c>
      <c r="B20" s="489" t="str">
        <f>+VLOOKUP($A20,Master!$D$29:$G$225,4,FALSE)</f>
        <v>Doprinosi za penzijsko i invalidsko osiguranje</v>
      </c>
      <c r="C20" s="490"/>
      <c r="D20" s="490"/>
      <c r="E20" s="490"/>
      <c r="F20" s="490"/>
      <c r="G20" s="163">
        <f>'2021'!S20</f>
        <v>62607649.640000001</v>
      </c>
      <c r="H20" s="163">
        <f>'2021'!S94</f>
        <v>59501127.719372749</v>
      </c>
      <c r="I20" s="164">
        <f t="shared" si="0"/>
        <v>3106521.9206272513</v>
      </c>
      <c r="J20" s="166">
        <f t="shared" si="1"/>
        <v>5.2209462907638393E-2</v>
      </c>
      <c r="K20" s="163">
        <f>SUM('2020'!G20:I20)</f>
        <v>64886914.579999998</v>
      </c>
      <c r="L20" s="164">
        <f t="shared" si="7"/>
        <v>-2279264.9399999976</v>
      </c>
      <c r="M20" s="166">
        <f t="shared" si="2"/>
        <v>-3.5126727087475551E-2</v>
      </c>
      <c r="N20" s="163">
        <f>'2021'!I20</f>
        <v>29662575.77</v>
      </c>
      <c r="O20" s="163">
        <f>'2021'!I94</f>
        <v>24453003.983654883</v>
      </c>
      <c r="P20" s="164">
        <f t="shared" si="6"/>
        <v>5209571.7863451168</v>
      </c>
      <c r="Q20" s="166">
        <f t="shared" si="3"/>
        <v>0.213044245599737</v>
      </c>
      <c r="R20" s="163">
        <f>'2020'!I20</f>
        <v>28314388.120000001</v>
      </c>
      <c r="S20" s="164">
        <f t="shared" si="4"/>
        <v>1348187.6499999985</v>
      </c>
      <c r="T20" s="166">
        <f t="shared" si="5"/>
        <v>4.7614931471808841E-2</v>
      </c>
    </row>
    <row r="21" spans="1:20">
      <c r="A21" s="150">
        <v>7122</v>
      </c>
      <c r="B21" s="489" t="str">
        <f>+VLOOKUP($A21,Master!$D$29:$G$225,4,FALSE)</f>
        <v>Doprinosi za zdravstveno osiguranje</v>
      </c>
      <c r="C21" s="490"/>
      <c r="D21" s="490"/>
      <c r="E21" s="490"/>
      <c r="F21" s="490"/>
      <c r="G21" s="163">
        <f>'2021'!S21</f>
        <v>32563618.57</v>
      </c>
      <c r="H21" s="163">
        <f>'2021'!S95</f>
        <v>33124139.453249708</v>
      </c>
      <c r="I21" s="164">
        <f t="shared" si="0"/>
        <v>-560520.88324970752</v>
      </c>
      <c r="J21" s="166">
        <f t="shared" si="1"/>
        <v>-1.6921824762898607E-2</v>
      </c>
      <c r="K21" s="163">
        <f>SUM('2020'!G21:I21)</f>
        <v>32701377.650000002</v>
      </c>
      <c r="L21" s="164">
        <f t="shared" si="7"/>
        <v>-137759.08000000194</v>
      </c>
      <c r="M21" s="166">
        <f t="shared" si="2"/>
        <v>-4.212638423812809E-3</v>
      </c>
      <c r="N21" s="163">
        <f>'2021'!I21</f>
        <v>15296477.220000001</v>
      </c>
      <c r="O21" s="163">
        <f>'2021'!I95</f>
        <v>13648803.874599406</v>
      </c>
      <c r="P21" s="164">
        <f t="shared" si="6"/>
        <v>1647673.3454005942</v>
      </c>
      <c r="Q21" s="166">
        <f t="shared" si="3"/>
        <v>0.12071924840732273</v>
      </c>
      <c r="R21" s="163">
        <f>'2020'!I21</f>
        <v>14020072.800000001</v>
      </c>
      <c r="S21" s="164">
        <f t="shared" si="4"/>
        <v>1276404.42</v>
      </c>
      <c r="T21" s="166">
        <f t="shared" si="5"/>
        <v>9.1041211997130222E-2</v>
      </c>
    </row>
    <row r="22" spans="1:20">
      <c r="A22" s="150">
        <v>7123</v>
      </c>
      <c r="B22" s="489" t="str">
        <f>+VLOOKUP($A22,Master!$D$29:$G$225,4,FALSE)</f>
        <v>Doprinosi za osiguranje od nezaposlenosti</v>
      </c>
      <c r="C22" s="490"/>
      <c r="D22" s="490"/>
      <c r="E22" s="490"/>
      <c r="F22" s="490"/>
      <c r="G22" s="163">
        <f>'2021'!S22</f>
        <v>3031537.26</v>
      </c>
      <c r="H22" s="163">
        <f>'2021'!S96</f>
        <v>2955269.109705579</v>
      </c>
      <c r="I22" s="164">
        <f t="shared" si="0"/>
        <v>76268.150294420775</v>
      </c>
      <c r="J22" s="166">
        <f t="shared" si="1"/>
        <v>2.5807514464230685E-2</v>
      </c>
      <c r="K22" s="163">
        <f>SUM('2020'!G22:I22)</f>
        <v>3118159.7300000004</v>
      </c>
      <c r="L22" s="164">
        <f t="shared" si="7"/>
        <v>-86622.470000000671</v>
      </c>
      <c r="M22" s="166">
        <f t="shared" si="2"/>
        <v>-2.7779997659068134E-2</v>
      </c>
      <c r="N22" s="163">
        <f>'2021'!I22</f>
        <v>1459515.26</v>
      </c>
      <c r="O22" s="163">
        <f>'2021'!I96</f>
        <v>1217903.5532918288</v>
      </c>
      <c r="P22" s="164">
        <f t="shared" si="6"/>
        <v>241611.70670817117</v>
      </c>
      <c r="Q22" s="166">
        <f t="shared" si="3"/>
        <v>0.19838328417314099</v>
      </c>
      <c r="R22" s="163">
        <f>'2020'!I22</f>
        <v>1425690.07</v>
      </c>
      <c r="S22" s="164">
        <f t="shared" si="4"/>
        <v>33825.189999999944</v>
      </c>
      <c r="T22" s="166">
        <f t="shared" si="5"/>
        <v>2.3725486143001628E-2</v>
      </c>
    </row>
    <row r="23" spans="1:20">
      <c r="A23" s="150">
        <v>7124</v>
      </c>
      <c r="B23" s="489" t="str">
        <f>+VLOOKUP($A23,Master!$D$29:$G$225,4,FALSE)</f>
        <v>Ostali doprinosi</v>
      </c>
      <c r="C23" s="490"/>
      <c r="D23" s="490"/>
      <c r="E23" s="490"/>
      <c r="F23" s="490"/>
      <c r="G23" s="163">
        <f>'2021'!S23</f>
        <v>2446192.6100000003</v>
      </c>
      <c r="H23" s="163">
        <f>'2021'!S97</f>
        <v>2637402.3715901161</v>
      </c>
      <c r="I23" s="164">
        <f t="shared" si="0"/>
        <v>-191209.76159011573</v>
      </c>
      <c r="J23" s="166">
        <f t="shared" si="1"/>
        <v>-7.2499275669807406E-2</v>
      </c>
      <c r="K23" s="163">
        <f>SUM('2020'!G23:I23)</f>
        <v>2506360.7200000002</v>
      </c>
      <c r="L23" s="164">
        <f t="shared" si="7"/>
        <v>-60168.10999999987</v>
      </c>
      <c r="M23" s="166">
        <f t="shared" si="2"/>
        <v>-2.4006165401443069E-2</v>
      </c>
      <c r="N23" s="163">
        <f>'2021'!I23</f>
        <v>1181324.81</v>
      </c>
      <c r="O23" s="163">
        <f>'2021'!I97</f>
        <v>1215753.3843401535</v>
      </c>
      <c r="P23" s="164">
        <f t="shared" si="6"/>
        <v>-34428.574340153486</v>
      </c>
      <c r="Q23" s="166">
        <f t="shared" si="3"/>
        <v>-2.8318715607638989E-2</v>
      </c>
      <c r="R23" s="163">
        <f>'2020'!I23</f>
        <v>1128605.58</v>
      </c>
      <c r="S23" s="164">
        <f t="shared" si="4"/>
        <v>52719.229999999981</v>
      </c>
      <c r="T23" s="166">
        <f t="shared" si="5"/>
        <v>4.6711828236752018E-2</v>
      </c>
    </row>
    <row r="24" spans="1:20">
      <c r="A24" s="150">
        <v>713</v>
      </c>
      <c r="B24" s="491" t="str">
        <f>+VLOOKUP($A24,Master!$D$29:$G$225,4,FALSE)</f>
        <v>Takse</v>
      </c>
      <c r="C24" s="492"/>
      <c r="D24" s="492"/>
      <c r="E24" s="492"/>
      <c r="F24" s="492"/>
      <c r="G24" s="175">
        <f>'2021'!S24</f>
        <v>2113532.1500000004</v>
      </c>
      <c r="H24" s="175">
        <f>'2021'!S98</f>
        <v>2542476.6396894716</v>
      </c>
      <c r="I24" s="176">
        <f t="shared" si="0"/>
        <v>-428944.4896894712</v>
      </c>
      <c r="J24" s="178">
        <f t="shared" si="1"/>
        <v>-0.16871128056533913</v>
      </c>
      <c r="K24" s="175">
        <f>SUM('2020'!G24:I24)</f>
        <v>2372974.62</v>
      </c>
      <c r="L24" s="176">
        <f t="shared" si="7"/>
        <v>-259442.46999999974</v>
      </c>
      <c r="M24" s="178">
        <f t="shared" si="2"/>
        <v>-0.10933217229268122</v>
      </c>
      <c r="N24" s="175">
        <f>'2021'!I24</f>
        <v>824101.26</v>
      </c>
      <c r="O24" s="175">
        <f>'2021'!I98</f>
        <v>914093.21960377065</v>
      </c>
      <c r="P24" s="176">
        <f t="shared" si="6"/>
        <v>-89991.959603770636</v>
      </c>
      <c r="Q24" s="178">
        <f t="shared" si="3"/>
        <v>-9.8449433464542269E-2</v>
      </c>
      <c r="R24" s="175">
        <f>'2020'!I24</f>
        <v>815406.19</v>
      </c>
      <c r="S24" s="176">
        <f t="shared" si="4"/>
        <v>8695.0700000000652</v>
      </c>
      <c r="T24" s="178">
        <f t="shared" si="5"/>
        <v>1.0663482944616831E-2</v>
      </c>
    </row>
    <row r="25" spans="1:20">
      <c r="A25" s="150">
        <v>714</v>
      </c>
      <c r="B25" s="491" t="str">
        <f>+VLOOKUP($A25,Master!$D$29:$G$225,4,FALSE)</f>
        <v>Naknade</v>
      </c>
      <c r="C25" s="492"/>
      <c r="D25" s="492"/>
      <c r="E25" s="492"/>
      <c r="F25" s="492"/>
      <c r="G25" s="175">
        <f>'2021'!S25</f>
        <v>7646319.7000000002</v>
      </c>
      <c r="H25" s="175">
        <f>'2021'!S99</f>
        <v>6201065.0991944345</v>
      </c>
      <c r="I25" s="176">
        <f t="shared" si="0"/>
        <v>1445254.6008055657</v>
      </c>
      <c r="J25" s="178">
        <f t="shared" si="1"/>
        <v>0.23306554240066202</v>
      </c>
      <c r="K25" s="175">
        <f>SUM('2020'!G25:I25)</f>
        <v>5745309.6299999999</v>
      </c>
      <c r="L25" s="176">
        <f t="shared" si="7"/>
        <v>1901010.0700000003</v>
      </c>
      <c r="M25" s="178">
        <f t="shared" si="2"/>
        <v>0.33088035152598039</v>
      </c>
      <c r="N25" s="175">
        <f>'2021'!I25</f>
        <v>2388170.21</v>
      </c>
      <c r="O25" s="175">
        <f>'2021'!I99</f>
        <v>2645570.0065749455</v>
      </c>
      <c r="P25" s="176">
        <f t="shared" si="6"/>
        <v>-257399.79657494556</v>
      </c>
      <c r="Q25" s="178">
        <f t="shared" si="3"/>
        <v>-9.7294645741839547E-2</v>
      </c>
      <c r="R25" s="175">
        <f>'2020'!I25</f>
        <v>1317967.9100000001</v>
      </c>
      <c r="S25" s="176">
        <f t="shared" si="4"/>
        <v>1070202.2999999998</v>
      </c>
      <c r="T25" s="178">
        <f t="shared" si="5"/>
        <v>0.81200937585802047</v>
      </c>
    </row>
    <row r="26" spans="1:20">
      <c r="A26" s="150">
        <v>715</v>
      </c>
      <c r="B26" s="491" t="str">
        <f>+VLOOKUP($A26,Master!$D$29:$G$225,4,FALSE)</f>
        <v>Ostali prihodi</v>
      </c>
      <c r="C26" s="492"/>
      <c r="D26" s="492"/>
      <c r="E26" s="492"/>
      <c r="F26" s="492"/>
      <c r="G26" s="175">
        <f>'2021'!S26</f>
        <v>5013849.04</v>
      </c>
      <c r="H26" s="175">
        <f>'2021'!S100</f>
        <v>5549015.7262957878</v>
      </c>
      <c r="I26" s="176">
        <f t="shared" si="0"/>
        <v>-535166.6862957878</v>
      </c>
      <c r="J26" s="178">
        <f t="shared" si="1"/>
        <v>-9.6443533897323297E-2</v>
      </c>
      <c r="K26" s="175">
        <f>SUM('2020'!G26:I26)</f>
        <v>7827957.5099999998</v>
      </c>
      <c r="L26" s="176">
        <f t="shared" si="7"/>
        <v>-2814108.4699999997</v>
      </c>
      <c r="M26" s="178">
        <f t="shared" si="2"/>
        <v>-0.35949460205999506</v>
      </c>
      <c r="N26" s="175">
        <f>'2021'!I26</f>
        <v>1696316.84</v>
      </c>
      <c r="O26" s="175">
        <f>'2021'!I100</f>
        <v>2619748.7371156653</v>
      </c>
      <c r="P26" s="176">
        <f t="shared" si="6"/>
        <v>-923431.89711566526</v>
      </c>
      <c r="Q26" s="178">
        <f t="shared" si="3"/>
        <v>-0.3524887268892668</v>
      </c>
      <c r="R26" s="175">
        <f>'2020'!I26</f>
        <v>4244020.3499999996</v>
      </c>
      <c r="S26" s="176">
        <f t="shared" si="4"/>
        <v>-2547703.5099999998</v>
      </c>
      <c r="T26" s="178">
        <f t="shared" si="5"/>
        <v>-0.60030426338554199</v>
      </c>
    </row>
    <row r="27" spans="1:20">
      <c r="A27" s="150">
        <v>73</v>
      </c>
      <c r="B27" s="491" t="str">
        <f>+VLOOKUP($A27,Master!$D$29:$G$225,4,FALSE)</f>
        <v>Primici od otplate kredita i sredstva prenesena iz prethodne godine</v>
      </c>
      <c r="C27" s="492"/>
      <c r="D27" s="492"/>
      <c r="E27" s="492"/>
      <c r="F27" s="492"/>
      <c r="G27" s="175">
        <f>'2021'!S27</f>
        <v>1580205.76</v>
      </c>
      <c r="H27" s="175">
        <f>'2021'!S101</f>
        <v>700908.14477311913</v>
      </c>
      <c r="I27" s="176">
        <f t="shared" si="0"/>
        <v>879297.61522688088</v>
      </c>
      <c r="J27" s="178">
        <f t="shared" si="1"/>
        <v>1.2545119097046671</v>
      </c>
      <c r="K27" s="175">
        <f>SUM('2020'!G27:I27)</f>
        <v>1689108.29</v>
      </c>
      <c r="L27" s="176">
        <f t="shared" si="7"/>
        <v>-108902.53000000003</v>
      </c>
      <c r="M27" s="178">
        <f t="shared" si="2"/>
        <v>-6.4473385540011807E-2</v>
      </c>
      <c r="N27" s="175">
        <f>'2021'!I27</f>
        <v>648742.61</v>
      </c>
      <c r="O27" s="175">
        <f>'2021'!I101</f>
        <v>255800.10767818309</v>
      </c>
      <c r="P27" s="176">
        <f t="shared" si="6"/>
        <v>392942.50232181686</v>
      </c>
      <c r="Q27" s="178">
        <f t="shared" si="3"/>
        <v>1.5361311059969132</v>
      </c>
      <c r="R27" s="175">
        <f>'2020'!I27</f>
        <v>794561.22</v>
      </c>
      <c r="S27" s="176">
        <f t="shared" si="4"/>
        <v>-145818.60999999999</v>
      </c>
      <c r="T27" s="178">
        <f t="shared" si="5"/>
        <v>-0.18352092492004579</v>
      </c>
    </row>
    <row r="28" spans="1:20" ht="15.75" thickBot="1">
      <c r="A28" s="150">
        <v>74</v>
      </c>
      <c r="B28" s="495" t="str">
        <f>+VLOOKUP($A28,Master!$D$29:$G$225,4,FALSE)</f>
        <v>Donacije i transferi</v>
      </c>
      <c r="C28" s="496"/>
      <c r="D28" s="496"/>
      <c r="E28" s="496"/>
      <c r="F28" s="496"/>
      <c r="G28" s="175">
        <f>'2021'!S28</f>
        <v>3061457.9000000004</v>
      </c>
      <c r="H28" s="175">
        <f>'2021'!S102</f>
        <v>7634345.5723836739</v>
      </c>
      <c r="I28" s="176">
        <f t="shared" si="0"/>
        <v>-4572887.6723836735</v>
      </c>
      <c r="J28" s="178">
        <f t="shared" si="1"/>
        <v>-0.59898882347238036</v>
      </c>
      <c r="K28" s="175">
        <f>SUM('2020'!G28:I28)</f>
        <v>5902503.3000000007</v>
      </c>
      <c r="L28" s="176">
        <f t="shared" si="7"/>
        <v>-2841045.4000000004</v>
      </c>
      <c r="M28" s="178">
        <f t="shared" si="2"/>
        <v>-0.48132889650396304</v>
      </c>
      <c r="N28" s="175">
        <f>'2021'!I28</f>
        <v>1506140.11</v>
      </c>
      <c r="O28" s="175">
        <f>'2021'!I102</f>
        <v>2449300.7544025322</v>
      </c>
      <c r="P28" s="176">
        <f t="shared" si="6"/>
        <v>-943160.64440253214</v>
      </c>
      <c r="Q28" s="178">
        <f t="shared" si="3"/>
        <v>-0.38507343073619438</v>
      </c>
      <c r="R28" s="175">
        <f>'2020'!I28</f>
        <v>3517796.56</v>
      </c>
      <c r="S28" s="176">
        <f t="shared" si="4"/>
        <v>-2011656.45</v>
      </c>
      <c r="T28" s="178">
        <f t="shared" si="5"/>
        <v>-0.57185127556097215</v>
      </c>
    </row>
    <row r="29" spans="1:20" ht="15.75" thickBot="1">
      <c r="A29" s="150">
        <v>4</v>
      </c>
      <c r="B29" s="497" t="str">
        <f>+VLOOKUP($A29,Master!$D$29:$G$225,4,FALSE)</f>
        <v>Izdaci budžeta</v>
      </c>
      <c r="C29" s="498"/>
      <c r="D29" s="498"/>
      <c r="E29" s="498"/>
      <c r="F29" s="498"/>
      <c r="G29" s="151">
        <f>'2021'!S29</f>
        <v>451857635.99000001</v>
      </c>
      <c r="H29" s="151">
        <f>'2021'!S103</f>
        <v>529387500.13429999</v>
      </c>
      <c r="I29" s="152">
        <f t="shared" si="0"/>
        <v>-77529864.144299984</v>
      </c>
      <c r="J29" s="154">
        <f t="shared" si="1"/>
        <v>-0.14645201128593233</v>
      </c>
      <c r="K29" s="151">
        <f>SUM('2020'!G29:I29)</f>
        <v>452564704.41200006</v>
      </c>
      <c r="L29" s="152">
        <f t="shared" si="7"/>
        <v>-707068.42200005054</v>
      </c>
      <c r="M29" s="154">
        <f t="shared" si="2"/>
        <v>-1.5623587414284046E-3</v>
      </c>
      <c r="N29" s="151">
        <f>'2021'!I29</f>
        <v>164554451.06999999</v>
      </c>
      <c r="O29" s="151">
        <f>'2021'!I103</f>
        <v>170392955.61309999</v>
      </c>
      <c r="P29" s="152">
        <f t="shared" si="6"/>
        <v>-5838504.5430999994</v>
      </c>
      <c r="Q29" s="154">
        <f t="shared" si="3"/>
        <v>-3.4264940836856606E-2</v>
      </c>
      <c r="R29" s="151">
        <f>'2020'!I29</f>
        <v>178224167.55400002</v>
      </c>
      <c r="S29" s="152">
        <f t="shared" si="4"/>
        <v>-13669716.484000027</v>
      </c>
      <c r="T29" s="154">
        <f t="shared" si="5"/>
        <v>-7.6699567020607651E-2</v>
      </c>
    </row>
    <row r="30" spans="1:20">
      <c r="A30" s="150">
        <v>41</v>
      </c>
      <c r="B30" s="501" t="str">
        <f>+VLOOKUP($A30,Master!$D$29:$G$225,4,FALSE)</f>
        <v>Tekući izdaci</v>
      </c>
      <c r="C30" s="502"/>
      <c r="D30" s="502"/>
      <c r="E30" s="502"/>
      <c r="F30" s="502"/>
      <c r="G30" s="313">
        <f>'2021'!S30</f>
        <v>189123613.19999999</v>
      </c>
      <c r="H30" s="313">
        <f>'2021'!S104</f>
        <v>217704230.01680002</v>
      </c>
      <c r="I30" s="188">
        <f t="shared" si="0"/>
        <v>-28580616.816800028</v>
      </c>
      <c r="J30" s="190">
        <f t="shared" si="1"/>
        <v>-0.13128186261973174</v>
      </c>
      <c r="K30" s="313">
        <f>SUM('2020'!G30:I30)</f>
        <v>201137639</v>
      </c>
      <c r="L30" s="188">
        <f t="shared" si="7"/>
        <v>-12014025.800000012</v>
      </c>
      <c r="M30" s="190">
        <f t="shared" si="2"/>
        <v>-5.9730371002316485E-2</v>
      </c>
      <c r="N30" s="313">
        <f>'2021'!I30</f>
        <v>74943871.519999996</v>
      </c>
      <c r="O30" s="313">
        <f>'2021'!I104</f>
        <v>75820330.003300011</v>
      </c>
      <c r="P30" s="188">
        <f t="shared" si="6"/>
        <v>-876458.48330001533</v>
      </c>
      <c r="Q30" s="190">
        <f t="shared" si="3"/>
        <v>-1.1559676451709855E-2</v>
      </c>
      <c r="R30" s="313">
        <f>'2020'!I30</f>
        <v>85183668.729999989</v>
      </c>
      <c r="S30" s="188">
        <f t="shared" si="4"/>
        <v>-10239797.209999993</v>
      </c>
      <c r="T30" s="190">
        <f t="shared" si="5"/>
        <v>-0.12020845500862709</v>
      </c>
    </row>
    <row r="31" spans="1:20">
      <c r="A31" s="150">
        <v>411</v>
      </c>
      <c r="B31" s="489" t="str">
        <f>+VLOOKUP($A31,Master!$D$29:$G$225,4,FALSE)</f>
        <v>Bruto zarade i doprinosi na teret poslodavca</v>
      </c>
      <c r="C31" s="490"/>
      <c r="D31" s="490"/>
      <c r="E31" s="490"/>
      <c r="F31" s="490"/>
      <c r="G31" s="163">
        <f>'2021'!S31</f>
        <v>134577362.41999999</v>
      </c>
      <c r="H31" s="163">
        <f>'2021'!S105</f>
        <v>133823463.34920001</v>
      </c>
      <c r="I31" s="164">
        <f t="shared" si="0"/>
        <v>753899.07079997659</v>
      </c>
      <c r="J31" s="166">
        <f t="shared" si="1"/>
        <v>5.6335342990843085E-3</v>
      </c>
      <c r="K31" s="163">
        <f>SUM('2020'!G31:I31)</f>
        <v>123692094.63000001</v>
      </c>
      <c r="L31" s="164">
        <f t="shared" si="7"/>
        <v>10885267.789999977</v>
      </c>
      <c r="M31" s="166">
        <f t="shared" si="2"/>
        <v>8.800293844615581E-2</v>
      </c>
      <c r="N31" s="163">
        <f>'2021'!I31</f>
        <v>44665337.729999997</v>
      </c>
      <c r="O31" s="163">
        <f>'2021'!I105</f>
        <v>45494745.655000009</v>
      </c>
      <c r="P31" s="164">
        <f>+N31-O31</f>
        <v>-829407.92500001192</v>
      </c>
      <c r="Q31" s="166">
        <f>IF(+IF(ISERROR(N31/O31),"…",N31/O31-1)&gt;200%,"...",IF(ISERROR(N31/O31),"…",N31/O31-1))</f>
        <v>-1.8230850905061824E-2</v>
      </c>
      <c r="R31" s="163">
        <f>'2020'!I31</f>
        <v>41444412.079999998</v>
      </c>
      <c r="S31" s="164">
        <f t="shared" si="4"/>
        <v>3220925.6499999985</v>
      </c>
      <c r="T31" s="166">
        <f t="shared" si="5"/>
        <v>7.77167653816071E-2</v>
      </c>
    </row>
    <row r="32" spans="1:20">
      <c r="A32" s="150">
        <v>412</v>
      </c>
      <c r="B32" s="489" t="str">
        <f>+VLOOKUP($A32,Master!$D$29:$G$225,4,FALSE)</f>
        <v>Ostala lična primanja</v>
      </c>
      <c r="C32" s="490"/>
      <c r="D32" s="490"/>
      <c r="E32" s="490"/>
      <c r="F32" s="490"/>
      <c r="G32" s="163">
        <f>'2021'!S32</f>
        <v>1862653.66</v>
      </c>
      <c r="H32" s="163">
        <f>'2021'!S106</f>
        <v>3097937.490199999</v>
      </c>
      <c r="I32" s="164">
        <f t="shared" si="0"/>
        <v>-1235283.830199999</v>
      </c>
      <c r="J32" s="166">
        <f t="shared" si="1"/>
        <v>-0.39874394951728054</v>
      </c>
      <c r="K32" s="163">
        <f>SUM('2020'!G32:I32)</f>
        <v>2667645.4</v>
      </c>
      <c r="L32" s="164">
        <f t="shared" si="7"/>
        <v>-804991.74</v>
      </c>
      <c r="M32" s="166">
        <f t="shared" si="2"/>
        <v>-0.30176114861442982</v>
      </c>
      <c r="N32" s="163">
        <f>'2021'!I32</f>
        <v>864572.5</v>
      </c>
      <c r="O32" s="163">
        <f>'2021'!I106</f>
        <v>793227.80320000008</v>
      </c>
      <c r="P32" s="164">
        <f t="shared" si="6"/>
        <v>71344.696799999918</v>
      </c>
      <c r="Q32" s="166">
        <f t="shared" si="3"/>
        <v>8.994225430851599E-2</v>
      </c>
      <c r="R32" s="163">
        <f>'2020'!I32</f>
        <v>1108872.33</v>
      </c>
      <c r="S32" s="164">
        <f t="shared" si="4"/>
        <v>-244299.83000000007</v>
      </c>
      <c r="T32" s="166">
        <f t="shared" si="5"/>
        <v>-0.22031375785163654</v>
      </c>
    </row>
    <row r="33" spans="1:20">
      <c r="A33" s="150">
        <v>413</v>
      </c>
      <c r="B33" s="489" t="str">
        <f>+VLOOKUP($A33,Master!$D$29:$G$225,4,FALSE)</f>
        <v>Rashodi za materijal</v>
      </c>
      <c r="C33" s="490"/>
      <c r="D33" s="490"/>
      <c r="E33" s="490"/>
      <c r="F33" s="490"/>
      <c r="G33" s="163">
        <f>'2021'!S33</f>
        <v>5105302.79</v>
      </c>
      <c r="H33" s="163">
        <f>'2021'!S107</f>
        <v>8469578.4018999971</v>
      </c>
      <c r="I33" s="164">
        <f t="shared" si="0"/>
        <v>-3364275.6118999971</v>
      </c>
      <c r="J33" s="166">
        <f t="shared" si="1"/>
        <v>-0.39721878141482014</v>
      </c>
      <c r="K33" s="163">
        <f>SUM('2020'!G33:I33)</f>
        <v>7532475.0999999996</v>
      </c>
      <c r="L33" s="164">
        <f t="shared" si="7"/>
        <v>-2427172.3099999996</v>
      </c>
      <c r="M33" s="166">
        <f t="shared" si="2"/>
        <v>-0.32222772432397417</v>
      </c>
      <c r="N33" s="163">
        <f>'2021'!I33</f>
        <v>2846615.59</v>
      </c>
      <c r="O33" s="163">
        <f>'2021'!I107</f>
        <v>3328883.5447999993</v>
      </c>
      <c r="P33" s="164">
        <f t="shared" si="6"/>
        <v>-482267.95479999948</v>
      </c>
      <c r="Q33" s="166">
        <f t="shared" si="3"/>
        <v>-0.14487378375051396</v>
      </c>
      <c r="R33" s="163">
        <f>'2020'!I33</f>
        <v>2438901.1800000002</v>
      </c>
      <c r="S33" s="164">
        <f t="shared" si="4"/>
        <v>407714.40999999968</v>
      </c>
      <c r="T33" s="166">
        <f t="shared" si="5"/>
        <v>0.16717135296150043</v>
      </c>
    </row>
    <row r="34" spans="1:20">
      <c r="A34" s="150">
        <v>414</v>
      </c>
      <c r="B34" s="489" t="str">
        <f>+VLOOKUP($A34,Master!$D$29:$G$225,4,FALSE)</f>
        <v>Rashodi za usluge</v>
      </c>
      <c r="C34" s="490"/>
      <c r="D34" s="490"/>
      <c r="E34" s="490"/>
      <c r="F34" s="490"/>
      <c r="G34" s="163">
        <f>'2021'!S34</f>
        <v>7029940.4100000001</v>
      </c>
      <c r="H34" s="163">
        <f>'2021'!S108</f>
        <v>21077992.4791</v>
      </c>
      <c r="I34" s="164">
        <f t="shared" si="0"/>
        <v>-14048052.0691</v>
      </c>
      <c r="J34" s="166">
        <f t="shared" si="1"/>
        <v>-0.66647960345509294</v>
      </c>
      <c r="K34" s="163">
        <f>SUM('2020'!G34:I34)</f>
        <v>13411951.609999999</v>
      </c>
      <c r="L34" s="164">
        <f t="shared" si="7"/>
        <v>-6382011.1999999993</v>
      </c>
      <c r="M34" s="166">
        <f t="shared" si="2"/>
        <v>-0.47584508098296063</v>
      </c>
      <c r="N34" s="163">
        <f>'2021'!I34</f>
        <v>3354943</v>
      </c>
      <c r="O34" s="163">
        <f>'2021'!I108</f>
        <v>5506954.7249000007</v>
      </c>
      <c r="P34" s="164">
        <f t="shared" si="6"/>
        <v>-2152011.7249000007</v>
      </c>
      <c r="Q34" s="166">
        <f t="shared" si="3"/>
        <v>-0.3907807186373915</v>
      </c>
      <c r="R34" s="163">
        <f>'2020'!I34</f>
        <v>6178408.1299999999</v>
      </c>
      <c r="S34" s="164">
        <f t="shared" si="4"/>
        <v>-2823465.13</v>
      </c>
      <c r="T34" s="166">
        <f t="shared" si="5"/>
        <v>-0.45698909340260752</v>
      </c>
    </row>
    <row r="35" spans="1:20">
      <c r="A35" s="150">
        <v>415</v>
      </c>
      <c r="B35" s="489" t="str">
        <f>+VLOOKUP($A35,Master!$D$29:$G$225,4,FALSE)</f>
        <v>Rashodi za tekuće održavanje</v>
      </c>
      <c r="C35" s="490"/>
      <c r="D35" s="490"/>
      <c r="E35" s="490"/>
      <c r="F35" s="490"/>
      <c r="G35" s="163">
        <f>'2021'!S35</f>
        <v>3543684.37</v>
      </c>
      <c r="H35" s="163">
        <f>'2021'!S109</f>
        <v>4899845.5792000005</v>
      </c>
      <c r="I35" s="164">
        <f t="shared" si="0"/>
        <v>-1356161.2092000004</v>
      </c>
      <c r="J35" s="166">
        <f t="shared" si="1"/>
        <v>-0.27677631616738041</v>
      </c>
      <c r="K35" s="163">
        <f>SUM('2020'!G35:I35)</f>
        <v>3373826.1500000004</v>
      </c>
      <c r="L35" s="164">
        <f t="shared" si="7"/>
        <v>169858.21999999974</v>
      </c>
      <c r="M35" s="166">
        <f t="shared" si="2"/>
        <v>5.0345872148747084E-2</v>
      </c>
      <c r="N35" s="163">
        <f>'2021'!I35</f>
        <v>2439729.2400000002</v>
      </c>
      <c r="O35" s="163">
        <f>'2021'!I109</f>
        <v>830730.61020000011</v>
      </c>
      <c r="P35" s="164">
        <f t="shared" si="6"/>
        <v>1608998.6298000002</v>
      </c>
      <c r="Q35" s="166">
        <f t="shared" si="3"/>
        <v>1.9368476495799647</v>
      </c>
      <c r="R35" s="163">
        <f>'2020'!I35</f>
        <v>1009908.48</v>
      </c>
      <c r="S35" s="164">
        <f t="shared" si="4"/>
        <v>1429820.7600000002</v>
      </c>
      <c r="T35" s="166">
        <f t="shared" si="5"/>
        <v>1.4157924092290028</v>
      </c>
    </row>
    <row r="36" spans="1:20">
      <c r="A36" s="150">
        <v>416</v>
      </c>
      <c r="B36" s="489" t="str">
        <f>+VLOOKUP($A36,Master!$D$29:$G$225,4,FALSE)</f>
        <v>Kamate</v>
      </c>
      <c r="C36" s="490"/>
      <c r="D36" s="490"/>
      <c r="E36" s="490"/>
      <c r="F36" s="490"/>
      <c r="G36" s="163">
        <f>'2021'!S36</f>
        <v>24338190.810000002</v>
      </c>
      <c r="H36" s="163">
        <f>'2021'!S110</f>
        <v>24665778.945100002</v>
      </c>
      <c r="I36" s="164">
        <f t="shared" si="0"/>
        <v>-327588.13509999961</v>
      </c>
      <c r="J36" s="166">
        <f t="shared" si="1"/>
        <v>-1.328107804051637E-2</v>
      </c>
      <c r="K36" s="163">
        <f>SUM('2020'!G36:I36)</f>
        <v>36970607.670000002</v>
      </c>
      <c r="L36" s="164">
        <f t="shared" si="7"/>
        <v>-12632416.859999999</v>
      </c>
      <c r="M36" s="166">
        <f t="shared" si="2"/>
        <v>-0.3416881045818092</v>
      </c>
      <c r="N36" s="163">
        <f>'2021'!I36</f>
        <v>14795280.960000001</v>
      </c>
      <c r="O36" s="163">
        <f>'2021'!I110</f>
        <v>15598617.987</v>
      </c>
      <c r="P36" s="164">
        <f t="shared" si="6"/>
        <v>-803337.02699999884</v>
      </c>
      <c r="Q36" s="166">
        <f t="shared" si="3"/>
        <v>-5.1500525730516999E-2</v>
      </c>
      <c r="R36" s="163">
        <f>'2020'!I36</f>
        <v>27475960.399999999</v>
      </c>
      <c r="S36" s="164">
        <f t="shared" si="4"/>
        <v>-12680679.439999998</v>
      </c>
      <c r="T36" s="166">
        <f t="shared" si="5"/>
        <v>-0.4615190608587425</v>
      </c>
    </row>
    <row r="37" spans="1:20">
      <c r="A37" s="150">
        <v>417</v>
      </c>
      <c r="B37" s="489" t="str">
        <f>+VLOOKUP($A37,Master!$D$29:$G$225,4,FALSE)</f>
        <v>Renta</v>
      </c>
      <c r="C37" s="490"/>
      <c r="D37" s="490"/>
      <c r="E37" s="490"/>
      <c r="F37" s="490"/>
      <c r="G37" s="163">
        <f>'2021'!S37</f>
        <v>1808986.5699999998</v>
      </c>
      <c r="H37" s="163">
        <f>'2021'!S111</f>
        <v>2253007.3682999997</v>
      </c>
      <c r="I37" s="164">
        <f t="shared" si="0"/>
        <v>-444020.79829999991</v>
      </c>
      <c r="J37" s="166">
        <f t="shared" si="1"/>
        <v>-0.19707915941483789</v>
      </c>
      <c r="K37" s="163">
        <f>SUM('2020'!G37:I37)</f>
        <v>2255521.7199999997</v>
      </c>
      <c r="L37" s="164">
        <f t="shared" si="7"/>
        <v>-446535.14999999991</v>
      </c>
      <c r="M37" s="166">
        <f t="shared" si="2"/>
        <v>-0.19797421857679998</v>
      </c>
      <c r="N37" s="163">
        <f>'2021'!I37</f>
        <v>803228.89</v>
      </c>
      <c r="O37" s="163">
        <f>'2021'!I111</f>
        <v>536855.18090000004</v>
      </c>
      <c r="P37" s="164">
        <f t="shared" si="6"/>
        <v>266373.70909999998</v>
      </c>
      <c r="Q37" s="166">
        <f t="shared" si="3"/>
        <v>0.49617423576585984</v>
      </c>
      <c r="R37" s="163">
        <f>'2020'!I37</f>
        <v>896209.73</v>
      </c>
      <c r="S37" s="164">
        <f t="shared" si="4"/>
        <v>-92980.839999999967</v>
      </c>
      <c r="T37" s="166">
        <f t="shared" si="5"/>
        <v>-0.10374897402642569</v>
      </c>
    </row>
    <row r="38" spans="1:20">
      <c r="A38" s="150">
        <v>418</v>
      </c>
      <c r="B38" s="489" t="str">
        <f>+VLOOKUP($A38,Master!$D$29:$G$225,4,FALSE)</f>
        <v>Subvencije</v>
      </c>
      <c r="C38" s="490"/>
      <c r="D38" s="490"/>
      <c r="E38" s="490"/>
      <c r="F38" s="490"/>
      <c r="G38" s="163">
        <f>'2021'!S38</f>
        <v>4315078.8499999996</v>
      </c>
      <c r="H38" s="163">
        <f>'2021'!S112</f>
        <v>8667836.5811000001</v>
      </c>
      <c r="I38" s="164">
        <f t="shared" si="0"/>
        <v>-4352757.7311000004</v>
      </c>
      <c r="J38" s="166">
        <f t="shared" si="1"/>
        <v>-0.50217348820247487</v>
      </c>
      <c r="K38" s="163">
        <f>SUM('2020'!G38:I38)</f>
        <v>2823834.6799999997</v>
      </c>
      <c r="L38" s="164">
        <f t="shared" si="7"/>
        <v>1491244.17</v>
      </c>
      <c r="M38" s="166">
        <f t="shared" si="2"/>
        <v>0.52809188178112465</v>
      </c>
      <c r="N38" s="163">
        <f>'2021'!I38</f>
        <v>1744604.63</v>
      </c>
      <c r="O38" s="163">
        <f>'2021'!I112</f>
        <v>825102.68369999994</v>
      </c>
      <c r="P38" s="164">
        <f t="shared" si="6"/>
        <v>919501.94629999995</v>
      </c>
      <c r="Q38" s="166">
        <f t="shared" si="3"/>
        <v>1.1144091086659498</v>
      </c>
      <c r="R38" s="163">
        <f>'2020'!I38</f>
        <v>1425211.49</v>
      </c>
      <c r="S38" s="164">
        <f t="shared" si="4"/>
        <v>319393.1399999999</v>
      </c>
      <c r="T38" s="166">
        <f t="shared" si="5"/>
        <v>0.22410227691891538</v>
      </c>
    </row>
    <row r="39" spans="1:20">
      <c r="A39" s="150">
        <v>419</v>
      </c>
      <c r="B39" s="489" t="str">
        <f>+VLOOKUP($A39,Master!$D$29:$G$225,4,FALSE)</f>
        <v>Ostali izdaci</v>
      </c>
      <c r="C39" s="490"/>
      <c r="D39" s="490"/>
      <c r="E39" s="490"/>
      <c r="F39" s="490"/>
      <c r="G39" s="163">
        <f>'2021'!S39</f>
        <v>6542413.3200000003</v>
      </c>
      <c r="H39" s="163">
        <f>'2021'!S113</f>
        <v>10748789.822699998</v>
      </c>
      <c r="I39" s="164">
        <f t="shared" si="0"/>
        <v>-4206376.5026999973</v>
      </c>
      <c r="J39" s="166">
        <f t="shared" si="1"/>
        <v>-0.39133489184212122</v>
      </c>
      <c r="K39" s="163">
        <f>SUM('2020'!G39:I39)</f>
        <v>8409682.0399999991</v>
      </c>
      <c r="L39" s="164">
        <f t="shared" si="7"/>
        <v>-1867268.7199999988</v>
      </c>
      <c r="M39" s="166">
        <f t="shared" si="2"/>
        <v>-0.22203796898842076</v>
      </c>
      <c r="N39" s="163">
        <f>'2021'!I39</f>
        <v>3429558.98</v>
      </c>
      <c r="O39" s="163">
        <f>'2021'!I113</f>
        <v>2905211.8136</v>
      </c>
      <c r="P39" s="164">
        <f t="shared" si="6"/>
        <v>524347.16639999999</v>
      </c>
      <c r="Q39" s="166">
        <f t="shared" si="3"/>
        <v>0.18048500420706115</v>
      </c>
      <c r="R39" s="163">
        <f>'2020'!I39</f>
        <v>3205784.91</v>
      </c>
      <c r="S39" s="164">
        <f t="shared" si="4"/>
        <v>223774.06999999983</v>
      </c>
      <c r="T39" s="166">
        <f t="shared" si="5"/>
        <v>6.9803207726746752E-2</v>
      </c>
    </row>
    <row r="40" spans="1:20">
      <c r="A40" s="150">
        <v>42</v>
      </c>
      <c r="B40" s="505" t="str">
        <f>+VLOOKUP($A40,Master!$D$29:$G$225,4,FALSE)</f>
        <v>Transferi za socijalnu zaštitu</v>
      </c>
      <c r="C40" s="506"/>
      <c r="D40" s="506"/>
      <c r="E40" s="506"/>
      <c r="F40" s="506"/>
      <c r="G40" s="193">
        <f>'2021'!S40</f>
        <v>137224210.57999998</v>
      </c>
      <c r="H40" s="193">
        <f>'2021'!S114</f>
        <v>143402177.27290002</v>
      </c>
      <c r="I40" s="194">
        <f t="shared" si="0"/>
        <v>-6177966.6929000318</v>
      </c>
      <c r="J40" s="196">
        <f t="shared" si="1"/>
        <v>-4.3081400927010405E-2</v>
      </c>
      <c r="K40" s="193">
        <f>SUM('2020'!G40:I40)</f>
        <v>138297194.06199998</v>
      </c>
      <c r="L40" s="194">
        <f t="shared" si="7"/>
        <v>-1072983.4819999933</v>
      </c>
      <c r="M40" s="196">
        <f t="shared" si="2"/>
        <v>-7.7585339983033963E-3</v>
      </c>
      <c r="N40" s="193">
        <f>'2021'!I40</f>
        <v>47469284.640000001</v>
      </c>
      <c r="O40" s="193">
        <f>'2021'!I114</f>
        <v>45520131.565200001</v>
      </c>
      <c r="P40" s="194">
        <f t="shared" si="6"/>
        <v>1949153.0747999996</v>
      </c>
      <c r="Q40" s="196">
        <f t="shared" si="3"/>
        <v>4.2819583506874537E-2</v>
      </c>
      <c r="R40" s="193">
        <f>'2020'!I40</f>
        <v>46614790.754000008</v>
      </c>
      <c r="S40" s="194">
        <f t="shared" si="4"/>
        <v>854493.88599999249</v>
      </c>
      <c r="T40" s="196">
        <f t="shared" si="5"/>
        <v>1.8330960456508505E-2</v>
      </c>
    </row>
    <row r="41" spans="1:20">
      <c r="A41" s="150">
        <v>421</v>
      </c>
      <c r="B41" s="489" t="str">
        <f>+VLOOKUP($A41,Master!$D$29:$G$225,4,FALSE)</f>
        <v>Prava iz oblasti socijalne zaštite</v>
      </c>
      <c r="C41" s="490"/>
      <c r="D41" s="490"/>
      <c r="E41" s="490"/>
      <c r="F41" s="490"/>
      <c r="G41" s="163">
        <f>'2021'!S41</f>
        <v>19725106.289999999</v>
      </c>
      <c r="H41" s="163">
        <f>'2021'!S115</f>
        <v>20932121.699999999</v>
      </c>
      <c r="I41" s="164">
        <f t="shared" si="0"/>
        <v>-1207015.4100000001</v>
      </c>
      <c r="J41" s="166">
        <f t="shared" si="1"/>
        <v>-5.7663309400690199E-2</v>
      </c>
      <c r="K41" s="163">
        <f>SUM('2020'!G41:I41)</f>
        <v>20375195.18</v>
      </c>
      <c r="L41" s="164">
        <f t="shared" si="7"/>
        <v>-650088.8900000006</v>
      </c>
      <c r="M41" s="166">
        <f t="shared" si="2"/>
        <v>-3.1905897551259721E-2</v>
      </c>
      <c r="N41" s="163">
        <f>'2021'!I41</f>
        <v>6520717.1299999999</v>
      </c>
      <c r="O41" s="163">
        <f>'2021'!I115</f>
        <v>6474402.3399999999</v>
      </c>
      <c r="P41" s="164">
        <f t="shared" si="6"/>
        <v>46314.790000000037</v>
      </c>
      <c r="Q41" s="166">
        <f t="shared" si="3"/>
        <v>7.1535236100264132E-3</v>
      </c>
      <c r="R41" s="163">
        <f>'2020'!I41</f>
        <v>6752335.3300000001</v>
      </c>
      <c r="S41" s="164">
        <f t="shared" si="4"/>
        <v>-231618.20000000019</v>
      </c>
      <c r="T41" s="166">
        <f t="shared" si="5"/>
        <v>-3.4301939800137293E-2</v>
      </c>
    </row>
    <row r="42" spans="1:20">
      <c r="A42" s="150">
        <v>422</v>
      </c>
      <c r="B42" s="489" t="str">
        <f>+VLOOKUP($A42,Master!$D$29:$G$225,4,FALSE)</f>
        <v>Sredstva za tehnološke viškove</v>
      </c>
      <c r="C42" s="490"/>
      <c r="D42" s="490"/>
      <c r="E42" s="490"/>
      <c r="F42" s="490"/>
      <c r="G42" s="163">
        <f>'2021'!S42</f>
        <v>3000939.4699999997</v>
      </c>
      <c r="H42" s="163">
        <f>'2021'!S116</f>
        <v>4916224.7108999994</v>
      </c>
      <c r="I42" s="164">
        <f t="shared" si="0"/>
        <v>-1915285.2408999996</v>
      </c>
      <c r="J42" s="166">
        <f t="shared" si="1"/>
        <v>-0.38958456000872543</v>
      </c>
      <c r="K42" s="163">
        <f>SUM('2020'!G42:I42)</f>
        <v>3264141.05</v>
      </c>
      <c r="L42" s="164">
        <f t="shared" si="7"/>
        <v>-263201.58000000007</v>
      </c>
      <c r="M42" s="166">
        <f t="shared" si="2"/>
        <v>-8.0634254454169496E-2</v>
      </c>
      <c r="N42" s="163">
        <f>'2021'!I42</f>
        <v>1502929.47</v>
      </c>
      <c r="O42" s="163">
        <f>'2021'!I116</f>
        <v>1589371.0137</v>
      </c>
      <c r="P42" s="164">
        <f t="shared" si="6"/>
        <v>-86441.543700000038</v>
      </c>
      <c r="Q42" s="166">
        <f t="shared" si="3"/>
        <v>-5.438726575160524E-2</v>
      </c>
      <c r="R42" s="163">
        <f>'2020'!I42</f>
        <v>1602703.45</v>
      </c>
      <c r="S42" s="164">
        <f t="shared" si="4"/>
        <v>-99773.979999999981</v>
      </c>
      <c r="T42" s="166">
        <f t="shared" si="5"/>
        <v>-6.2253550399482771E-2</v>
      </c>
    </row>
    <row r="43" spans="1:20">
      <c r="A43" s="150">
        <v>423</v>
      </c>
      <c r="B43" s="489" t="str">
        <f>+VLOOKUP($A43,Master!$D$29:$G$225,4,FALSE)</f>
        <v>Prava iz oblasti penzijskog i invalidskog osiguranja</v>
      </c>
      <c r="C43" s="490"/>
      <c r="D43" s="490"/>
      <c r="E43" s="490"/>
      <c r="F43" s="490"/>
      <c r="G43" s="163">
        <f>'2021'!S43</f>
        <v>108411366.19</v>
      </c>
      <c r="H43" s="163">
        <f>'2021'!S117</f>
        <v>110756928.98719999</v>
      </c>
      <c r="I43" s="164">
        <f t="shared" si="0"/>
        <v>-2345562.7971999943</v>
      </c>
      <c r="J43" s="166">
        <f t="shared" si="1"/>
        <v>-2.1177571630494274E-2</v>
      </c>
      <c r="K43" s="163">
        <f>SUM('2020'!G43:I43)</f>
        <v>107118745.12199999</v>
      </c>
      <c r="L43" s="164">
        <f t="shared" si="7"/>
        <v>1292621.0680000037</v>
      </c>
      <c r="M43" s="166">
        <f t="shared" si="2"/>
        <v>1.2067178965995184E-2</v>
      </c>
      <c r="N43" s="163">
        <f>'2021'!I43</f>
        <v>36148021.82</v>
      </c>
      <c r="O43" s="163">
        <f>'2021'!I117</f>
        <v>36187841.671500005</v>
      </c>
      <c r="P43" s="164">
        <f t="shared" si="6"/>
        <v>-39819.85150000453</v>
      </c>
      <c r="Q43" s="166">
        <f t="shared" si="3"/>
        <v>-1.1003654725108003E-3</v>
      </c>
      <c r="R43" s="163">
        <f>'2020'!I43</f>
        <v>35757596.434</v>
      </c>
      <c r="S43" s="164">
        <f t="shared" si="4"/>
        <v>390425.38599999994</v>
      </c>
      <c r="T43" s="166">
        <f t="shared" si="5"/>
        <v>1.0918669735552111E-2</v>
      </c>
    </row>
    <row r="44" spans="1:20">
      <c r="A44" s="150">
        <v>424</v>
      </c>
      <c r="B44" s="489" t="str">
        <f>+VLOOKUP($A44,Master!$D$29:$G$225,4,FALSE)</f>
        <v>Ostala prava iz oblasti zdravstvene zaštite</v>
      </c>
      <c r="C44" s="490"/>
      <c r="D44" s="490"/>
      <c r="E44" s="490"/>
      <c r="F44" s="490"/>
      <c r="G44" s="163">
        <f>'2021'!S44</f>
        <v>3813002.13</v>
      </c>
      <c r="H44" s="163">
        <f>'2021'!S118</f>
        <v>4173566.7073999997</v>
      </c>
      <c r="I44" s="164">
        <f t="shared" si="0"/>
        <v>-360564.57739999983</v>
      </c>
      <c r="J44" s="166">
        <f t="shared" si="1"/>
        <v>-8.6392431864260377E-2</v>
      </c>
      <c r="K44" s="163">
        <f>SUM('2020'!G44:I44)</f>
        <v>5048185.93</v>
      </c>
      <c r="L44" s="164">
        <f t="shared" si="7"/>
        <v>-1235183.7999999998</v>
      </c>
      <c r="M44" s="166">
        <f t="shared" si="2"/>
        <v>-0.24467874542013945</v>
      </c>
      <c r="N44" s="163">
        <f>'2021'!I44</f>
        <v>1836110.36</v>
      </c>
      <c r="O44" s="163">
        <f>'2021'!I118</f>
        <v>658166.54</v>
      </c>
      <c r="P44" s="164">
        <f t="shared" si="6"/>
        <v>1177943.82</v>
      </c>
      <c r="Q44" s="166">
        <f t="shared" si="3"/>
        <v>1.7897351937702575</v>
      </c>
      <c r="R44" s="163">
        <f>'2020'!I44</f>
        <v>1595368.45</v>
      </c>
      <c r="S44" s="164">
        <f t="shared" si="4"/>
        <v>240741.91000000015</v>
      </c>
      <c r="T44" s="166">
        <f t="shared" si="5"/>
        <v>0.15090050828070489</v>
      </c>
    </row>
    <row r="45" spans="1:20">
      <c r="A45" s="150">
        <v>425</v>
      </c>
      <c r="B45" s="489" t="str">
        <f>+VLOOKUP($A45,Master!$D$29:$G$225,4,FALSE)</f>
        <v>Ostala prava iz zdravstvenog osiguranja</v>
      </c>
      <c r="C45" s="490"/>
      <c r="D45" s="490"/>
      <c r="E45" s="490"/>
      <c r="F45" s="490"/>
      <c r="G45" s="163">
        <f>'2021'!S45</f>
        <v>2273796.5</v>
      </c>
      <c r="H45" s="163">
        <f>'2021'!S119</f>
        <v>2623335.1673999997</v>
      </c>
      <c r="I45" s="164">
        <f t="shared" si="0"/>
        <v>-349538.66739999969</v>
      </c>
      <c r="J45" s="166">
        <f t="shared" si="1"/>
        <v>-0.13324209263981668</v>
      </c>
      <c r="K45" s="163">
        <f>SUM('2020'!G45:I45)</f>
        <v>2490926.7799999998</v>
      </c>
      <c r="L45" s="164">
        <f t="shared" si="7"/>
        <v>-217130.2799999998</v>
      </c>
      <c r="M45" s="166">
        <f t="shared" si="2"/>
        <v>-8.7168471487548027E-2</v>
      </c>
      <c r="N45" s="163">
        <f>'2021'!I45</f>
        <v>1461505.86</v>
      </c>
      <c r="O45" s="163">
        <f>'2021'!I119</f>
        <v>610350</v>
      </c>
      <c r="P45" s="164">
        <f t="shared" si="6"/>
        <v>851155.8600000001</v>
      </c>
      <c r="Q45" s="166">
        <f t="shared" si="3"/>
        <v>1.3945373310395675</v>
      </c>
      <c r="R45" s="163">
        <f>'2020'!I45</f>
        <v>906787.09</v>
      </c>
      <c r="S45" s="164">
        <f t="shared" si="4"/>
        <v>554718.77000000014</v>
      </c>
      <c r="T45" s="166">
        <f t="shared" si="5"/>
        <v>0.61174092145489212</v>
      </c>
    </row>
    <row r="46" spans="1:20">
      <c r="A46" s="150">
        <v>43</v>
      </c>
      <c r="B46" s="503" t="str">
        <f>+VLOOKUP($A46,Master!$D$29:$G$225,4,FALSE)</f>
        <v xml:space="preserve">Transferi institucijama, pojedincima, nevladinom i javnom sektoru </v>
      </c>
      <c r="C46" s="504"/>
      <c r="D46" s="504"/>
      <c r="E46" s="504"/>
      <c r="F46" s="504"/>
      <c r="G46" s="175">
        <f>'2021'!S46</f>
        <v>57217891.18</v>
      </c>
      <c r="H46" s="175">
        <f>'2021'!S120</f>
        <v>70132038.13350001</v>
      </c>
      <c r="I46" s="176">
        <f t="shared" si="0"/>
        <v>-12914146.95350001</v>
      </c>
      <c r="J46" s="178">
        <f t="shared" si="1"/>
        <v>-0.18414047698025338</v>
      </c>
      <c r="K46" s="175">
        <f>SUM('2020'!G46:I46)</f>
        <v>79457009.689999998</v>
      </c>
      <c r="L46" s="176">
        <f t="shared" si="7"/>
        <v>-22239118.509999998</v>
      </c>
      <c r="M46" s="178">
        <f t="shared" si="2"/>
        <v>-0.27988869197023014</v>
      </c>
      <c r="N46" s="175">
        <f>'2021'!I46</f>
        <v>23735027.57</v>
      </c>
      <c r="O46" s="175">
        <f>'2021'!I120</f>
        <v>22217994.669300001</v>
      </c>
      <c r="P46" s="176">
        <f t="shared" si="6"/>
        <v>1517032.9006999992</v>
      </c>
      <c r="Q46" s="178">
        <f t="shared" si="3"/>
        <v>6.8279470009783516E-2</v>
      </c>
      <c r="R46" s="175">
        <f>'2020'!I46</f>
        <v>31910693.890000001</v>
      </c>
      <c r="S46" s="176">
        <f t="shared" si="4"/>
        <v>-8175666.3200000003</v>
      </c>
      <c r="T46" s="178">
        <f t="shared" si="5"/>
        <v>-0.2562045923596179</v>
      </c>
    </row>
    <row r="47" spans="1:20">
      <c r="A47" s="150">
        <v>44</v>
      </c>
      <c r="B47" s="503" t="str">
        <f>+VLOOKUP($A47,Master!$D$29:$G$225,4,FALSE)</f>
        <v>Kapitalni izdaci</v>
      </c>
      <c r="C47" s="504"/>
      <c r="D47" s="504"/>
      <c r="E47" s="504"/>
      <c r="F47" s="504"/>
      <c r="G47" s="175">
        <f>'2021'!S47</f>
        <v>27125934.200000003</v>
      </c>
      <c r="H47" s="175">
        <f>'2021'!S121</f>
        <v>44151401.146699995</v>
      </c>
      <c r="I47" s="176">
        <f t="shared" si="0"/>
        <v>-17025466.946699992</v>
      </c>
      <c r="J47" s="178">
        <f t="shared" si="1"/>
        <v>-0.38561555249696811</v>
      </c>
      <c r="K47" s="175">
        <f>SUM('2020'!G47:I47)</f>
        <v>26100854.98</v>
      </c>
      <c r="L47" s="176">
        <f t="shared" si="7"/>
        <v>1025079.2200000025</v>
      </c>
      <c r="M47" s="178">
        <f t="shared" si="2"/>
        <v>3.9273779375636364E-2</v>
      </c>
      <c r="N47" s="175">
        <f>'2021'!I47</f>
        <v>8279888.46</v>
      </c>
      <c r="O47" s="175">
        <f>'2021'!I121</f>
        <v>12695405.174999995</v>
      </c>
      <c r="P47" s="176">
        <f t="shared" si="6"/>
        <v>-4415516.7149999952</v>
      </c>
      <c r="Q47" s="178">
        <f t="shared" si="3"/>
        <v>-0.3478043161391261</v>
      </c>
      <c r="R47" s="175">
        <f>'2020'!I47</f>
        <v>13037958.210000001</v>
      </c>
      <c r="S47" s="176">
        <f t="shared" si="4"/>
        <v>-4758069.7500000009</v>
      </c>
      <c r="T47" s="178">
        <f t="shared" si="5"/>
        <v>-0.36493979144300392</v>
      </c>
    </row>
    <row r="48" spans="1:20">
      <c r="A48" s="150">
        <v>451</v>
      </c>
      <c r="B48" s="507" t="str">
        <f>+VLOOKUP($A48,Master!$D$29:$G$225,4,FALSE)</f>
        <v>Pozajmice i krediti</v>
      </c>
      <c r="C48" s="508"/>
      <c r="D48" s="508"/>
      <c r="E48" s="508"/>
      <c r="F48" s="508"/>
      <c r="G48" s="163">
        <f>'2021'!S48</f>
        <v>264894</v>
      </c>
      <c r="H48" s="163">
        <f>'2021'!S122</f>
        <v>290008.33480000001</v>
      </c>
      <c r="I48" s="164">
        <f>G48-H48</f>
        <v>-25114.334800000011</v>
      </c>
      <c r="J48" s="282">
        <f t="shared" si="1"/>
        <v>-8.6598665577386713E-2</v>
      </c>
      <c r="K48" s="163">
        <f>SUM('2020'!G48:I48)</f>
        <v>277634</v>
      </c>
      <c r="L48" s="279">
        <f t="shared" si="7"/>
        <v>-12740</v>
      </c>
      <c r="M48" s="282">
        <f t="shared" si="2"/>
        <v>-4.5887751500176543E-2</v>
      </c>
      <c r="N48" s="163">
        <f>'2021'!I48</f>
        <v>5000</v>
      </c>
      <c r="O48" s="163">
        <f>'2021'!I122</f>
        <v>12881</v>
      </c>
      <c r="P48" s="164">
        <f t="shared" si="6"/>
        <v>-7881</v>
      </c>
      <c r="Q48" s="282">
        <f t="shared" si="3"/>
        <v>-0.61183137955127709</v>
      </c>
      <c r="R48" s="163">
        <f>'2020'!I48</f>
        <v>0</v>
      </c>
      <c r="S48" s="279">
        <f t="shared" si="4"/>
        <v>5000</v>
      </c>
      <c r="T48" s="282" t="str">
        <f t="shared" si="5"/>
        <v>...</v>
      </c>
    </row>
    <row r="49" spans="1:23">
      <c r="A49" s="150">
        <v>47</v>
      </c>
      <c r="B49" s="507" t="str">
        <f>+VLOOKUP($A49,Master!$D$29:$G$225,4,FALSE)</f>
        <v>Rezerve</v>
      </c>
      <c r="C49" s="508"/>
      <c r="D49" s="508"/>
      <c r="E49" s="508"/>
      <c r="F49" s="508"/>
      <c r="G49" s="163">
        <f>'2021'!S49</f>
        <v>32808803.189999998</v>
      </c>
      <c r="H49" s="163">
        <f>'2021'!S123</f>
        <v>42907362.460000001</v>
      </c>
      <c r="I49" s="164">
        <f t="shared" ref="I49:I50" si="8">G49-H49</f>
        <v>-10098559.270000003</v>
      </c>
      <c r="J49" s="283">
        <f t="shared" si="1"/>
        <v>-0.23535726017683545</v>
      </c>
      <c r="K49" s="163">
        <f>SUM('2020'!G49:I49)</f>
        <v>2778214</v>
      </c>
      <c r="L49" s="280">
        <f t="shared" si="7"/>
        <v>30030589.189999998</v>
      </c>
      <c r="M49" s="283" t="str">
        <f t="shared" si="2"/>
        <v>...</v>
      </c>
      <c r="N49" s="163">
        <f>'2021'!I49</f>
        <v>8526683.3100000005</v>
      </c>
      <c r="O49" s="163">
        <f>'2021'!I123</f>
        <v>11429150.939999999</v>
      </c>
      <c r="P49" s="164">
        <f t="shared" si="6"/>
        <v>-2902467.629999999</v>
      </c>
      <c r="Q49" s="283">
        <f t="shared" si="3"/>
        <v>-0.2539530403646939</v>
      </c>
      <c r="R49" s="163">
        <f>'2020'!I49</f>
        <v>117020</v>
      </c>
      <c r="S49" s="280">
        <f t="shared" si="4"/>
        <v>8409663.3100000005</v>
      </c>
      <c r="T49" s="283" t="str">
        <f t="shared" si="5"/>
        <v>...</v>
      </c>
      <c r="W49" s="345"/>
    </row>
    <row r="50" spans="1:23" ht="15.75" thickBot="1">
      <c r="A50" s="150">
        <v>462</v>
      </c>
      <c r="B50" s="509" t="str">
        <f>+VLOOKUP($A50,Master!$D$29:$G$225,4,FALSE)</f>
        <v>Otplata garancija</v>
      </c>
      <c r="C50" s="510"/>
      <c r="D50" s="510"/>
      <c r="E50" s="510"/>
      <c r="F50" s="510"/>
      <c r="G50" s="163">
        <f>'2021'!S50</f>
        <v>3836366.14</v>
      </c>
      <c r="H50" s="163">
        <f>'2021'!S124</f>
        <v>3876366.14</v>
      </c>
      <c r="I50" s="164">
        <f t="shared" si="8"/>
        <v>-40000</v>
      </c>
      <c r="J50" s="284">
        <f t="shared" si="1"/>
        <v>-1.0318942678619103E-2</v>
      </c>
      <c r="K50" s="163">
        <f>SUM('2020'!G50:I50)</f>
        <v>0</v>
      </c>
      <c r="L50" s="280">
        <f t="shared" si="7"/>
        <v>3836366.14</v>
      </c>
      <c r="M50" s="284" t="str">
        <f t="shared" si="2"/>
        <v>...</v>
      </c>
      <c r="N50" s="163">
        <f>'2021'!I50</f>
        <v>0</v>
      </c>
      <c r="O50" s="163">
        <f>'2021'!I124</f>
        <v>20000</v>
      </c>
      <c r="P50" s="164">
        <f t="shared" si="6"/>
        <v>-20000</v>
      </c>
      <c r="Q50" s="284">
        <f t="shared" si="3"/>
        <v>-1</v>
      </c>
      <c r="R50" s="163">
        <f>'2020'!I50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9" t="str">
        <f>+VLOOKUP($A51,Master!$D$29:$G$225,4,FALSE)</f>
        <v>Otplata obaveza iz prethodnog perioda</v>
      </c>
      <c r="C51" s="510"/>
      <c r="D51" s="510"/>
      <c r="E51" s="510"/>
      <c r="F51" s="510"/>
      <c r="G51" s="314">
        <f>'2021'!S51</f>
        <v>4255923.5</v>
      </c>
      <c r="H51" s="314">
        <f>'2021'!S125</f>
        <v>6923916.6295999903</v>
      </c>
      <c r="I51" s="281">
        <f>G51-H51</f>
        <v>-2667993.1295999903</v>
      </c>
      <c r="J51" s="285">
        <f t="shared" si="1"/>
        <v>-0.38533004834203588</v>
      </c>
      <c r="K51" s="314">
        <f>SUM('2020'!G51:I51)</f>
        <v>4516158.68</v>
      </c>
      <c r="L51" s="287">
        <f t="shared" si="7"/>
        <v>-260235.1799999997</v>
      </c>
      <c r="M51" s="285">
        <f t="shared" si="2"/>
        <v>-5.7623125855267743E-2</v>
      </c>
      <c r="N51" s="314">
        <f>'2021'!I51</f>
        <v>1594695.57</v>
      </c>
      <c r="O51" s="314">
        <f>'2021'!I125</f>
        <v>2677062.2602999979</v>
      </c>
      <c r="P51" s="281">
        <f>N51-O51</f>
        <v>-1082366.6902999978</v>
      </c>
      <c r="Q51" s="285">
        <f t="shared" si="3"/>
        <v>-0.40431136262729472</v>
      </c>
      <c r="R51" s="314">
        <f>'2020'!I51</f>
        <v>1360035.97</v>
      </c>
      <c r="S51" s="287">
        <f>+N51-R51</f>
        <v>234659.60000000009</v>
      </c>
      <c r="T51" s="285">
        <f t="shared" si="5"/>
        <v>0.17253926011971599</v>
      </c>
    </row>
    <row r="52" spans="1:23" ht="15.75" thickBot="1">
      <c r="A52" s="144">
        <v>1005</v>
      </c>
      <c r="B52" s="509" t="str">
        <f>+VLOOKUP($A52,Master!$D$29:$G$227,4,FALSE)</f>
        <v>Neto povećanje obaveza</v>
      </c>
      <c r="C52" s="510"/>
      <c r="D52" s="510"/>
      <c r="E52" s="510"/>
      <c r="F52" s="510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SUM('2020'!G52:I52)</f>
        <v>0</v>
      </c>
      <c r="L52" s="287">
        <f t="shared" si="7"/>
        <v>0</v>
      </c>
      <c r="M52" s="285" t="str">
        <f t="shared" si="2"/>
        <v>...</v>
      </c>
      <c r="N52" s="163">
        <f>'2021'!I52</f>
        <v>0</v>
      </c>
      <c r="O52" s="163">
        <f>'2021'!I126</f>
        <v>0</v>
      </c>
      <c r="P52" s="281">
        <f>N52-O52</f>
        <v>0</v>
      </c>
      <c r="Q52" s="285" t="str">
        <f t="shared" si="3"/>
        <v>...</v>
      </c>
      <c r="R52" s="163">
        <f>'2020'!I52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>'2021'!S53</f>
        <v>-103480449.28</v>
      </c>
      <c r="H53" s="151">
        <f>'2021'!S127</f>
        <v>-196918460.1534915</v>
      </c>
      <c r="I53" s="321">
        <f>+G53-H53</f>
        <v>93438010.873491496</v>
      </c>
      <c r="J53" s="286">
        <f t="shared" si="1"/>
        <v>-0.47450102342187539</v>
      </c>
      <c r="K53" s="151">
        <f>SUM('2020'!G53:I53)</f>
        <v>-77197009.112000033</v>
      </c>
      <c r="L53" s="288">
        <f t="shared" si="7"/>
        <v>-26283440.167999968</v>
      </c>
      <c r="M53" s="286">
        <f t="shared" si="2"/>
        <v>0.34047226013467791</v>
      </c>
      <c r="N53" s="151">
        <f>'2021'!I53</f>
        <v>-10424749.75999999</v>
      </c>
      <c r="O53" s="151">
        <f>'2021'!I127</f>
        <v>-35412575.629021287</v>
      </c>
      <c r="P53" s="321">
        <f>N53-O53</f>
        <v>24987825.869021297</v>
      </c>
      <c r="Q53" s="286">
        <f t="shared" si="3"/>
        <v>-0.70562012011753517</v>
      </c>
      <c r="R53" s="151">
        <f>'2020'!I53</f>
        <v>-17031922.094000012</v>
      </c>
      <c r="S53" s="288">
        <f t="shared" si="4"/>
        <v>6607172.3340000212</v>
      </c>
      <c r="T53" s="286">
        <f t="shared" si="5"/>
        <v>-0.38792875504800417</v>
      </c>
    </row>
    <row r="54" spans="1:23" ht="15.7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151">
        <f>'2021'!S54</f>
        <v>-79142258.469999999</v>
      </c>
      <c r="H54" s="151">
        <f>'2021'!S128</f>
        <v>-172252681.20839152</v>
      </c>
      <c r="I54" s="206">
        <f t="shared" si="0"/>
        <v>93110422.738391519</v>
      </c>
      <c r="J54" s="208">
        <f t="shared" si="1"/>
        <v>-0.54054556413984878</v>
      </c>
      <c r="K54" s="151">
        <f>SUM('2020'!G54:I54)</f>
        <v>-40226401.442000039</v>
      </c>
      <c r="L54" s="206">
        <f t="shared" si="7"/>
        <v>-38915857.02799996</v>
      </c>
      <c r="M54" s="208">
        <f t="shared" si="2"/>
        <v>0.96742078915784524</v>
      </c>
      <c r="N54" s="151">
        <f>'2021'!I54</f>
        <v>4370531.2000000104</v>
      </c>
      <c r="O54" s="151">
        <f>'2021'!I128</f>
        <v>-19813957.642021287</v>
      </c>
      <c r="P54" s="206">
        <f t="shared" si="6"/>
        <v>24184488.842021298</v>
      </c>
      <c r="Q54" s="208">
        <f t="shared" si="3"/>
        <v>-1.2205784063417509</v>
      </c>
      <c r="R54" s="151">
        <f>'2020'!I54</f>
        <v>10444038.305999987</v>
      </c>
      <c r="S54" s="206">
        <f t="shared" si="4"/>
        <v>-6073507.1059999764</v>
      </c>
      <c r="T54" s="208">
        <f t="shared" si="5"/>
        <v>-0.58152861259718014</v>
      </c>
    </row>
    <row r="55" spans="1:23">
      <c r="A55" s="144">
        <v>46</v>
      </c>
      <c r="B55" s="505" t="str">
        <f>+VLOOKUP($A55,Master!$D$29:$G$225,4,FALSE)</f>
        <v>Otplata dugova</v>
      </c>
      <c r="C55" s="506"/>
      <c r="D55" s="506"/>
      <c r="E55" s="506"/>
      <c r="F55" s="506"/>
      <c r="G55" s="157">
        <f>'2021'!S55</f>
        <v>286369561.41000003</v>
      </c>
      <c r="H55" s="157">
        <f>'2021'!S129</f>
        <v>300411380</v>
      </c>
      <c r="I55" s="194">
        <f t="shared" si="0"/>
        <v>-14041818.589999974</v>
      </c>
      <c r="J55" s="196">
        <f t="shared" si="1"/>
        <v>-4.6741966266391044E-2</v>
      </c>
      <c r="K55" s="157">
        <f>SUM('2020'!G55:I55)</f>
        <v>421951513.65999997</v>
      </c>
      <c r="L55" s="194">
        <f t="shared" si="7"/>
        <v>-135581952.24999994</v>
      </c>
      <c r="M55" s="196">
        <f t="shared" si="2"/>
        <v>-0.32132116572817693</v>
      </c>
      <c r="N55" s="157">
        <f>'2021'!I55</f>
        <v>238783771.24000001</v>
      </c>
      <c r="O55" s="157">
        <f>'2021'!I129</f>
        <v>267188444</v>
      </c>
      <c r="P55" s="194">
        <f t="shared" si="6"/>
        <v>-28404672.75999999</v>
      </c>
      <c r="Q55" s="196">
        <f t="shared" si="3"/>
        <v>-0.10630951075114603</v>
      </c>
      <c r="R55" s="157">
        <f>'2020'!I55</f>
        <v>332059497.63</v>
      </c>
      <c r="S55" s="194">
        <f t="shared" si="4"/>
        <v>-93275726.389999986</v>
      </c>
      <c r="T55" s="196">
        <f t="shared" si="5"/>
        <v>-0.28090064297432993</v>
      </c>
    </row>
    <row r="56" spans="1:23">
      <c r="A56" s="144">
        <v>4611</v>
      </c>
      <c r="B56" s="531" t="str">
        <f>+VLOOKUP($A56,Master!$D$29:$G$225,4,FALSE)</f>
        <v>Otplata hartija od vrijednosti i kredita rezidentima</v>
      </c>
      <c r="C56" s="532"/>
      <c r="D56" s="532"/>
      <c r="E56" s="532"/>
      <c r="F56" s="532"/>
      <c r="G56" s="163">
        <f>'2021'!S56</f>
        <v>37833912.020000003</v>
      </c>
      <c r="H56" s="163">
        <f>'2021'!S130</f>
        <v>37833912.019999996</v>
      </c>
      <c r="I56" s="212">
        <f t="shared" si="0"/>
        <v>0</v>
      </c>
      <c r="J56" s="214">
        <f t="shared" si="1"/>
        <v>2.2204460492503131E-16</v>
      </c>
      <c r="K56" s="163">
        <f>SUM('2020'!G56:I56)</f>
        <v>79786117.120000005</v>
      </c>
      <c r="L56" s="212">
        <f t="shared" si="7"/>
        <v>-41952205.100000001</v>
      </c>
      <c r="M56" s="214">
        <f t="shared" si="2"/>
        <v>-0.52580833125270399</v>
      </c>
      <c r="N56" s="163">
        <f>'2021'!I56</f>
        <v>2399482.21</v>
      </c>
      <c r="O56" s="163">
        <f>'2021'!I130</f>
        <v>22668713.02</v>
      </c>
      <c r="P56" s="212">
        <f t="shared" si="6"/>
        <v>-20269230.809999999</v>
      </c>
      <c r="Q56" s="214">
        <f t="shared" si="3"/>
        <v>-0.89415004690019229</v>
      </c>
      <c r="R56" s="163">
        <f>'2020'!I56</f>
        <v>1854849.15</v>
      </c>
      <c r="S56" s="212">
        <f t="shared" si="4"/>
        <v>544633.06000000006</v>
      </c>
      <c r="T56" s="214">
        <f t="shared" si="5"/>
        <v>0.29362660569998389</v>
      </c>
    </row>
    <row r="57" spans="1:23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163">
        <f>'2021'!S57</f>
        <v>248535649.38999999</v>
      </c>
      <c r="H57" s="163">
        <f>'2021'!S131</f>
        <v>262577467.97999999</v>
      </c>
      <c r="I57" s="212">
        <f t="shared" si="0"/>
        <v>-14041818.590000004</v>
      </c>
      <c r="J57" s="214">
        <f t="shared" si="1"/>
        <v>-5.3476860364384149E-2</v>
      </c>
      <c r="K57" s="163">
        <f>SUM('2020'!G57:I57)</f>
        <v>342165396.54000002</v>
      </c>
      <c r="L57" s="212">
        <f t="shared" si="7"/>
        <v>-93629747.150000036</v>
      </c>
      <c r="M57" s="214">
        <f t="shared" si="2"/>
        <v>-0.27363885447444558</v>
      </c>
      <c r="N57" s="163">
        <f>'2021'!I57</f>
        <v>236384289.03</v>
      </c>
      <c r="O57" s="163">
        <f>'2021'!I131</f>
        <v>244519730.97999999</v>
      </c>
      <c r="P57" s="212">
        <f t="shared" si="6"/>
        <v>-8135441.9499999881</v>
      </c>
      <c r="Q57" s="214">
        <f t="shared" si="3"/>
        <v>-3.3271106251402727E-2</v>
      </c>
      <c r="R57" s="163">
        <f>'2020'!I57</f>
        <v>330204648.48000002</v>
      </c>
      <c r="S57" s="212">
        <f t="shared" si="4"/>
        <v>-93820359.450000018</v>
      </c>
      <c r="T57" s="214">
        <f t="shared" si="5"/>
        <v>-0.28412791849501351</v>
      </c>
    </row>
    <row r="58" spans="1:23" ht="15.75" thickBot="1">
      <c r="A58" s="144">
        <v>4418</v>
      </c>
      <c r="B58" s="505" t="str">
        <f>+VLOOKUP($A58,Master!$D$29:$G$225,4,FALSE)</f>
        <v>Izdaci za kupovinu hartija od vrijednosti</v>
      </c>
      <c r="C58" s="506"/>
      <c r="D58" s="506"/>
      <c r="E58" s="506"/>
      <c r="F58" s="506"/>
      <c r="G58" s="336">
        <f>'2021'!S58</f>
        <v>0</v>
      </c>
      <c r="H58" s="336">
        <f>'2021'!S132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SUM('2020'!G58:I58)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'2021'!I58</f>
        <v>0</v>
      </c>
      <c r="O58" s="336">
        <f>'2021'!I132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'2020'!I58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320">
        <f>'2021'!S59</f>
        <v>-389850010.69000006</v>
      </c>
      <c r="H59" s="320">
        <f>'2021'!S133</f>
        <v>-497866624.1534915</v>
      </c>
      <c r="I59" s="322">
        <f t="shared" si="9"/>
        <v>108016613.46349144</v>
      </c>
      <c r="J59" s="323">
        <f t="shared" si="1"/>
        <v>-0.21695893683805179</v>
      </c>
      <c r="K59" s="320">
        <f>SUM('2020'!G59:I59)</f>
        <v>-499148522.77200001</v>
      </c>
      <c r="L59" s="322">
        <f t="shared" si="10"/>
        <v>109298512.08199996</v>
      </c>
      <c r="M59" s="323">
        <f t="shared" si="2"/>
        <v>-0.2189699199649342</v>
      </c>
      <c r="N59" s="320">
        <f>'2021'!I59</f>
        <v>-249208521</v>
      </c>
      <c r="O59" s="320">
        <f>'2021'!I133</f>
        <v>-302601019.62902129</v>
      </c>
      <c r="P59" s="322">
        <f t="shared" si="11"/>
        <v>53392498.629021287</v>
      </c>
      <c r="Q59" s="323">
        <f t="shared" si="3"/>
        <v>-0.17644520396685615</v>
      </c>
      <c r="R59" s="320">
        <f>'2020'!I59</f>
        <v>-349091419.72399998</v>
      </c>
      <c r="S59" s="322">
        <f t="shared" si="12"/>
        <v>99882898.723999977</v>
      </c>
      <c r="T59" s="323">
        <f t="shared" si="5"/>
        <v>-0.28612246844385281</v>
      </c>
    </row>
    <row r="60" spans="1:23" ht="15.75" thickBot="1">
      <c r="A60" s="144">
        <v>1003</v>
      </c>
      <c r="B60" s="497" t="str">
        <f>+VLOOKUP($A60,Master!$D$29:$G$225,4,FALSE)</f>
        <v>Finansiranje</v>
      </c>
      <c r="C60" s="498"/>
      <c r="D60" s="498"/>
      <c r="E60" s="498"/>
      <c r="F60" s="498"/>
      <c r="G60" s="151">
        <f>'2021'!S60</f>
        <v>389850010.69000006</v>
      </c>
      <c r="H60" s="151">
        <f>'2021'!S134</f>
        <v>497866624.1534915</v>
      </c>
      <c r="I60" s="321">
        <f t="shared" si="9"/>
        <v>-108016613.46349144</v>
      </c>
      <c r="J60" s="324">
        <f t="shared" si="1"/>
        <v>-0.21695893683805179</v>
      </c>
      <c r="K60" s="151">
        <f>SUM('2020'!G60:I60)</f>
        <v>499148522.77200001</v>
      </c>
      <c r="L60" s="321">
        <f t="shared" si="10"/>
        <v>-109298512.08199996</v>
      </c>
      <c r="M60" s="324">
        <f t="shared" si="2"/>
        <v>-0.2189699199649342</v>
      </c>
      <c r="N60" s="151">
        <f>'2021'!I60</f>
        <v>249208521</v>
      </c>
      <c r="O60" s="151">
        <f>'2021'!I134</f>
        <v>302601019.62902129</v>
      </c>
      <c r="P60" s="321">
        <f t="shared" si="11"/>
        <v>-53392498.629021287</v>
      </c>
      <c r="Q60" s="324">
        <f t="shared" si="3"/>
        <v>-0.17644520396685615</v>
      </c>
      <c r="R60" s="151">
        <f>'2020'!I60</f>
        <v>349091419.72399998</v>
      </c>
      <c r="S60" s="321">
        <f t="shared" si="12"/>
        <v>-99882898.723999977</v>
      </c>
      <c r="T60" s="324">
        <f t="shared" si="5"/>
        <v>-0.28612246844385281</v>
      </c>
    </row>
    <row r="61" spans="1:23">
      <c r="A61" s="144">
        <v>7511</v>
      </c>
      <c r="B61" s="531" t="str">
        <f>+VLOOKUP($A61,Master!$D$29:$G$225,4,FALSE)</f>
        <v>Pozajmice i krediti od domaćih izvora</v>
      </c>
      <c r="C61" s="532"/>
      <c r="D61" s="532"/>
      <c r="E61" s="532"/>
      <c r="F61" s="532"/>
      <c r="G61" s="484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163">
        <f>SUM('2020'!G61:I61)</f>
        <v>37900000</v>
      </c>
      <c r="L61" s="212">
        <f t="shared" si="10"/>
        <v>-37900000</v>
      </c>
      <c r="M61" s="214">
        <f t="shared" si="2"/>
        <v>-1</v>
      </c>
      <c r="N61" s="163">
        <f>'2021'!I61</f>
        <v>0</v>
      </c>
      <c r="O61" s="163">
        <f>'2021'!I135</f>
        <v>0</v>
      </c>
      <c r="P61" s="212">
        <f t="shared" si="11"/>
        <v>0</v>
      </c>
      <c r="Q61" s="214" t="str">
        <f t="shared" si="3"/>
        <v>...</v>
      </c>
      <c r="R61" s="163">
        <f>'2020'!I61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163">
        <f>'2021'!S62</f>
        <v>10575303</v>
      </c>
      <c r="H62" s="163">
        <f>'2021'!S136</f>
        <v>7600000</v>
      </c>
      <c r="I62" s="212">
        <f t="shared" si="9"/>
        <v>2975303</v>
      </c>
      <c r="J62" s="214">
        <f t="shared" si="1"/>
        <v>0.39148723684210518</v>
      </c>
      <c r="K62" s="163">
        <f>SUM('2020'!G62:I62)</f>
        <v>5661756.3499999996</v>
      </c>
      <c r="L62" s="212">
        <f t="shared" si="10"/>
        <v>4913546.6500000004</v>
      </c>
      <c r="M62" s="214">
        <f t="shared" si="2"/>
        <v>0.86784848132859005</v>
      </c>
      <c r="N62" s="163">
        <f>'2021'!I62</f>
        <v>392627.11</v>
      </c>
      <c r="O62" s="163">
        <f>'2021'!I136</f>
        <v>400000</v>
      </c>
      <c r="P62" s="212">
        <f t="shared" si="11"/>
        <v>-7372.890000000014</v>
      </c>
      <c r="Q62" s="214">
        <f t="shared" si="3"/>
        <v>-1.843222500000008E-2</v>
      </c>
      <c r="R62" s="163">
        <f>'2020'!I62</f>
        <v>3834054.75</v>
      </c>
      <c r="S62" s="212">
        <f t="shared" si="12"/>
        <v>-3441427.64</v>
      </c>
      <c r="T62" s="214">
        <f t="shared" si="5"/>
        <v>-0.89759480873349551</v>
      </c>
    </row>
    <row r="63" spans="1:23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163">
        <f>'2021'!S63</f>
        <v>116481.33</v>
      </c>
      <c r="H63" s="163">
        <f>'2021'!S137</f>
        <v>162782.51</v>
      </c>
      <c r="I63" s="212">
        <f t="shared" si="9"/>
        <v>-46301.180000000008</v>
      </c>
      <c r="J63" s="214">
        <f t="shared" si="1"/>
        <v>-0.28443584018946511</v>
      </c>
      <c r="K63" s="163">
        <f>SUM('2020'!G63:I63)</f>
        <v>1103988.94</v>
      </c>
      <c r="L63" s="212">
        <f t="shared" si="10"/>
        <v>-987507.61</v>
      </c>
      <c r="M63" s="214">
        <f t="shared" si="2"/>
        <v>-0.89449049190655838</v>
      </c>
      <c r="N63" s="163">
        <f>'2021'!I63</f>
        <v>52164.39</v>
      </c>
      <c r="O63" s="163">
        <f>'2021'!I137</f>
        <v>70000</v>
      </c>
      <c r="P63" s="212">
        <f t="shared" si="11"/>
        <v>-17835.61</v>
      </c>
      <c r="Q63" s="214">
        <f t="shared" si="3"/>
        <v>-0.25479442857142853</v>
      </c>
      <c r="R63" s="163">
        <f>'2020'!I63</f>
        <v>603218.21</v>
      </c>
      <c r="S63" s="212">
        <f t="shared" si="12"/>
        <v>-551053.81999999995</v>
      </c>
      <c r="T63" s="214">
        <f t="shared" si="5"/>
        <v>-0.91352318425532941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379158226.36000001</v>
      </c>
      <c r="H64" s="318">
        <f>'2021'!S138</f>
        <v>490103841.64349151</v>
      </c>
      <c r="I64" s="226">
        <f t="shared" si="9"/>
        <v>-110945615.28349149</v>
      </c>
      <c r="J64" s="228">
        <f t="shared" si="1"/>
        <v>-0.22637164995779591</v>
      </c>
      <c r="K64" s="318">
        <f>SUM('2020'!G64:I64)</f>
        <v>454482777.48199999</v>
      </c>
      <c r="L64" s="226">
        <f t="shared" si="10"/>
        <v>-75324551.121999979</v>
      </c>
      <c r="M64" s="228">
        <f t="shared" si="2"/>
        <v>-0.16573686584852654</v>
      </c>
      <c r="N64" s="318">
        <f>'2021'!I64</f>
        <v>248763729.5</v>
      </c>
      <c r="O64" s="318">
        <f>'2021'!I138</f>
        <v>302131019.62902129</v>
      </c>
      <c r="P64" s="226">
        <f t="shared" si="11"/>
        <v>-53367290.129021287</v>
      </c>
      <c r="Q64" s="228">
        <f t="shared" si="3"/>
        <v>-0.17663624938131006</v>
      </c>
      <c r="R64" s="318">
        <f>'2020'!I64</f>
        <v>344654146.764</v>
      </c>
      <c r="S64" s="226">
        <f t="shared" si="12"/>
        <v>-95890417.263999999</v>
      </c>
      <c r="T64" s="228">
        <f t="shared" si="5"/>
        <v>-0.27822214867955852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o4Jl4R0Bsr55fsf2u8UOpgrxH3IRYuwQPDiiXKs238Yp322eqswSjwHu5OiSw6Ct1O8ch3MP7R+YAgppG26t7g==" saltValue="zqQJa6gtVW27o/vFmrtlJg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K13" sqref="K1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35" t="str">
        <f>+Master!G251</f>
        <v>Ostvarenje budžeta</v>
      </c>
      <c r="C7" s="518"/>
      <c r="D7" s="518"/>
      <c r="E7" s="518"/>
      <c r="F7" s="518"/>
      <c r="G7" s="526">
        <v>2021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tr">
        <f>+Master!G248</f>
        <v>BDP</v>
      </c>
      <c r="T7" s="236">
        <v>4636600000</v>
      </c>
    </row>
    <row r="8" spans="1:20" ht="16.5" customHeight="1">
      <c r="A8" s="144"/>
      <c r="B8" s="519"/>
      <c r="C8" s="520"/>
      <c r="D8" s="520"/>
      <c r="E8" s="520"/>
      <c r="F8" s="52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6" t="str">
        <f>+Master!G246</f>
        <v>Jan - Dec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5" t="str">
        <f>+VLOOKUP($A10,Master!$D$29:$G$225,4,FALSE)</f>
        <v>Prihodi budžeta</v>
      </c>
      <c r="C10" s="486"/>
      <c r="D10" s="486"/>
      <c r="E10" s="486"/>
      <c r="F10" s="486"/>
      <c r="G10" s="151">
        <f>+G11+G19+SUM(G24:G28)</f>
        <v>88645432.13000001</v>
      </c>
      <c r="H10" s="151">
        <f t="shared" ref="H10:R10" si="1">+H11+H19+SUM(H24:H28)</f>
        <v>105602053.27</v>
      </c>
      <c r="I10" s="151">
        <f t="shared" si="1"/>
        <v>154129701.31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348377186.71000004</v>
      </c>
      <c r="T10" s="463">
        <f>+S10/$T$7*100</f>
        <v>7.5136347045248684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228312824.08000001</v>
      </c>
      <c r="T11" s="464">
        <f t="shared" ref="T11:T64" si="3">+S11/$T$7*100</f>
        <v>4.9241432101108575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v>3976518.5</v>
      </c>
      <c r="H12" s="163">
        <v>8360437.5599999996</v>
      </c>
      <c r="I12" s="163">
        <v>10457309.710000001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22794265.77</v>
      </c>
      <c r="T12" s="465">
        <f t="shared" si="3"/>
        <v>0.49161596363714788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v>779973.22</v>
      </c>
      <c r="H13" s="163">
        <v>1616177.79</v>
      </c>
      <c r="I13" s="163">
        <v>28472275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30868426.009999998</v>
      </c>
      <c r="T13" s="465">
        <f t="shared" si="3"/>
        <v>0.66575564012422883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v>115386.02</v>
      </c>
      <c r="H14" s="163">
        <v>87272.18</v>
      </c>
      <c r="I14" s="163">
        <v>106253.15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308911.34999999998</v>
      </c>
      <c r="T14" s="465">
        <f t="shared" si="3"/>
        <v>6.6624541690031482E-3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v>44109794.259999998</v>
      </c>
      <c r="H15" s="163">
        <v>35917952.619999997</v>
      </c>
      <c r="I15" s="163">
        <v>44544288.810000002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124572035.69</v>
      </c>
      <c r="T15" s="465">
        <f t="shared" si="3"/>
        <v>2.6867108590346374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v>16359067.73</v>
      </c>
      <c r="H16" s="163">
        <v>13163287.779999999</v>
      </c>
      <c r="I16" s="163">
        <v>12802969.220000001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42325324.729999997</v>
      </c>
      <c r="T16" s="465">
        <f t="shared" si="3"/>
        <v>0.91285262325842209</v>
      </c>
    </row>
    <row r="17" spans="1:23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v>1266274.3400000001</v>
      </c>
      <c r="H17" s="163">
        <v>1543418.52</v>
      </c>
      <c r="I17" s="163">
        <v>2245463.5699999998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5055156.43</v>
      </c>
      <c r="T17" s="465">
        <f t="shared" si="3"/>
        <v>0.1090272274942846</v>
      </c>
    </row>
    <row r="18" spans="1:23">
      <c r="A18" s="150">
        <v>7118</v>
      </c>
      <c r="B18" s="489" t="str">
        <f>+VLOOKUP($A18,Master!$D$29:$G$225,4,FALSE)</f>
        <v>Ostali državni porezi</v>
      </c>
      <c r="C18" s="490"/>
      <c r="D18" s="490"/>
      <c r="E18" s="490"/>
      <c r="F18" s="490"/>
      <c r="G18" s="163">
        <v>805882.43</v>
      </c>
      <c r="H18" s="163">
        <v>745043.91</v>
      </c>
      <c r="I18" s="163">
        <v>837777.76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2388704.1</v>
      </c>
      <c r="T18" s="465">
        <f t="shared" si="3"/>
        <v>5.1518442393132899E-2</v>
      </c>
    </row>
    <row r="19" spans="1:23">
      <c r="A19" s="150">
        <v>712</v>
      </c>
      <c r="B19" s="493" t="str">
        <f>+VLOOKUP($A19,Master!$D$29:$G$225,4,FALSE)</f>
        <v>Doprinosi</v>
      </c>
      <c r="C19" s="494"/>
      <c r="D19" s="494"/>
      <c r="E19" s="494"/>
      <c r="F19" s="494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100648998.08</v>
      </c>
      <c r="T19" s="466">
        <f t="shared" si="3"/>
        <v>2.1707500772117498</v>
      </c>
    </row>
    <row r="20" spans="1:23">
      <c r="A20" s="150">
        <v>7121</v>
      </c>
      <c r="B20" s="489" t="str">
        <f>+VLOOKUP($A20,Master!$D$29:$G$225,4,FALSE)</f>
        <v>Doprinosi za penzijsko i invalidsko osiguranje</v>
      </c>
      <c r="C20" s="490"/>
      <c r="D20" s="490"/>
      <c r="E20" s="490"/>
      <c r="F20" s="490"/>
      <c r="G20" s="163">
        <v>9950495.5</v>
      </c>
      <c r="H20" s="163">
        <v>22994578.370000001</v>
      </c>
      <c r="I20" s="163">
        <v>29662575.77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62607649.640000001</v>
      </c>
      <c r="T20" s="465">
        <f t="shared" si="3"/>
        <v>1.3502922322391409</v>
      </c>
    </row>
    <row r="21" spans="1:23">
      <c r="A21" s="150">
        <v>7122</v>
      </c>
      <c r="B21" s="489" t="str">
        <f>+VLOOKUP($A21,Master!$D$29:$G$225,4,FALSE)</f>
        <v>Doprinosi za zdravstveno osiguranje</v>
      </c>
      <c r="C21" s="490"/>
      <c r="D21" s="490"/>
      <c r="E21" s="490"/>
      <c r="F21" s="490"/>
      <c r="G21" s="163">
        <v>5150520.4400000004</v>
      </c>
      <c r="H21" s="163">
        <v>12116620.91</v>
      </c>
      <c r="I21" s="163">
        <v>15296477.220000001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32563618.57</v>
      </c>
      <c r="T21" s="465">
        <f t="shared" si="3"/>
        <v>0.70231675300867014</v>
      </c>
    </row>
    <row r="22" spans="1:23">
      <c r="A22" s="150">
        <v>7123</v>
      </c>
      <c r="B22" s="489" t="str">
        <f>+VLOOKUP($A22,Master!$D$29:$G$225,4,FALSE)</f>
        <v>Doprinosi za osiguranje od nezaposlenosti</v>
      </c>
      <c r="C22" s="490"/>
      <c r="D22" s="490"/>
      <c r="E22" s="490"/>
      <c r="F22" s="490"/>
      <c r="G22" s="163">
        <v>466272.92</v>
      </c>
      <c r="H22" s="163">
        <v>1105749.08</v>
      </c>
      <c r="I22" s="163">
        <v>1459515.26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3031537.26</v>
      </c>
      <c r="T22" s="465">
        <f t="shared" si="3"/>
        <v>6.5382764525730053E-2</v>
      </c>
    </row>
    <row r="23" spans="1:23">
      <c r="A23" s="150">
        <v>7124</v>
      </c>
      <c r="B23" s="489" t="str">
        <f>+VLOOKUP($A23,Master!$D$29:$G$225,4,FALSE)</f>
        <v>Ostali doprinosi</v>
      </c>
      <c r="C23" s="490"/>
      <c r="D23" s="490"/>
      <c r="E23" s="490"/>
      <c r="F23" s="490"/>
      <c r="G23" s="163">
        <v>364915.44</v>
      </c>
      <c r="H23" s="163">
        <v>899952.36</v>
      </c>
      <c r="I23" s="163">
        <v>1181324.81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2446192.6100000003</v>
      </c>
      <c r="T23" s="465">
        <f t="shared" si="3"/>
        <v>5.2758327438209039E-2</v>
      </c>
      <c r="W23" s="305"/>
    </row>
    <row r="24" spans="1:23">
      <c r="A24" s="150">
        <v>713</v>
      </c>
      <c r="B24" s="491" t="str">
        <f>+VLOOKUP($A24,Master!$D$29:$G$225,4,FALSE)</f>
        <v>Takse</v>
      </c>
      <c r="C24" s="492"/>
      <c r="D24" s="492"/>
      <c r="E24" s="492"/>
      <c r="F24" s="492"/>
      <c r="G24" s="175">
        <v>584646.94000000006</v>
      </c>
      <c r="H24" s="175">
        <v>704783.95</v>
      </c>
      <c r="I24" s="175">
        <v>824101.26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2113532.1500000004</v>
      </c>
      <c r="T24" s="466">
        <f t="shared" si="3"/>
        <v>4.5583663675969464E-2</v>
      </c>
      <c r="W24" s="305"/>
    </row>
    <row r="25" spans="1:23">
      <c r="A25" s="150">
        <v>714</v>
      </c>
      <c r="B25" s="491" t="str">
        <f>+VLOOKUP($A25,Master!$D$29:$G$225,4,FALSE)</f>
        <v>Naknade</v>
      </c>
      <c r="C25" s="492"/>
      <c r="D25" s="492"/>
      <c r="E25" s="492"/>
      <c r="F25" s="492"/>
      <c r="G25" s="175">
        <v>2883058.19</v>
      </c>
      <c r="H25" s="175">
        <v>2375091.2999999998</v>
      </c>
      <c r="I25" s="175">
        <v>2388170.21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7646319.7000000002</v>
      </c>
      <c r="T25" s="466">
        <f t="shared" si="3"/>
        <v>0.16491221369106673</v>
      </c>
    </row>
    <row r="26" spans="1:23">
      <c r="A26" s="150">
        <v>715</v>
      </c>
      <c r="B26" s="491" t="str">
        <f>+VLOOKUP($A26,Master!$D$29:$G$225,4,FALSE)</f>
        <v>Ostali prihodi</v>
      </c>
      <c r="C26" s="492"/>
      <c r="D26" s="492"/>
      <c r="E26" s="492"/>
      <c r="F26" s="492"/>
      <c r="G26" s="175">
        <v>1525774.85</v>
      </c>
      <c r="H26" s="175">
        <v>1791757.35</v>
      </c>
      <c r="I26" s="175">
        <v>1696316.84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5013849.04</v>
      </c>
      <c r="T26" s="466">
        <f t="shared" si="3"/>
        <v>0.10813632920674632</v>
      </c>
    </row>
    <row r="27" spans="1:23">
      <c r="A27" s="150">
        <v>73</v>
      </c>
      <c r="B27" s="491" t="str">
        <f>+VLOOKUP($A27,Master!$D$29:$G$225,4,FALSE)</f>
        <v>Primici od otplate kredita i sredstva prenesena iz prethodne godine</v>
      </c>
      <c r="C27" s="492"/>
      <c r="D27" s="492"/>
      <c r="E27" s="492"/>
      <c r="F27" s="492"/>
      <c r="G27" s="175">
        <v>110781.34</v>
      </c>
      <c r="H27" s="175">
        <v>820681.81</v>
      </c>
      <c r="I27" s="175">
        <v>648742.61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1580205.76</v>
      </c>
      <c r="T27" s="466">
        <f t="shared" si="3"/>
        <v>3.4081131863865764E-2</v>
      </c>
    </row>
    <row r="28" spans="1:23" ht="13.5" thickBot="1">
      <c r="A28" s="150">
        <v>74</v>
      </c>
      <c r="B28" s="495" t="str">
        <f>+VLOOKUP($A28,Master!$D$29:$G$225,4,FALSE)</f>
        <v>Donacije i transferi</v>
      </c>
      <c r="C28" s="496"/>
      <c r="D28" s="496"/>
      <c r="E28" s="496"/>
      <c r="F28" s="496"/>
      <c r="G28" s="175">
        <v>196070.01</v>
      </c>
      <c r="H28" s="175">
        <v>1359247.78</v>
      </c>
      <c r="I28" s="175">
        <v>1506140.11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3061457.9000000004</v>
      </c>
      <c r="T28" s="467">
        <f t="shared" si="3"/>
        <v>6.6028078764612003E-2</v>
      </c>
    </row>
    <row r="29" spans="1:23" ht="13.5" thickBot="1">
      <c r="A29" s="150">
        <v>4</v>
      </c>
      <c r="B29" s="497" t="str">
        <f>+VLOOKUP($A29,Master!$D$29:$G$225,4,FALSE)</f>
        <v>Izdaci budžeta</v>
      </c>
      <c r="C29" s="498"/>
      <c r="D29" s="498"/>
      <c r="E29" s="498"/>
      <c r="F29" s="498"/>
      <c r="G29" s="151">
        <f>+G30+G40+G46+SUM(G47:G51)</f>
        <v>127402370.03</v>
      </c>
      <c r="H29" s="151">
        <f t="shared" ref="H29:R29" si="6">+H30+H40+H46+SUM(H47:H51)</f>
        <v>159900814.89000002</v>
      </c>
      <c r="I29" s="151">
        <f t="shared" si="6"/>
        <v>164554451.06999999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451857635.99000001</v>
      </c>
      <c r="T29" s="468">
        <f t="shared" si="3"/>
        <v>9.7454521845749049</v>
      </c>
    </row>
    <row r="30" spans="1:23">
      <c r="A30" s="150">
        <v>41</v>
      </c>
      <c r="B30" s="501" t="str">
        <f>+VLOOKUP($A30,Master!$D$29:$G$225,4,FALSE)</f>
        <v>Tekući izdaci</v>
      </c>
      <c r="C30" s="502"/>
      <c r="D30" s="502"/>
      <c r="E30" s="502"/>
      <c r="F30" s="502"/>
      <c r="G30" s="187">
        <f t="shared" ref="G30:R30" si="7">+SUM(G31:G39)</f>
        <v>51210956.690000005</v>
      </c>
      <c r="H30" s="187">
        <f t="shared" si="7"/>
        <v>62968784.99000001</v>
      </c>
      <c r="I30" s="187">
        <f t="shared" si="7"/>
        <v>74943871.519999996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189123613.19999999</v>
      </c>
      <c r="T30" s="464">
        <f t="shared" si="3"/>
        <v>4.0789288099038084</v>
      </c>
      <c r="U30" s="242"/>
    </row>
    <row r="31" spans="1:23">
      <c r="A31" s="150">
        <v>411</v>
      </c>
      <c r="B31" s="489" t="str">
        <f>+VLOOKUP($A31,Master!$D$29:$G$225,4,FALSE)</f>
        <v>Bruto zarade i doprinosi na teret poslodavca</v>
      </c>
      <c r="C31" s="490"/>
      <c r="D31" s="490"/>
      <c r="E31" s="490"/>
      <c r="F31" s="490"/>
      <c r="G31" s="163">
        <v>40605076.340000004</v>
      </c>
      <c r="H31" s="163">
        <v>49306948.350000001</v>
      </c>
      <c r="I31" s="163">
        <v>44665337.729999997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134577362.41999999</v>
      </c>
      <c r="T31" s="465">
        <f t="shared" si="3"/>
        <v>2.9025010227321744</v>
      </c>
    </row>
    <row r="32" spans="1:23">
      <c r="A32" s="150">
        <v>412</v>
      </c>
      <c r="B32" s="489" t="str">
        <f>+VLOOKUP($A32,Master!$D$29:$G$225,4,FALSE)</f>
        <v>Ostala lična primanja</v>
      </c>
      <c r="C32" s="490"/>
      <c r="D32" s="490"/>
      <c r="E32" s="490"/>
      <c r="F32" s="490"/>
      <c r="G32" s="163">
        <v>108603.95</v>
      </c>
      <c r="H32" s="163">
        <v>889477.21</v>
      </c>
      <c r="I32" s="163">
        <v>864572.5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1862653.66</v>
      </c>
      <c r="T32" s="465">
        <f t="shared" si="3"/>
        <v>4.0172834835871106E-2</v>
      </c>
      <c r="U32" s="458"/>
    </row>
    <row r="33" spans="1:21">
      <c r="A33" s="150">
        <v>413</v>
      </c>
      <c r="B33" s="489" t="str">
        <f>+VLOOKUP($A33,Master!$D$29:$G$225,4,FALSE)</f>
        <v>Rashodi za materijal</v>
      </c>
      <c r="C33" s="490"/>
      <c r="D33" s="490"/>
      <c r="E33" s="490"/>
      <c r="F33" s="490"/>
      <c r="G33" s="163">
        <v>596838.26</v>
      </c>
      <c r="H33" s="163">
        <v>1661848.94</v>
      </c>
      <c r="I33" s="163">
        <v>2846615.59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5105302.79</v>
      </c>
      <c r="T33" s="465">
        <f t="shared" si="3"/>
        <v>0.11010876051416986</v>
      </c>
      <c r="U33" s="458"/>
    </row>
    <row r="34" spans="1:21" s="362" customFormat="1">
      <c r="A34" s="361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v>1050676.99</v>
      </c>
      <c r="H34" s="163">
        <v>2624320.42</v>
      </c>
      <c r="I34" s="163">
        <v>3354943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7029940.4100000001</v>
      </c>
      <c r="T34" s="465">
        <f t="shared" si="3"/>
        <v>0.15161843613854981</v>
      </c>
      <c r="U34" s="458"/>
    </row>
    <row r="35" spans="1:21">
      <c r="A35" s="150">
        <v>415</v>
      </c>
      <c r="B35" s="489" t="str">
        <f>+VLOOKUP($A35,Master!$D$29:$G$225,4,FALSE)</f>
        <v>Rashodi za tekuće održavanje</v>
      </c>
      <c r="C35" s="490"/>
      <c r="D35" s="490"/>
      <c r="E35" s="490"/>
      <c r="F35" s="490"/>
      <c r="G35" s="163">
        <v>189404.04</v>
      </c>
      <c r="H35" s="163">
        <v>914551.09</v>
      </c>
      <c r="I35" s="163">
        <v>2439729.2400000002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3543684.37</v>
      </c>
      <c r="T35" s="465">
        <f t="shared" si="3"/>
        <v>7.6428511624897555E-2</v>
      </c>
      <c r="U35" s="458"/>
    </row>
    <row r="36" spans="1:21">
      <c r="A36" s="150">
        <v>416</v>
      </c>
      <c r="B36" s="489" t="str">
        <f>+VLOOKUP($A36,Master!$D$29:$G$225,4,FALSE)</f>
        <v>Kamate</v>
      </c>
      <c r="C36" s="490"/>
      <c r="D36" s="490"/>
      <c r="E36" s="490"/>
      <c r="F36" s="490"/>
      <c r="G36" s="163">
        <v>7578157.1100000003</v>
      </c>
      <c r="H36" s="163">
        <v>1964752.74</v>
      </c>
      <c r="I36" s="163">
        <v>14795280.960000001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24338190.810000002</v>
      </c>
      <c r="T36" s="465">
        <f t="shared" si="3"/>
        <v>0.52491461005909512</v>
      </c>
      <c r="U36" s="458"/>
    </row>
    <row r="37" spans="1:21">
      <c r="A37" s="150">
        <v>417</v>
      </c>
      <c r="B37" s="489" t="str">
        <f>+VLOOKUP($A37,Master!$D$29:$G$225,4,FALSE)</f>
        <v>Renta</v>
      </c>
      <c r="C37" s="490"/>
      <c r="D37" s="490"/>
      <c r="E37" s="490"/>
      <c r="F37" s="490"/>
      <c r="G37" s="163">
        <v>38595.83</v>
      </c>
      <c r="H37" s="163">
        <v>967161.85</v>
      </c>
      <c r="I37" s="163">
        <v>803228.89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1808986.5699999998</v>
      </c>
      <c r="T37" s="465">
        <f t="shared" si="3"/>
        <v>3.9015368373377039E-2</v>
      </c>
      <c r="U37" s="458"/>
    </row>
    <row r="38" spans="1:21">
      <c r="A38" s="150">
        <v>418</v>
      </c>
      <c r="B38" s="489" t="str">
        <f>+VLOOKUP($A38,Master!$D$29:$G$225,4,FALSE)</f>
        <v>Subvencije</v>
      </c>
      <c r="C38" s="490"/>
      <c r="D38" s="490"/>
      <c r="E38" s="490"/>
      <c r="F38" s="490"/>
      <c r="G38" s="163">
        <v>250639.34</v>
      </c>
      <c r="H38" s="163">
        <v>2319834.88</v>
      </c>
      <c r="I38" s="163">
        <v>1744604.63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4315078.8499999996</v>
      </c>
      <c r="T38" s="465">
        <f t="shared" si="3"/>
        <v>9.3065583617305769E-2</v>
      </c>
      <c r="U38" s="458"/>
    </row>
    <row r="39" spans="1:21" s="362" customFormat="1">
      <c r="A39" s="361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v>792964.83</v>
      </c>
      <c r="H39" s="163">
        <v>2319889.5099999998</v>
      </c>
      <c r="I39" s="163">
        <v>3429558.98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6542413.3200000003</v>
      </c>
      <c r="T39" s="465">
        <f t="shared" si="3"/>
        <v>0.1411036820083682</v>
      </c>
      <c r="U39" s="458"/>
    </row>
    <row r="40" spans="1:21">
      <c r="A40" s="150">
        <v>42</v>
      </c>
      <c r="B40" s="505" t="str">
        <f>+VLOOKUP($A40,Master!$D$29:$G$225,4,FALSE)</f>
        <v>Transferi za socijalnu zaštitu</v>
      </c>
      <c r="C40" s="506"/>
      <c r="D40" s="506"/>
      <c r="E40" s="506"/>
      <c r="F40" s="50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75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137224210.57999998</v>
      </c>
      <c r="T40" s="466">
        <f t="shared" si="3"/>
        <v>2.9595869943493072</v>
      </c>
      <c r="U40" s="242"/>
    </row>
    <row r="41" spans="1:21">
      <c r="A41" s="150">
        <v>421</v>
      </c>
      <c r="B41" s="489" t="str">
        <f>+VLOOKUP($A41,Master!$D$29:$G$225,4,FALSE)</f>
        <v>Prava iz oblasti socijalne zaštite</v>
      </c>
      <c r="C41" s="490"/>
      <c r="D41" s="490"/>
      <c r="E41" s="490"/>
      <c r="F41" s="490"/>
      <c r="G41" s="163">
        <v>6454244.7199999997</v>
      </c>
      <c r="H41" s="163">
        <v>6750144.4400000004</v>
      </c>
      <c r="I41" s="163">
        <v>6520717.1299999999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19725106.289999999</v>
      </c>
      <c r="T41" s="465">
        <f t="shared" si="3"/>
        <v>0.42542178083078114</v>
      </c>
      <c r="U41" s="458"/>
    </row>
    <row r="42" spans="1:21">
      <c r="A42" s="150">
        <v>422</v>
      </c>
      <c r="B42" s="489" t="str">
        <f>+VLOOKUP($A42,Master!$D$29:$G$225,4,FALSE)</f>
        <v>Sredstva za tehnološke viškove</v>
      </c>
      <c r="C42" s="490"/>
      <c r="D42" s="490"/>
      <c r="E42" s="490"/>
      <c r="F42" s="490"/>
      <c r="G42" s="163">
        <v>7431.6</v>
      </c>
      <c r="H42" s="163">
        <v>1490578.4</v>
      </c>
      <c r="I42" s="163">
        <v>1502929.47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3000939.4699999997</v>
      </c>
      <c r="T42" s="465">
        <f t="shared" si="3"/>
        <v>6.472284583531035E-2</v>
      </c>
      <c r="U42" s="458"/>
    </row>
    <row r="43" spans="1:21">
      <c r="A43" s="150">
        <v>423</v>
      </c>
      <c r="B43" s="489" t="str">
        <f>+VLOOKUP($A43,Master!$D$29:$G$225,4,FALSE)</f>
        <v>Prava iz oblasti penzijskog i invalidskog osiguranja</v>
      </c>
      <c r="C43" s="490"/>
      <c r="D43" s="490"/>
      <c r="E43" s="490"/>
      <c r="F43" s="490"/>
      <c r="G43" s="163">
        <v>35881608.200000003</v>
      </c>
      <c r="H43" s="163">
        <v>36381736.170000002</v>
      </c>
      <c r="I43" s="163">
        <v>36148021.82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108411366.19</v>
      </c>
      <c r="T43" s="465">
        <f t="shared" si="3"/>
        <v>2.3381651682267175</v>
      </c>
      <c r="U43" s="458"/>
    </row>
    <row r="44" spans="1:21">
      <c r="A44" s="150">
        <v>424</v>
      </c>
      <c r="B44" s="489" t="str">
        <f>+VLOOKUP($A44,Master!$D$29:$G$225,4,FALSE)</f>
        <v>Ostala prava iz oblasti zdravstvene zaštite</v>
      </c>
      <c r="C44" s="490"/>
      <c r="D44" s="490"/>
      <c r="E44" s="490"/>
      <c r="F44" s="490"/>
      <c r="G44" s="163">
        <v>828960.19</v>
      </c>
      <c r="H44" s="163">
        <v>1147931.58</v>
      </c>
      <c r="I44" s="163">
        <v>1836110.36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3813002.13</v>
      </c>
      <c r="T44" s="465">
        <f t="shared" si="3"/>
        <v>8.2237029935728762E-2</v>
      </c>
      <c r="U44" s="458"/>
    </row>
    <row r="45" spans="1:21" s="362" customFormat="1">
      <c r="A45" s="361">
        <v>425</v>
      </c>
      <c r="B45" s="538" t="str">
        <f>+VLOOKUP($A45,Master!$D$29:$G$225,4,FALSE)</f>
        <v>Ostala prava iz zdravstvenog osiguranja</v>
      </c>
      <c r="C45" s="539"/>
      <c r="D45" s="539"/>
      <c r="E45" s="539"/>
      <c r="F45" s="539"/>
      <c r="G45" s="163">
        <v>613716.55000000005</v>
      </c>
      <c r="H45" s="163">
        <v>198574.09</v>
      </c>
      <c r="I45" s="163">
        <v>1461505.86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2273796.5</v>
      </c>
      <c r="T45" s="465">
        <f t="shared" si="3"/>
        <v>4.9040169520769526E-2</v>
      </c>
      <c r="U45" s="458"/>
    </row>
    <row r="46" spans="1:21">
      <c r="A46" s="150">
        <v>43</v>
      </c>
      <c r="B46" s="503" t="str">
        <f>+VLOOKUP($A46,Master!$D$29:$G$225,4,FALSE)</f>
        <v xml:space="preserve">Transferi institucijama, pojedincima, nevladinom i javnom sektoru </v>
      </c>
      <c r="C46" s="504"/>
      <c r="D46" s="504"/>
      <c r="E46" s="504"/>
      <c r="F46" s="504"/>
      <c r="G46" s="175">
        <v>12392775.73</v>
      </c>
      <c r="H46" s="175">
        <v>21090087.879999999</v>
      </c>
      <c r="I46" s="175">
        <v>23735027.57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57217891.18</v>
      </c>
      <c r="T46" s="466">
        <f t="shared" si="3"/>
        <v>1.2340484661174136</v>
      </c>
      <c r="U46" s="482"/>
    </row>
    <row r="47" spans="1:21">
      <c r="A47" s="150">
        <v>44</v>
      </c>
      <c r="B47" s="503" t="str">
        <f>+VLOOKUP($A47,Master!$D$29:$G$225,4,FALSE)</f>
        <v>Kapitalni izdaci</v>
      </c>
      <c r="C47" s="504"/>
      <c r="D47" s="504"/>
      <c r="E47" s="504"/>
      <c r="F47" s="504"/>
      <c r="G47" s="175">
        <v>11603510.130000001</v>
      </c>
      <c r="H47" s="175">
        <v>7242535.6100000003</v>
      </c>
      <c r="I47" s="175">
        <v>8279888.46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27125934.200000003</v>
      </c>
      <c r="T47" s="466">
        <f t="shared" si="3"/>
        <v>0.58503934348444986</v>
      </c>
      <c r="U47" s="482"/>
    </row>
    <row r="48" spans="1:21">
      <c r="A48" s="150">
        <v>451</v>
      </c>
      <c r="B48" s="540" t="str">
        <f>+VLOOKUP($A48,Master!$D$29:$G$225,4,FALSE)</f>
        <v>Pozajmice i krediti</v>
      </c>
      <c r="C48" s="541"/>
      <c r="D48" s="541"/>
      <c r="E48" s="541"/>
      <c r="F48" s="541"/>
      <c r="G48" s="163">
        <v>0</v>
      </c>
      <c r="H48" s="163">
        <v>259894</v>
      </c>
      <c r="I48" s="163">
        <v>5000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264894</v>
      </c>
      <c r="T48" s="465">
        <f t="shared" si="3"/>
        <v>5.7131087434758232E-3</v>
      </c>
      <c r="U48" s="482"/>
    </row>
    <row r="49" spans="1:21" s="362" customFormat="1">
      <c r="A49" s="361">
        <v>47</v>
      </c>
      <c r="B49" s="547" t="str">
        <f>+VLOOKUP($A49,Master!$D$29:$G$225,4,FALSE)</f>
        <v>Rezerve</v>
      </c>
      <c r="C49" s="548"/>
      <c r="D49" s="548"/>
      <c r="E49" s="548"/>
      <c r="F49" s="548"/>
      <c r="G49" s="163">
        <v>3553855.38</v>
      </c>
      <c r="H49" s="163">
        <v>20728264.5</v>
      </c>
      <c r="I49" s="163">
        <v>8526683.3100000005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32808803.189999998</v>
      </c>
      <c r="T49" s="465">
        <f t="shared" si="3"/>
        <v>0.70760477914851394</v>
      </c>
      <c r="U49" s="482"/>
    </row>
    <row r="50" spans="1:21" ht="13.5" thickBot="1">
      <c r="A50" s="150">
        <v>462</v>
      </c>
      <c r="B50" s="509" t="str">
        <f>+VLOOKUP($A50,Master!$D$29:$G$225,4,FALSE)</f>
        <v>Otplata garancija</v>
      </c>
      <c r="C50" s="510"/>
      <c r="D50" s="510"/>
      <c r="E50" s="510"/>
      <c r="F50" s="510"/>
      <c r="G50" s="163">
        <v>3836366.14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3836366.14</v>
      </c>
      <c r="T50" s="465">
        <f t="shared" si="3"/>
        <v>8.2740933873959366E-2</v>
      </c>
      <c r="U50" s="482"/>
    </row>
    <row r="51" spans="1:21" ht="13.5" thickBot="1">
      <c r="A51" s="144">
        <v>4630</v>
      </c>
      <c r="B51" s="549" t="str">
        <f>+VLOOKUP($A51,Master!$D$29:$G$225,4,TRUE)</f>
        <v>Otplata obaveza iz prethodnog perioda</v>
      </c>
      <c r="C51" s="550"/>
      <c r="D51" s="550"/>
      <c r="E51" s="550"/>
      <c r="F51" s="550"/>
      <c r="G51" s="459">
        <v>1018944.7</v>
      </c>
      <c r="H51" s="459">
        <v>1642283.23</v>
      </c>
      <c r="I51" s="459">
        <v>1594695.57</v>
      </c>
      <c r="J51" s="459">
        <v>0</v>
      </c>
      <c r="K51" s="459">
        <v>0</v>
      </c>
      <c r="L51" s="459">
        <v>0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4255923.5</v>
      </c>
      <c r="T51" s="469">
        <f t="shared" si="3"/>
        <v>9.1789748953974903E-2</v>
      </c>
      <c r="U51" s="482"/>
    </row>
    <row r="52" spans="1:21" ht="13.5" thickBot="1">
      <c r="A52" s="70">
        <v>1005</v>
      </c>
      <c r="B52" s="551" t="str">
        <f>+VLOOKUP($A52,Master!$D$29:$G$227,4,FALSE)</f>
        <v>Neto povećanje obaveza</v>
      </c>
      <c r="C52" s="552"/>
      <c r="D52" s="552"/>
      <c r="E52" s="552"/>
      <c r="F52" s="552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9">+G10-G29</f>
        <v>-38756937.899999991</v>
      </c>
      <c r="H53" s="151">
        <f t="shared" si="9"/>
        <v>-54298761.62000002</v>
      </c>
      <c r="I53" s="151">
        <f t="shared" si="9"/>
        <v>-10424749.75999999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-103480449.28</v>
      </c>
      <c r="T53" s="471">
        <f t="shared" si="3"/>
        <v>-2.2318174800500366</v>
      </c>
    </row>
    <row r="54" spans="1:21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10">+G53+G36</f>
        <v>-31178780.789999992</v>
      </c>
      <c r="H54" s="205">
        <f t="shared" si="10"/>
        <v>-52334008.880000018</v>
      </c>
      <c r="I54" s="205">
        <f t="shared" si="10"/>
        <v>4370531.2000000104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-79142258.469999999</v>
      </c>
      <c r="T54" s="471">
        <f t="shared" si="3"/>
        <v>-1.7069028699909414</v>
      </c>
    </row>
    <row r="55" spans="1:21">
      <c r="A55" s="144">
        <v>46</v>
      </c>
      <c r="B55" s="545" t="str">
        <f>+VLOOKUP($A55,Master!$D$29:$G$225,4,FALSE)</f>
        <v>Otplata dugova</v>
      </c>
      <c r="C55" s="546"/>
      <c r="D55" s="546"/>
      <c r="E55" s="546"/>
      <c r="F55" s="546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286369561.41000003</v>
      </c>
      <c r="T55" s="472">
        <f t="shared" si="3"/>
        <v>6.1762835139973262</v>
      </c>
    </row>
    <row r="56" spans="1:21">
      <c r="A56" s="144">
        <v>4611</v>
      </c>
      <c r="B56" s="531" t="str">
        <f>+VLOOKUP($A56,Master!$D$29:$G$225,4,FALSE)</f>
        <v>Otplata hartija od vrijednosti i kredita rezidentima</v>
      </c>
      <c r="C56" s="532"/>
      <c r="D56" s="532"/>
      <c r="E56" s="532"/>
      <c r="F56" s="532"/>
      <c r="G56" s="211">
        <v>21900000</v>
      </c>
      <c r="H56" s="211">
        <v>13534429.810000001</v>
      </c>
      <c r="I56" s="211">
        <v>2399482.21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37833912.020000003</v>
      </c>
      <c r="T56" s="473">
        <f t="shared" si="3"/>
        <v>0.81598395419057079</v>
      </c>
    </row>
    <row r="57" spans="1:21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v>1430768.82</v>
      </c>
      <c r="H57" s="211">
        <v>10720591.539999999</v>
      </c>
      <c r="I57" s="211">
        <v>236384289.03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248535649.38999999</v>
      </c>
      <c r="T57" s="473">
        <f t="shared" si="3"/>
        <v>5.3602995598067551</v>
      </c>
    </row>
    <row r="58" spans="1:21" ht="13.5" thickBot="1">
      <c r="A58" s="144">
        <v>4418</v>
      </c>
      <c r="B58" s="499" t="str">
        <f>+VLOOKUP($A58,Master!$D$29:$G$225,4,FALSE)</f>
        <v>Izdaci za kupovinu hartija od vrijednosti</v>
      </c>
      <c r="C58" s="500"/>
      <c r="D58" s="500"/>
      <c r="E58" s="500"/>
      <c r="F58" s="500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-62087706.719999991</v>
      </c>
      <c r="H59" s="217">
        <f t="shared" ref="H59:R59" si="12">+H53-H55-H58</f>
        <v>-78553782.970000029</v>
      </c>
      <c r="I59" s="217">
        <f t="shared" si="12"/>
        <v>-249208521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-389850010.69000006</v>
      </c>
      <c r="T59" s="475">
        <f t="shared" si="3"/>
        <v>-8.4081009940473646</v>
      </c>
    </row>
    <row r="60" spans="1:21" ht="13.5" thickBot="1">
      <c r="A60" s="144">
        <v>1003</v>
      </c>
      <c r="B60" s="497" t="str">
        <f>+VLOOKUP($A60,Master!$D$29:$G$225,4,FALSE)</f>
        <v>Finansiranje</v>
      </c>
      <c r="C60" s="498"/>
      <c r="D60" s="498"/>
      <c r="E60" s="498"/>
      <c r="F60" s="498"/>
      <c r="G60" s="151">
        <f>+SUM(G61:G64)</f>
        <v>62087706.719999991</v>
      </c>
      <c r="H60" s="151">
        <f t="shared" ref="H60:R60" si="13">+SUM(H61:H64)</f>
        <v>78553782.970000029</v>
      </c>
      <c r="I60" s="151">
        <f t="shared" si="13"/>
        <v>249208521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389850010.69000006</v>
      </c>
      <c r="T60" s="476">
        <f t="shared" si="3"/>
        <v>8.4081009940473646</v>
      </c>
    </row>
    <row r="61" spans="1:21">
      <c r="A61" s="144">
        <v>7511</v>
      </c>
      <c r="B61" s="531" t="str">
        <f>+VLOOKUP($A61,Master!$D$29:$G$225,4,FALSE)</f>
        <v>Pozajmice i krediti od domaćih izvora</v>
      </c>
      <c r="C61" s="532"/>
      <c r="D61" s="532"/>
      <c r="E61" s="532"/>
      <c r="F61" s="532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v>7388647.9800000004</v>
      </c>
      <c r="H62" s="211">
        <v>2794027.91</v>
      </c>
      <c r="I62" s="211">
        <v>392627.11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10575303</v>
      </c>
      <c r="T62" s="473">
        <f t="shared" si="3"/>
        <v>0.22808314282016995</v>
      </c>
    </row>
    <row r="63" spans="1:21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v>34748.61</v>
      </c>
      <c r="H63" s="211">
        <v>29568.33</v>
      </c>
      <c r="I63" s="211">
        <v>52164.39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116481.33</v>
      </c>
      <c r="T63" s="473">
        <f t="shared" si="3"/>
        <v>2.5122143380925679E-3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54664310.129999988</v>
      </c>
      <c r="H64" s="225">
        <f t="shared" ref="H64:R64" si="14">-H59-SUM(H61:H63)</f>
        <v>75730186.730000034</v>
      </c>
      <c r="I64" s="225">
        <f t="shared" si="14"/>
        <v>248763729.5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379158226.36000001</v>
      </c>
      <c r="T64" s="477">
        <f t="shared" si="3"/>
        <v>8.1775056368890997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59" t="str">
        <f>+Master!G252</f>
        <v>Plan ostvarenja budžeta</v>
      </c>
      <c r="C81" s="560"/>
      <c r="D81" s="560"/>
      <c r="E81" s="560"/>
      <c r="F81" s="560"/>
      <c r="G81" s="542">
        <v>2021</v>
      </c>
      <c r="H81" s="543"/>
      <c r="I81" s="543"/>
      <c r="J81" s="543"/>
      <c r="K81" s="543"/>
      <c r="L81" s="543"/>
      <c r="M81" s="543"/>
      <c r="N81" s="543"/>
      <c r="O81" s="543"/>
      <c r="P81" s="543"/>
      <c r="Q81" s="543"/>
      <c r="R81" s="544"/>
      <c r="S81" s="107" t="str">
        <f>+S7</f>
        <v>BDP</v>
      </c>
      <c r="T81" s="108">
        <v>4636600000</v>
      </c>
    </row>
    <row r="82" spans="1:21" ht="15.75" customHeight="1">
      <c r="B82" s="561"/>
      <c r="C82" s="562"/>
      <c r="D82" s="562"/>
      <c r="E82" s="562"/>
      <c r="F82" s="563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42" t="str">
        <f>+Master!G246</f>
        <v>Jan - Dec</v>
      </c>
      <c r="T82" s="544">
        <f>+T8</f>
        <v>0</v>
      </c>
    </row>
    <row r="83" spans="1:21" ht="13.5" thickBot="1">
      <c r="B83" s="564"/>
      <c r="C83" s="565"/>
      <c r="D83" s="565"/>
      <c r="E83" s="565"/>
      <c r="F83" s="566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53" t="str">
        <f>+VLOOKUP(LEFT($A84,LEN(A84)-1)*1,Master!$D$29:$G$225,4,FALSE)</f>
        <v>Prihodi budžeta</v>
      </c>
      <c r="C84" s="554"/>
      <c r="D84" s="554"/>
      <c r="E84" s="554"/>
      <c r="F84" s="554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0</v>
      </c>
      <c r="K84" s="93">
        <f t="shared" si="18"/>
        <v>0</v>
      </c>
      <c r="L84" s="93">
        <f t="shared" si="18"/>
        <v>0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332469039.9808085</v>
      </c>
      <c r="T84" s="478">
        <f>+S84/$T$81*100</f>
        <v>7.1705353056293077</v>
      </c>
    </row>
    <row r="85" spans="1:21">
      <c r="A85" s="116" t="str">
        <f t="shared" si="17"/>
        <v>711p</v>
      </c>
      <c r="B85" s="555" t="str">
        <f>+VLOOKUP(LEFT($A85,LEN(A85)-1)*1,Master!$D$29:$G$225,4,FALSE)</f>
        <v>Porezi</v>
      </c>
      <c r="C85" s="556"/>
      <c r="D85" s="556"/>
      <c r="E85" s="556"/>
      <c r="F85" s="556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0</v>
      </c>
      <c r="K85" s="79">
        <f t="shared" si="19"/>
        <v>0</v>
      </c>
      <c r="L85" s="79">
        <f t="shared" si="19"/>
        <v>0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211623290.14455384</v>
      </c>
      <c r="T85" s="464">
        <f t="shared" ref="T85:T138" si="21">+S85/$T$81*100</f>
        <v>4.5641912208202964</v>
      </c>
      <c r="U85" s="257"/>
    </row>
    <row r="86" spans="1:21">
      <c r="A86" s="116" t="str">
        <f t="shared" si="17"/>
        <v>7111p</v>
      </c>
      <c r="B86" s="557" t="str">
        <f>+VLOOKUP(LEFT($A86,LEN(A86)-1)*1,Master!$D$29:$G$228,4,FALSE)</f>
        <v>Porez na dohodak fizičkih lica</v>
      </c>
      <c r="C86" s="558"/>
      <c r="D86" s="558"/>
      <c r="E86" s="558"/>
      <c r="F86" s="558"/>
      <c r="G86" s="87">
        <v>4204850.3434498608</v>
      </c>
      <c r="H86" s="87">
        <v>9282052.3748957608</v>
      </c>
      <c r="I86" s="87">
        <v>8968045.92361046</v>
      </c>
      <c r="J86" s="87">
        <v>0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22454948.641956083</v>
      </c>
      <c r="T86" s="465">
        <f t="shared" si="21"/>
        <v>0.48429773200095078</v>
      </c>
    </row>
    <row r="87" spans="1:21">
      <c r="A87" s="116" t="str">
        <f t="shared" si="17"/>
        <v>7112p</v>
      </c>
      <c r="B87" s="557" t="str">
        <f>+VLOOKUP(LEFT($A87,LEN(A87)-1)*1,Master!$D$29:$G$228,4,FALSE)</f>
        <v>Porez na dobit pravnih lica</v>
      </c>
      <c r="C87" s="558"/>
      <c r="D87" s="558"/>
      <c r="E87" s="558"/>
      <c r="F87" s="558"/>
      <c r="G87" s="87">
        <v>762584.85039051238</v>
      </c>
      <c r="H87" s="87">
        <v>1597504.5279576874</v>
      </c>
      <c r="I87" s="87">
        <v>16286919.813094042</v>
      </c>
      <c r="J87" s="87">
        <v>0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18647009.191442244</v>
      </c>
      <c r="T87" s="465">
        <f t="shared" si="21"/>
        <v>0.40216989154644012</v>
      </c>
    </row>
    <row r="88" spans="1:21">
      <c r="A88" s="116" t="str">
        <f t="shared" si="17"/>
        <v>7113p</v>
      </c>
      <c r="B88" s="557" t="str">
        <f>+VLOOKUP(LEFT($A88,LEN(A88)-1)*1,Master!$D$29:$G$228,4,FALSE)</f>
        <v>Porez na promet nepokretnosti</v>
      </c>
      <c r="C88" s="558"/>
      <c r="D88" s="558"/>
      <c r="E88" s="558"/>
      <c r="F88" s="558"/>
      <c r="G88" s="87">
        <v>106237.04972025521</v>
      </c>
      <c r="H88" s="87">
        <v>152350.26587005192</v>
      </c>
      <c r="I88" s="87">
        <v>131491.90722034202</v>
      </c>
      <c r="J88" s="87">
        <v>0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390079.22281064914</v>
      </c>
      <c r="T88" s="465">
        <f t="shared" si="21"/>
        <v>8.4130445328613451E-3</v>
      </c>
    </row>
    <row r="89" spans="1:21">
      <c r="A89" s="116" t="str">
        <f t="shared" si="17"/>
        <v>7114p</v>
      </c>
      <c r="B89" s="557" t="str">
        <f>+VLOOKUP(LEFT($A89,LEN(A89)-1)*1,Master!$D$29:$G$228,4,FALSE)</f>
        <v>Porez na dodatu vrijednost</v>
      </c>
      <c r="C89" s="558"/>
      <c r="D89" s="558"/>
      <c r="E89" s="558"/>
      <c r="F89" s="558"/>
      <c r="G89" s="87">
        <v>44084379.54246141</v>
      </c>
      <c r="H89" s="87">
        <v>34454383.95727095</v>
      </c>
      <c r="I89" s="87">
        <v>44660112.929988585</v>
      </c>
      <c r="J89" s="87">
        <v>0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123198876.42972094</v>
      </c>
      <c r="T89" s="465">
        <f t="shared" si="21"/>
        <v>2.6570952083363011</v>
      </c>
    </row>
    <row r="90" spans="1:21">
      <c r="A90" s="116" t="str">
        <f t="shared" si="17"/>
        <v>7115p</v>
      </c>
      <c r="B90" s="557" t="str">
        <f>+VLOOKUP(LEFT($A90,LEN(A90)-1)*1,Master!$D$29:$G$228,4,FALSE)</f>
        <v>Akcize</v>
      </c>
      <c r="C90" s="558"/>
      <c r="D90" s="558"/>
      <c r="E90" s="558"/>
      <c r="F90" s="558"/>
      <c r="G90" s="87">
        <v>14858204.26307172</v>
      </c>
      <c r="H90" s="87">
        <v>12154549.421156941</v>
      </c>
      <c r="I90" s="87">
        <v>12459967.247236492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39472720.931465149</v>
      </c>
      <c r="T90" s="465">
        <f t="shared" si="21"/>
        <v>0.85132901116044413</v>
      </c>
    </row>
    <row r="91" spans="1:21">
      <c r="A91" s="116" t="str">
        <f t="shared" si="17"/>
        <v>7116p</v>
      </c>
      <c r="B91" s="557" t="str">
        <f>+VLOOKUP(LEFT($A91,LEN(A91)-1)*1,Master!$D$29:$G$228,4,FALSE)</f>
        <v>Porez na međunarodnu trgovinu i transakcije</v>
      </c>
      <c r="C91" s="558"/>
      <c r="D91" s="558"/>
      <c r="E91" s="558"/>
      <c r="F91" s="558"/>
      <c r="G91" s="87">
        <v>1300944.0462549233</v>
      </c>
      <c r="H91" s="87">
        <v>1582885.0395362838</v>
      </c>
      <c r="I91" s="87">
        <v>2247907.0128576038</v>
      </c>
      <c r="J91" s="87">
        <v>0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5131736.0986488108</v>
      </c>
      <c r="T91" s="465">
        <f t="shared" si="21"/>
        <v>0.11067886163673404</v>
      </c>
    </row>
    <row r="92" spans="1:21">
      <c r="A92" s="116" t="str">
        <f t="shared" si="17"/>
        <v>7118p</v>
      </c>
      <c r="B92" s="557" t="str">
        <f>+VLOOKUP(LEFT($A92,LEN(A92)-1)*1,Master!$D$29:$G$228,4,FALSE)</f>
        <v>Ostali državni porezi</v>
      </c>
      <c r="C92" s="558"/>
      <c r="D92" s="558"/>
      <c r="E92" s="558"/>
      <c r="F92" s="558"/>
      <c r="G92" s="87">
        <v>797116.47983805265</v>
      </c>
      <c r="H92" s="87">
        <v>724845.61986211163</v>
      </c>
      <c r="I92" s="87">
        <v>805957.52880981751</v>
      </c>
      <c r="J92" s="87">
        <v>0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2327919.6285099816</v>
      </c>
      <c r="T92" s="465">
        <f t="shared" si="21"/>
        <v>5.0207471606564753E-2</v>
      </c>
    </row>
    <row r="93" spans="1:21">
      <c r="A93" s="116" t="str">
        <f t="shared" si="17"/>
        <v>712p</v>
      </c>
      <c r="B93" s="569" t="str">
        <f>+VLOOKUP(LEFT($A93,LEN(A93)-1)*1,Master!$D$29:$G$228,4,FALSE)</f>
        <v>Doprinosi</v>
      </c>
      <c r="C93" s="570"/>
      <c r="D93" s="570"/>
      <c r="E93" s="570"/>
      <c r="F93" s="570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0</v>
      </c>
      <c r="K93" s="81">
        <f t="shared" si="22"/>
        <v>0</v>
      </c>
      <c r="L93" s="81">
        <f t="shared" si="22"/>
        <v>0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98217938.653918147</v>
      </c>
      <c r="T93" s="466">
        <f t="shared" si="21"/>
        <v>2.1183181351403646</v>
      </c>
    </row>
    <row r="94" spans="1:21">
      <c r="A94" s="116" t="str">
        <f t="shared" si="17"/>
        <v>7121p</v>
      </c>
      <c r="B94" s="557" t="str">
        <f>+VLOOKUP(LEFT($A94,LEN(A94)-1)*1,Master!$D$29:$G$228,4,FALSE)</f>
        <v>Doprinosi za penzijsko i invalidsko osiguranje</v>
      </c>
      <c r="C94" s="558"/>
      <c r="D94" s="558"/>
      <c r="E94" s="558"/>
      <c r="F94" s="558"/>
      <c r="G94" s="87">
        <v>9910259.361363437</v>
      </c>
      <c r="H94" s="87">
        <v>25137864.374354426</v>
      </c>
      <c r="I94" s="87">
        <v>24453003.983654883</v>
      </c>
      <c r="J94" s="87">
        <v>0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59501127.719372749</v>
      </c>
      <c r="T94" s="465">
        <f t="shared" si="21"/>
        <v>1.2832922339510147</v>
      </c>
    </row>
    <row r="95" spans="1:21">
      <c r="A95" s="116" t="str">
        <f t="shared" si="17"/>
        <v>7122p</v>
      </c>
      <c r="B95" s="557" t="str">
        <f>+VLOOKUP(LEFT($A95,LEN(A95)-1)*1,Master!$D$29:$G$228,4,FALSE)</f>
        <v>Doprinosi za zdravstveno osiguranje</v>
      </c>
      <c r="C95" s="558"/>
      <c r="D95" s="558"/>
      <c r="E95" s="558"/>
      <c r="F95" s="558"/>
      <c r="G95" s="87">
        <v>5507682.5565703586</v>
      </c>
      <c r="H95" s="87">
        <v>13967653.022079941</v>
      </c>
      <c r="I95" s="87">
        <v>13648803.874599406</v>
      </c>
      <c r="J95" s="87">
        <v>0</v>
      </c>
      <c r="K95" s="87">
        <v>0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33124139.453249708</v>
      </c>
      <c r="T95" s="465">
        <f t="shared" si="21"/>
        <v>0.71440580281347776</v>
      </c>
    </row>
    <row r="96" spans="1:21">
      <c r="A96" s="116" t="str">
        <f t="shared" si="17"/>
        <v>7123p</v>
      </c>
      <c r="B96" s="557" t="str">
        <f>+VLOOKUP(LEFT($A96,LEN(A96)-1)*1,Master!$D$29:$G$228,4,FALSE)</f>
        <v>Doprinosi za osiguranje od nezaposlenosti</v>
      </c>
      <c r="C96" s="558"/>
      <c r="D96" s="558"/>
      <c r="E96" s="558"/>
      <c r="F96" s="558"/>
      <c r="G96" s="87">
        <v>493138.80101936322</v>
      </c>
      <c r="H96" s="87">
        <v>1244226.7553943871</v>
      </c>
      <c r="I96" s="87">
        <v>1217903.5532918288</v>
      </c>
      <c r="J96" s="87">
        <v>0</v>
      </c>
      <c r="K96" s="87">
        <v>0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2955269.109705579</v>
      </c>
      <c r="T96" s="465">
        <f t="shared" si="21"/>
        <v>6.3737849064089622E-2</v>
      </c>
    </row>
    <row r="97" spans="1:20">
      <c r="A97" s="116" t="str">
        <f t="shared" si="17"/>
        <v>7124p</v>
      </c>
      <c r="B97" s="557" t="str">
        <f>+VLOOKUP(LEFT($A97,LEN(A97)-1)*1,Master!$D$29:$G$228,4,FALSE)</f>
        <v>Ostali doprinosi</v>
      </c>
      <c r="C97" s="558"/>
      <c r="D97" s="558"/>
      <c r="E97" s="558"/>
      <c r="F97" s="558"/>
      <c r="G97" s="87">
        <v>381736.58923248976</v>
      </c>
      <c r="H97" s="87">
        <v>1039912.3980174726</v>
      </c>
      <c r="I97" s="87">
        <v>1215753.3843401535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2637402.3715901161</v>
      </c>
      <c r="T97" s="465">
        <f t="shared" si="21"/>
        <v>5.6882249311782693E-2</v>
      </c>
    </row>
    <row r="98" spans="1:20">
      <c r="A98" s="116" t="str">
        <f t="shared" si="17"/>
        <v>713p</v>
      </c>
      <c r="B98" s="567" t="str">
        <f>+VLOOKUP(LEFT($A98,LEN(A98)-1)*1,Master!$D$29:$G$228,4,FALSE)</f>
        <v>Takse</v>
      </c>
      <c r="C98" s="568"/>
      <c r="D98" s="568"/>
      <c r="E98" s="568"/>
      <c r="F98" s="568"/>
      <c r="G98" s="83">
        <v>730802.9109107214</v>
      </c>
      <c r="H98" s="83">
        <v>897580.50917497964</v>
      </c>
      <c r="I98" s="83">
        <v>914093.21960377065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2542476.6396894716</v>
      </c>
      <c r="T98" s="466">
        <f t="shared" si="21"/>
        <v>5.4834935937744717E-2</v>
      </c>
    </row>
    <row r="99" spans="1:20">
      <c r="A99" s="116" t="str">
        <f t="shared" si="17"/>
        <v>714p</v>
      </c>
      <c r="B99" s="567" t="str">
        <f>+VLOOKUP(LEFT($A99,LEN(A99)-1)*1,Master!$D$29:$G$228,4,FALSE)</f>
        <v>Naknade</v>
      </c>
      <c r="C99" s="568"/>
      <c r="D99" s="568"/>
      <c r="E99" s="568"/>
      <c r="F99" s="568"/>
      <c r="G99" s="83">
        <v>1903748.332444215</v>
      </c>
      <c r="H99" s="83">
        <v>1651746.7601752742</v>
      </c>
      <c r="I99" s="83">
        <v>2645570.0065749455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6201065.0991944345</v>
      </c>
      <c r="T99" s="466">
        <f t="shared" si="21"/>
        <v>0.13374164472230587</v>
      </c>
    </row>
    <row r="100" spans="1:20">
      <c r="A100" s="116" t="str">
        <f t="shared" si="17"/>
        <v>715p</v>
      </c>
      <c r="B100" s="567" t="str">
        <f>+VLOOKUP(LEFT($A100,LEN(A100)-1)*1,Master!$D$29:$G$228,4,FALSE)</f>
        <v>Ostali prihodi</v>
      </c>
      <c r="C100" s="568"/>
      <c r="D100" s="568"/>
      <c r="E100" s="568"/>
      <c r="F100" s="568"/>
      <c r="G100" s="83">
        <v>1127712.5632216579</v>
      </c>
      <c r="H100" s="83">
        <v>1801554.4259584644</v>
      </c>
      <c r="I100" s="83">
        <v>2619748.7371156653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5549015.7262957878</v>
      </c>
      <c r="T100" s="466">
        <f t="shared" si="21"/>
        <v>0.11967855166060881</v>
      </c>
    </row>
    <row r="101" spans="1:20">
      <c r="A101" s="116" t="str">
        <f t="shared" si="17"/>
        <v>73p</v>
      </c>
      <c r="B101" s="567" t="str">
        <f>+VLOOKUP(LEFT($A101,LEN(A101)-1)*1,Master!$D$29:$G$228,4,FALSE)</f>
        <v>Primici od otplate kredita i sredstva prenesena iz prethodne godine</v>
      </c>
      <c r="C101" s="568"/>
      <c r="D101" s="568"/>
      <c r="E101" s="568"/>
      <c r="F101" s="568"/>
      <c r="G101" s="83">
        <v>68789.687590440255</v>
      </c>
      <c r="H101" s="83">
        <v>376318.3495044958</v>
      </c>
      <c r="I101" s="83">
        <v>255800.10767818309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700908.14477311913</v>
      </c>
      <c r="T101" s="466">
        <f t="shared" si="21"/>
        <v>1.5116855988722751E-2</v>
      </c>
    </row>
    <row r="102" spans="1:20" ht="13.5" thickBot="1">
      <c r="A102" s="116" t="str">
        <f t="shared" si="17"/>
        <v>74p</v>
      </c>
      <c r="B102" s="571" t="str">
        <f>+VLOOKUP(LEFT($A102,LEN(A102)-1)*1,Master!$D$29:$G$228,4,FALSE)</f>
        <v>Donacije i transferi</v>
      </c>
      <c r="C102" s="572"/>
      <c r="D102" s="572"/>
      <c r="E102" s="572"/>
      <c r="F102" s="572"/>
      <c r="G102" s="83">
        <v>2340030.9038784811</v>
      </c>
      <c r="H102" s="83">
        <v>2845013.9141026605</v>
      </c>
      <c r="I102" s="83">
        <v>2449300.7544025322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7634345.5723836739</v>
      </c>
      <c r="T102" s="467">
        <f t="shared" si="21"/>
        <v>0.16465396135926486</v>
      </c>
    </row>
    <row r="103" spans="1:20" ht="13.5" thickBot="1">
      <c r="A103" s="116" t="str">
        <f t="shared" si="17"/>
        <v>4p</v>
      </c>
      <c r="B103" s="573" t="str">
        <f>+VLOOKUP(LEFT($A103,LEN(A103)-1)*1,Master!$D$29:$G$228,4,FALSE)</f>
        <v>Izdaci budžeta</v>
      </c>
      <c r="C103" s="574"/>
      <c r="D103" s="574"/>
      <c r="E103" s="574"/>
      <c r="F103" s="574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170392955.61309999</v>
      </c>
      <c r="J103" s="93">
        <f t="shared" si="23"/>
        <v>0</v>
      </c>
      <c r="K103" s="93">
        <f t="shared" si="23"/>
        <v>0</v>
      </c>
      <c r="L103" s="93">
        <f t="shared" si="23"/>
        <v>0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529387500.13429999</v>
      </c>
      <c r="T103" s="479">
        <f t="shared" si="21"/>
        <v>11.41757969491222</v>
      </c>
    </row>
    <row r="104" spans="1:20">
      <c r="A104" s="116" t="str">
        <f t="shared" si="17"/>
        <v>41p</v>
      </c>
      <c r="B104" s="575" t="str">
        <f>+VLOOKUP(LEFT($A104,LEN(A104)-1)*1,Master!$D$29:$G$228,4,FALSE)</f>
        <v>Tekući izdaci</v>
      </c>
      <c r="C104" s="576"/>
      <c r="D104" s="576"/>
      <c r="E104" s="576"/>
      <c r="F104" s="57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0</v>
      </c>
      <c r="K104" s="85">
        <f t="shared" si="24"/>
        <v>0</v>
      </c>
      <c r="L104" s="85">
        <f t="shared" si="24"/>
        <v>0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217704230.01680002</v>
      </c>
      <c r="T104" s="464">
        <f t="shared" si="21"/>
        <v>4.6953420613553041</v>
      </c>
    </row>
    <row r="105" spans="1:20">
      <c r="A105" s="116" t="str">
        <f t="shared" si="17"/>
        <v>411p</v>
      </c>
      <c r="B105" s="557" t="str">
        <f>+VLOOKUP(LEFT($A105,LEN(A105)-1)*1,Master!$D$29:$G$228,4,FALSE)</f>
        <v>Bruto zarade i doprinosi na teret poslodavca</v>
      </c>
      <c r="C105" s="558"/>
      <c r="D105" s="558"/>
      <c r="E105" s="558"/>
      <c r="F105" s="558"/>
      <c r="G105" s="87">
        <v>41000000</v>
      </c>
      <c r="H105" s="87">
        <v>47328717.694199994</v>
      </c>
      <c r="I105" s="87">
        <v>45494745.655000009</v>
      </c>
      <c r="J105" s="87">
        <v>0</v>
      </c>
      <c r="K105" s="87">
        <v>0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133823463.34920001</v>
      </c>
      <c r="T105" s="465">
        <f t="shared" si="21"/>
        <v>2.8862412834663331</v>
      </c>
    </row>
    <row r="106" spans="1:20">
      <c r="A106" s="116" t="str">
        <f t="shared" si="17"/>
        <v>412p</v>
      </c>
      <c r="B106" s="557" t="str">
        <f>+VLOOKUP(LEFT($A106,LEN(A106)-1)*1,Master!$D$29:$G$228,4,FALSE)</f>
        <v>Ostala lična primanja</v>
      </c>
      <c r="C106" s="558"/>
      <c r="D106" s="558"/>
      <c r="E106" s="558"/>
      <c r="F106" s="558"/>
      <c r="G106" s="87">
        <v>1092920.9707000002</v>
      </c>
      <c r="H106" s="87">
        <v>1211788.716299999</v>
      </c>
      <c r="I106" s="87">
        <v>793227.80320000008</v>
      </c>
      <c r="J106" s="87">
        <v>0</v>
      </c>
      <c r="K106" s="87">
        <v>0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3097937.490199999</v>
      </c>
      <c r="T106" s="465">
        <f t="shared" si="21"/>
        <v>6.6814853345123562E-2</v>
      </c>
    </row>
    <row r="107" spans="1:20">
      <c r="A107" s="116" t="str">
        <f t="shared" si="17"/>
        <v>413p</v>
      </c>
      <c r="B107" s="557" t="str">
        <f>+VLOOKUP(LEFT($A107,LEN(A107)-1)*1,Master!$D$29:$G$228,4,FALSE)</f>
        <v>Rashodi za materijal</v>
      </c>
      <c r="C107" s="558"/>
      <c r="D107" s="558"/>
      <c r="E107" s="558"/>
      <c r="F107" s="558"/>
      <c r="G107" s="87">
        <v>2533456.2688999991</v>
      </c>
      <c r="H107" s="87">
        <v>2607238.5881999996</v>
      </c>
      <c r="I107" s="87">
        <v>3328883.5447999993</v>
      </c>
      <c r="J107" s="87">
        <v>0</v>
      </c>
      <c r="K107" s="87">
        <v>0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8469578.4018999971</v>
      </c>
      <c r="T107" s="465">
        <f t="shared" si="21"/>
        <v>0.18266786873786819</v>
      </c>
    </row>
    <row r="108" spans="1:20">
      <c r="A108" s="116" t="str">
        <f t="shared" si="17"/>
        <v>414p</v>
      </c>
      <c r="B108" s="557" t="str">
        <f>+VLOOKUP(LEFT($A108,LEN(A108)-1)*1,Master!$D$29:$G$228,4,FALSE)</f>
        <v>Rashodi za usluge</v>
      </c>
      <c r="C108" s="558"/>
      <c r="D108" s="558"/>
      <c r="E108" s="558"/>
      <c r="F108" s="558"/>
      <c r="G108" s="87">
        <v>6474297.8454999998</v>
      </c>
      <c r="H108" s="87">
        <v>9096739.9087000005</v>
      </c>
      <c r="I108" s="87">
        <v>5506954.7249000007</v>
      </c>
      <c r="J108" s="87">
        <v>0</v>
      </c>
      <c r="K108" s="87">
        <v>0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21077992.4791</v>
      </c>
      <c r="T108" s="465">
        <f t="shared" si="21"/>
        <v>0.45460019150023723</v>
      </c>
    </row>
    <row r="109" spans="1:20">
      <c r="A109" s="116" t="str">
        <f t="shared" si="17"/>
        <v>415p</v>
      </c>
      <c r="B109" s="557" t="str">
        <f>+VLOOKUP(LEFT($A109,LEN(A109)-1)*1,Master!$D$29:$G$228,4,FALSE)</f>
        <v>Rashodi za tekuće održavanje</v>
      </c>
      <c r="C109" s="558"/>
      <c r="D109" s="558"/>
      <c r="E109" s="558"/>
      <c r="F109" s="558"/>
      <c r="G109" s="87">
        <v>2012907.0852999999</v>
      </c>
      <c r="H109" s="87">
        <v>2056207.8837000001</v>
      </c>
      <c r="I109" s="87">
        <v>830730.61020000011</v>
      </c>
      <c r="J109" s="87">
        <v>0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4899845.5792000005</v>
      </c>
      <c r="T109" s="465">
        <f t="shared" si="21"/>
        <v>0.10567755638183152</v>
      </c>
    </row>
    <row r="110" spans="1:20">
      <c r="A110" s="116" t="str">
        <f t="shared" si="17"/>
        <v>416p</v>
      </c>
      <c r="B110" s="557" t="str">
        <f>+VLOOKUP(LEFT($A110,LEN(A110)-1)*1,Master!$D$29:$G$228,4,FALSE)</f>
        <v>Kamate</v>
      </c>
      <c r="C110" s="558"/>
      <c r="D110" s="558"/>
      <c r="E110" s="558"/>
      <c r="F110" s="558"/>
      <c r="G110" s="87">
        <v>7888403.8046000004</v>
      </c>
      <c r="H110" s="87">
        <v>1178757.1535000007</v>
      </c>
      <c r="I110" s="87">
        <v>15598617.987</v>
      </c>
      <c r="J110" s="87">
        <v>0</v>
      </c>
      <c r="K110" s="87">
        <v>0</v>
      </c>
      <c r="L110" s="87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24665778.945100002</v>
      </c>
      <c r="T110" s="465">
        <f t="shared" si="21"/>
        <v>0.53197987631238408</v>
      </c>
    </row>
    <row r="111" spans="1:20">
      <c r="A111" s="116" t="str">
        <f t="shared" si="17"/>
        <v>417p</v>
      </c>
      <c r="B111" s="557" t="str">
        <f>+VLOOKUP(LEFT($A111,LEN(A111)-1)*1,Master!$D$29:$G$228,4,FALSE)</f>
        <v>Renta</v>
      </c>
      <c r="C111" s="558"/>
      <c r="D111" s="558"/>
      <c r="E111" s="558"/>
      <c r="F111" s="558"/>
      <c r="G111" s="87">
        <v>856829.17779999983</v>
      </c>
      <c r="H111" s="87">
        <v>859323.00959999976</v>
      </c>
      <c r="I111" s="87">
        <v>536855.18090000004</v>
      </c>
      <c r="J111" s="87">
        <v>0</v>
      </c>
      <c r="K111" s="87">
        <v>0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2253007.3682999997</v>
      </c>
      <c r="T111" s="465">
        <f t="shared" si="21"/>
        <v>4.8591799342190392E-2</v>
      </c>
    </row>
    <row r="112" spans="1:20">
      <c r="A112" s="116" t="str">
        <f t="shared" si="17"/>
        <v>418p</v>
      </c>
      <c r="B112" s="557" t="str">
        <f>+VLOOKUP(LEFT($A112,LEN(A112)-1)*1,Master!$D$29:$G$228,4,FALSE)</f>
        <v>Subvencije</v>
      </c>
      <c r="C112" s="558"/>
      <c r="D112" s="558"/>
      <c r="E112" s="558"/>
      <c r="F112" s="558"/>
      <c r="G112" s="87">
        <v>3982825.8836999997</v>
      </c>
      <c r="H112" s="87">
        <v>3859908.0137000005</v>
      </c>
      <c r="I112" s="87">
        <v>825102.68369999994</v>
      </c>
      <c r="J112" s="87">
        <v>0</v>
      </c>
      <c r="K112" s="87">
        <v>0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8667836.5811000001</v>
      </c>
      <c r="T112" s="465">
        <f t="shared" si="21"/>
        <v>0.18694380755510503</v>
      </c>
    </row>
    <row r="113" spans="1:20">
      <c r="A113" s="116" t="str">
        <f t="shared" si="17"/>
        <v>419p</v>
      </c>
      <c r="B113" s="557" t="str">
        <f>+VLOOKUP(LEFT($A113,LEN(A113)-1)*1,Master!$D$29:$G$228,4,FALSE)</f>
        <v>Ostali izdaci</v>
      </c>
      <c r="C113" s="558"/>
      <c r="D113" s="558"/>
      <c r="E113" s="558"/>
      <c r="F113" s="558"/>
      <c r="G113" s="87">
        <v>4267401.6908999989</v>
      </c>
      <c r="H113" s="87">
        <v>3576176.3181999996</v>
      </c>
      <c r="I113" s="87">
        <v>2905211.8136</v>
      </c>
      <c r="J113" s="87">
        <v>0</v>
      </c>
      <c r="K113" s="87">
        <v>0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10748789.822699998</v>
      </c>
      <c r="T113" s="465">
        <f t="shared" si="21"/>
        <v>0.23182482471423022</v>
      </c>
    </row>
    <row r="114" spans="1:20">
      <c r="A114" s="116" t="str">
        <f t="shared" si="17"/>
        <v>42p</v>
      </c>
      <c r="B114" s="581" t="str">
        <f>+VLOOKUP(LEFT($A114,LEN(A114)-1)*1,Master!$D$29:$G$228,4,FALSE)</f>
        <v>Transferi za socijalnu zaštitu</v>
      </c>
      <c r="C114" s="582"/>
      <c r="D114" s="582"/>
      <c r="E114" s="582"/>
      <c r="F114" s="582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0</v>
      </c>
      <c r="K114" s="84">
        <f t="shared" si="25"/>
        <v>0</v>
      </c>
      <c r="L114" s="84">
        <f t="shared" si="25"/>
        <v>0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143402177.27290002</v>
      </c>
      <c r="T114" s="466">
        <f t="shared" si="21"/>
        <v>3.0928304635487214</v>
      </c>
    </row>
    <row r="115" spans="1:20">
      <c r="A115" s="116" t="str">
        <f t="shared" si="17"/>
        <v>421p</v>
      </c>
      <c r="B115" s="557" t="str">
        <f>+VLOOKUP(LEFT($A115,LEN(A115)-1)*1,Master!$D$29:$G$228,4,FALSE)</f>
        <v>Prava iz oblasti socijalne zaštite</v>
      </c>
      <c r="C115" s="558"/>
      <c r="D115" s="558"/>
      <c r="E115" s="558"/>
      <c r="F115" s="558"/>
      <c r="G115" s="87">
        <v>7370622</v>
      </c>
      <c r="H115" s="87">
        <v>7087097.3600000003</v>
      </c>
      <c r="I115" s="87">
        <v>6474402.3399999999</v>
      </c>
      <c r="J115" s="87">
        <v>0</v>
      </c>
      <c r="K115" s="87">
        <v>0</v>
      </c>
      <c r="L115" s="87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20932121.699999999</v>
      </c>
      <c r="T115" s="465">
        <f t="shared" si="21"/>
        <v>0.45145411939783459</v>
      </c>
    </row>
    <row r="116" spans="1:20">
      <c r="A116" s="116" t="str">
        <f t="shared" ref="A116:A138" si="26">+CONCATENATE(A42,"p")</f>
        <v>422p</v>
      </c>
      <c r="B116" s="557" t="str">
        <f>+VLOOKUP(LEFT($A116,LEN(A116)-1)*1,Master!$D$29:$G$228,4,FALSE)</f>
        <v>Sredstva za tehnološke viškove</v>
      </c>
      <c r="C116" s="558"/>
      <c r="D116" s="558"/>
      <c r="E116" s="558"/>
      <c r="F116" s="558"/>
      <c r="G116" s="87">
        <v>1663426.8485999999</v>
      </c>
      <c r="H116" s="87">
        <v>1663426.8485999999</v>
      </c>
      <c r="I116" s="87">
        <v>1589371.0137</v>
      </c>
      <c r="J116" s="87">
        <v>0</v>
      </c>
      <c r="K116" s="87">
        <v>0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4916224.7108999994</v>
      </c>
      <c r="T116" s="465">
        <f t="shared" si="21"/>
        <v>0.10603081376223955</v>
      </c>
    </row>
    <row r="117" spans="1:20">
      <c r="A117" s="116" t="str">
        <f t="shared" si="26"/>
        <v>423p</v>
      </c>
      <c r="B117" s="557" t="str">
        <f>+VLOOKUP(LEFT($A117,LEN(A117)-1)*1,Master!$D$29:$G$228,4,FALSE)</f>
        <v>Prava iz oblasti penzijskog i invalidskog osiguranja</v>
      </c>
      <c r="C117" s="558"/>
      <c r="D117" s="558"/>
      <c r="E117" s="558"/>
      <c r="F117" s="558"/>
      <c r="G117" s="87">
        <v>37284543.853600003</v>
      </c>
      <c r="H117" s="87">
        <v>37284543.462099999</v>
      </c>
      <c r="I117" s="87">
        <v>36187841.671500005</v>
      </c>
      <c r="J117" s="87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110756928.98719999</v>
      </c>
      <c r="T117" s="465">
        <f t="shared" si="21"/>
        <v>2.388753159366777</v>
      </c>
    </row>
    <row r="118" spans="1:20">
      <c r="A118" s="116" t="str">
        <f t="shared" si="26"/>
        <v>424p</v>
      </c>
      <c r="B118" s="557" t="str">
        <f>+VLOOKUP(LEFT($A118,LEN(A118)-1)*1,Master!$D$29:$G$228,4,FALSE)</f>
        <v>Ostala prava iz oblasti zdravstvene zaštite</v>
      </c>
      <c r="C118" s="558"/>
      <c r="D118" s="558"/>
      <c r="E118" s="558"/>
      <c r="F118" s="558"/>
      <c r="G118" s="87">
        <v>1757700.0836999998</v>
      </c>
      <c r="H118" s="87">
        <v>1757700.0836999998</v>
      </c>
      <c r="I118" s="87">
        <v>658166.54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4173566.7073999997</v>
      </c>
      <c r="T118" s="465">
        <f t="shared" si="21"/>
        <v>9.0013516529353396E-2</v>
      </c>
    </row>
    <row r="119" spans="1:20">
      <c r="A119" s="116" t="str">
        <f t="shared" si="26"/>
        <v>425p</v>
      </c>
      <c r="B119" s="557" t="str">
        <f>+VLOOKUP(LEFT($A119,LEN(A119)-1)*1,Master!$D$29:$G$228,4,FALSE)</f>
        <v>Ostala prava iz zdravstvenog osiguranja</v>
      </c>
      <c r="C119" s="558"/>
      <c r="D119" s="558"/>
      <c r="E119" s="558"/>
      <c r="F119" s="558"/>
      <c r="G119" s="87">
        <v>1006492.5837</v>
      </c>
      <c r="H119" s="87">
        <v>1006492.5837</v>
      </c>
      <c r="I119" s="87">
        <v>610350</v>
      </c>
      <c r="J119" s="87">
        <v>0</v>
      </c>
      <c r="K119" s="87">
        <v>0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2623335.1673999997</v>
      </c>
      <c r="T119" s="465">
        <f t="shared" si="21"/>
        <v>5.6578854492516054E-2</v>
      </c>
    </row>
    <row r="120" spans="1:20">
      <c r="A120" s="116" t="str">
        <f t="shared" si="26"/>
        <v>43p</v>
      </c>
      <c r="B120" s="577" t="str">
        <f>+VLOOKUP(LEFT($A120,LEN(A120)-1)*1,Master!$D$29:$G$228,4,FALSE)</f>
        <v xml:space="preserve">Transferi institucijama, pojedincima, nevladinom i javnom sektoru </v>
      </c>
      <c r="C120" s="578"/>
      <c r="D120" s="578"/>
      <c r="E120" s="578"/>
      <c r="F120" s="578"/>
      <c r="G120" s="83">
        <v>21122126.998300001</v>
      </c>
      <c r="H120" s="83">
        <v>26791916.465900004</v>
      </c>
      <c r="I120" s="83">
        <v>22217994.669300001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70132038.13350001</v>
      </c>
      <c r="T120" s="466">
        <f t="shared" si="21"/>
        <v>1.5125746912284865</v>
      </c>
    </row>
    <row r="121" spans="1:20">
      <c r="A121" s="116" t="str">
        <f t="shared" si="26"/>
        <v>44p</v>
      </c>
      <c r="B121" s="577" t="str">
        <f>+VLOOKUP(LEFT($A121,LEN(A121)-1)*1,Master!$D$29:$G$228,4,FALSE)</f>
        <v>Kapitalni izdaci</v>
      </c>
      <c r="C121" s="578"/>
      <c r="D121" s="578"/>
      <c r="E121" s="578"/>
      <c r="F121" s="578"/>
      <c r="G121" s="83">
        <v>15267515.75</v>
      </c>
      <c r="H121" s="83">
        <v>16188480.221700002</v>
      </c>
      <c r="I121" s="83">
        <v>12695405.174999995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44151401.146699995</v>
      </c>
      <c r="T121" s="466">
        <f t="shared" si="21"/>
        <v>0.95223657737781986</v>
      </c>
    </row>
    <row r="122" spans="1:20">
      <c r="A122" s="116" t="str">
        <f t="shared" si="26"/>
        <v>451p</v>
      </c>
      <c r="B122" s="579" t="str">
        <f>+VLOOKUP(LEFT($A122,LEN(A122)-1)*1,Master!$D$29:$G$228,4,FALSE)</f>
        <v>Pozajmice i krediti</v>
      </c>
      <c r="C122" s="580"/>
      <c r="D122" s="580"/>
      <c r="E122" s="580"/>
      <c r="F122" s="580"/>
      <c r="G122" s="87">
        <v>134246.16740000001</v>
      </c>
      <c r="H122" s="87">
        <v>142881.16740000001</v>
      </c>
      <c r="I122" s="87">
        <v>12881</v>
      </c>
      <c r="J122" s="87">
        <v>0</v>
      </c>
      <c r="K122" s="87">
        <v>0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290008.33480000001</v>
      </c>
      <c r="T122" s="465">
        <f t="shared" si="21"/>
        <v>6.2547628607169054E-3</v>
      </c>
    </row>
    <row r="123" spans="1:20">
      <c r="A123" s="116" t="str">
        <f t="shared" si="26"/>
        <v>47p</v>
      </c>
      <c r="B123" s="579" t="str">
        <f>+VLOOKUP(LEFT($A123,LEN(A123)-1)*1,Master!$D$29:$G$228,4,FALSE)</f>
        <v>Rezerve</v>
      </c>
      <c r="C123" s="580"/>
      <c r="D123" s="580"/>
      <c r="E123" s="580"/>
      <c r="F123" s="580"/>
      <c r="G123" s="87">
        <v>26163633.859999999</v>
      </c>
      <c r="H123" s="87">
        <v>5314577.66</v>
      </c>
      <c r="I123" s="87">
        <v>11429150.939999999</v>
      </c>
      <c r="J123" s="87">
        <v>0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42907362.460000001</v>
      </c>
      <c r="T123" s="465">
        <f t="shared" si="21"/>
        <v>0.92540573825648109</v>
      </c>
    </row>
    <row r="124" spans="1:20">
      <c r="A124" s="116" t="str">
        <f t="shared" si="26"/>
        <v>462p</v>
      </c>
      <c r="B124" s="579" t="str">
        <f>+VLOOKUP(LEFT($A124,LEN(A124)-1)*1,Master!$D$29:$G$228,4,FALSE)</f>
        <v>Otplata garancija</v>
      </c>
      <c r="C124" s="580"/>
      <c r="D124" s="580"/>
      <c r="E124" s="580"/>
      <c r="F124" s="580"/>
      <c r="G124" s="87">
        <v>3836366.14</v>
      </c>
      <c r="H124" s="87">
        <v>20000</v>
      </c>
      <c r="I124" s="87">
        <v>20000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3876366.14</v>
      </c>
      <c r="T124" s="465">
        <f t="shared" si="21"/>
        <v>8.3603634991157319E-2</v>
      </c>
    </row>
    <row r="125" spans="1:20">
      <c r="A125" s="117" t="str">
        <f t="shared" si="26"/>
        <v>4630p</v>
      </c>
      <c r="B125" s="579" t="str">
        <f>+VLOOKUP(LEFT($A125,LEN(A125)-1)*1,Master!$D$29:$G$228,4,FALSE)</f>
        <v>Otplata obaveza iz prethodnog perioda</v>
      </c>
      <c r="C125" s="580"/>
      <c r="D125" s="580"/>
      <c r="E125" s="580"/>
      <c r="F125" s="580"/>
      <c r="G125" s="96">
        <v>1590076.06</v>
      </c>
      <c r="H125" s="87">
        <v>2656778.3092999929</v>
      </c>
      <c r="I125" s="87">
        <v>2677062.2602999979</v>
      </c>
      <c r="J125" s="87">
        <v>0</v>
      </c>
      <c r="K125" s="87">
        <v>0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6923916.6295999903</v>
      </c>
      <c r="T125" s="473">
        <f t="shared" si="21"/>
        <v>0.14933176529353384</v>
      </c>
    </row>
    <row r="126" spans="1:20" ht="13.5" thickBot="1">
      <c r="A126" s="116" t="str">
        <f t="shared" si="26"/>
        <v>1005p</v>
      </c>
      <c r="B126" s="579" t="str">
        <f>+VLOOKUP(LEFT($A126,LEN(A126)-1)*1,Master!$D$29:$G$228,4,FALSE)</f>
        <v>Neto povećanje obaveza</v>
      </c>
      <c r="C126" s="580"/>
      <c r="D126" s="580"/>
      <c r="E126" s="580"/>
      <c r="F126" s="580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87" t="str">
        <f>+VLOOKUP(LEFT($A127,LEN(A127)-1)*1,Master!$D$29:$G$225,4,FALSE)</f>
        <v>Suficit / deficit</v>
      </c>
      <c r="C127" s="588"/>
      <c r="D127" s="588"/>
      <c r="E127" s="588"/>
      <c r="F127" s="588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-35412575.629021287</v>
      </c>
      <c r="J127" s="93">
        <f t="shared" si="27"/>
        <v>0</v>
      </c>
      <c r="K127" s="93">
        <f t="shared" si="27"/>
        <v>0</v>
      </c>
      <c r="L127" s="93">
        <f t="shared" si="27"/>
        <v>0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-196918460.1534915</v>
      </c>
      <c r="T127" s="471">
        <f t="shared" si="21"/>
        <v>-4.2470443892829124</v>
      </c>
    </row>
    <row r="128" spans="1:20" ht="13.5" thickBot="1">
      <c r="A128" s="117" t="str">
        <f t="shared" si="26"/>
        <v>1001p</v>
      </c>
      <c r="B128" s="589" t="str">
        <f>+VLOOKUP(LEFT($A128,LEN(A128)-1)*1,Master!$D$29:$G$225,4,FALSE)</f>
        <v>Primarni suficit/deficit</v>
      </c>
      <c r="C128" s="590"/>
      <c r="D128" s="590"/>
      <c r="E128" s="590"/>
      <c r="F128" s="590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-19813957.642021287</v>
      </c>
      <c r="J128" s="94">
        <f t="shared" si="28"/>
        <v>0</v>
      </c>
      <c r="K128" s="94">
        <f t="shared" si="28"/>
        <v>0</v>
      </c>
      <c r="L128" s="94">
        <f t="shared" si="28"/>
        <v>0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-172252681.20839152</v>
      </c>
      <c r="T128" s="471">
        <f t="shared" si="21"/>
        <v>-3.7150645129705282</v>
      </c>
    </row>
    <row r="129" spans="1:20">
      <c r="A129" s="117" t="str">
        <f t="shared" si="26"/>
        <v>46p</v>
      </c>
      <c r="B129" s="581" t="str">
        <f>+VLOOKUP(LEFT($A129,LEN(A129)-1)*1,Master!$D$29:$G$225,4,FALSE)</f>
        <v>Otplata dugova</v>
      </c>
      <c r="C129" s="582"/>
      <c r="D129" s="582"/>
      <c r="E129" s="582"/>
      <c r="F129" s="582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0</v>
      </c>
      <c r="K129" s="84">
        <f t="shared" si="29"/>
        <v>0</v>
      </c>
      <c r="L129" s="84">
        <f t="shared" si="29"/>
        <v>0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300411380</v>
      </c>
      <c r="T129" s="472">
        <f t="shared" si="21"/>
        <v>6.4791308286244229</v>
      </c>
    </row>
    <row r="130" spans="1:20">
      <c r="A130" s="117" t="str">
        <f t="shared" si="26"/>
        <v>4611p</v>
      </c>
      <c r="B130" s="585" t="str">
        <f>+VLOOKUP(LEFT($A130,LEN(A130)-1)*1,Master!$D$29:$G$225,4,FALSE)</f>
        <v>Otplata hartija od vrijednosti i kredita rezidentima</v>
      </c>
      <c r="C130" s="586"/>
      <c r="D130" s="586"/>
      <c r="E130" s="586"/>
      <c r="F130" s="586"/>
      <c r="G130" s="96">
        <v>1630769</v>
      </c>
      <c r="H130" s="96">
        <v>13534430</v>
      </c>
      <c r="I130" s="96">
        <v>22668713.02</v>
      </c>
      <c r="J130" s="96">
        <v>0</v>
      </c>
      <c r="K130" s="96">
        <v>0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37833912.019999996</v>
      </c>
      <c r="T130" s="473">
        <f t="shared" si="21"/>
        <v>0.81598395419057068</v>
      </c>
    </row>
    <row r="131" spans="1:20" ht="13.5" thickBot="1">
      <c r="A131" s="117" t="str">
        <f t="shared" si="26"/>
        <v>4612p</v>
      </c>
      <c r="B131" s="579" t="str">
        <f>+VLOOKUP(LEFT($A131,LEN(A131)-1)*1,Master!$D$29:$G$225,4,FALSE)</f>
        <v>Otplata hartija od vrijednosti i kredita nerezidentima</v>
      </c>
      <c r="C131" s="580"/>
      <c r="D131" s="580"/>
      <c r="E131" s="580"/>
      <c r="F131" s="580"/>
      <c r="G131" s="96">
        <v>15484734</v>
      </c>
      <c r="H131" s="96">
        <v>2573003</v>
      </c>
      <c r="I131" s="96">
        <v>244519730.97999999</v>
      </c>
      <c r="J131" s="96">
        <v>0</v>
      </c>
      <c r="K131" s="96">
        <v>0</v>
      </c>
      <c r="L131" s="96">
        <v>0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262577467.97999999</v>
      </c>
      <c r="T131" s="473">
        <f t="shared" si="21"/>
        <v>5.6631468744338518</v>
      </c>
    </row>
    <row r="132" spans="1:20" ht="13.5" thickBot="1">
      <c r="A132" s="117" t="str">
        <f t="shared" si="26"/>
        <v>4418p</v>
      </c>
      <c r="B132" s="573" t="str">
        <f>+VLOOKUP(LEFT($A132,LEN(A132)-1)*1,Master!$D$29:$G$225,4,FALSE)</f>
        <v>Izdaci za kupovinu hartija od vrijednosti</v>
      </c>
      <c r="C132" s="574"/>
      <c r="D132" s="574"/>
      <c r="E132" s="574"/>
      <c r="F132" s="574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536784</v>
      </c>
      <c r="T132" s="480">
        <f t="shared" si="21"/>
        <v>1.1577103912349566E-2</v>
      </c>
    </row>
    <row r="133" spans="1:20" ht="13.5" thickBot="1">
      <c r="A133" s="117" t="str">
        <f t="shared" si="26"/>
        <v>1002p</v>
      </c>
      <c r="B133" s="583" t="str">
        <f>+VLOOKUP(LEFT($A133,LEN(A133)-1)*1,Master!$D$29:$G$225,4,FALSE)</f>
        <v>Nedostajuća sredstva</v>
      </c>
      <c r="C133" s="584"/>
      <c r="D133" s="584"/>
      <c r="E133" s="584"/>
      <c r="F133" s="584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-302601019.62902129</v>
      </c>
      <c r="J133" s="77">
        <f t="shared" si="30"/>
        <v>0</v>
      </c>
      <c r="K133" s="77">
        <f t="shared" si="30"/>
        <v>0</v>
      </c>
      <c r="L133" s="77">
        <f t="shared" si="30"/>
        <v>0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-497866624.1534915</v>
      </c>
      <c r="T133" s="475">
        <f t="shared" si="21"/>
        <v>-10.737752321819686</v>
      </c>
    </row>
    <row r="134" spans="1:20" ht="13.5" thickBot="1">
      <c r="A134" s="117" t="str">
        <f t="shared" si="26"/>
        <v>1003p</v>
      </c>
      <c r="B134" s="573" t="str">
        <f>+VLOOKUP(LEFT($A134,LEN(A134)-1)*1,Master!$D$29:$G$225,4,FALSE)</f>
        <v>Finansiranje</v>
      </c>
      <c r="C134" s="574"/>
      <c r="D134" s="574"/>
      <c r="E134" s="574"/>
      <c r="F134" s="574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302601019.62902129</v>
      </c>
      <c r="J134" s="93">
        <f t="shared" si="31"/>
        <v>0</v>
      </c>
      <c r="K134" s="93">
        <f t="shared" si="31"/>
        <v>0</v>
      </c>
      <c r="L134" s="93">
        <f t="shared" si="31"/>
        <v>0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497866624.1534915</v>
      </c>
      <c r="T134" s="476">
        <f t="shared" si="21"/>
        <v>10.737752321819686</v>
      </c>
    </row>
    <row r="135" spans="1:20">
      <c r="A135" s="117" t="str">
        <f t="shared" si="26"/>
        <v>7511p</v>
      </c>
      <c r="B135" s="585" t="str">
        <f>+VLOOKUP(LEFT($A135,LEN(A135)-1)*1,Master!$D$29:$G$225,4,FALSE)</f>
        <v>Pozajmice i krediti od domaćih izvora</v>
      </c>
      <c r="C135" s="586"/>
      <c r="D135" s="586"/>
      <c r="E135" s="586"/>
      <c r="F135" s="586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79" t="str">
        <f>+VLOOKUP(LEFT($A136,LEN(A136)-1)*1,Master!$D$29:$G$225,4,FALSE)</f>
        <v>Pozajmice i krediti od inostranih izvora</v>
      </c>
      <c r="C136" s="580"/>
      <c r="D136" s="580"/>
      <c r="E136" s="580"/>
      <c r="F136" s="580"/>
      <c r="G136" s="96">
        <v>7000000</v>
      </c>
      <c r="H136" s="96">
        <v>200000</v>
      </c>
      <c r="I136" s="96">
        <v>400000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7600000</v>
      </c>
      <c r="T136" s="473">
        <f t="shared" si="21"/>
        <v>0.16391321226760988</v>
      </c>
    </row>
    <row r="137" spans="1:20">
      <c r="A137" s="117" t="str">
        <f t="shared" si="26"/>
        <v>72p</v>
      </c>
      <c r="B137" s="579" t="str">
        <f>+VLOOKUP(LEFT($A137,LEN(A137)-1)*1,Master!$D$29:$G$225,4,FALSE)</f>
        <v>Primici od prodaje imovine</v>
      </c>
      <c r="C137" s="580"/>
      <c r="D137" s="580"/>
      <c r="E137" s="580"/>
      <c r="F137" s="580"/>
      <c r="G137" s="96">
        <v>62782.51</v>
      </c>
      <c r="H137" s="96">
        <v>30000</v>
      </c>
      <c r="I137" s="96">
        <v>70000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162782.51</v>
      </c>
      <c r="T137" s="473">
        <f t="shared" si="21"/>
        <v>3.5108163309321488E-3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302131019.62902129</v>
      </c>
      <c r="J138" s="97">
        <f t="shared" si="32"/>
        <v>0</v>
      </c>
      <c r="K138" s="97">
        <f t="shared" si="32"/>
        <v>0</v>
      </c>
      <c r="L138" s="97">
        <f t="shared" si="32"/>
        <v>0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490103841.64349151</v>
      </c>
      <c r="T138" s="477">
        <f t="shared" si="21"/>
        <v>10.570328293221143</v>
      </c>
    </row>
  </sheetData>
  <sheetProtection algorithmName="SHA-512" hashValue="hIJ9FPYjWg5noMgnCaVWvpOKaHIawBAevmiXkvavEr4c+6bMycBtiILzieZupd03gM4BXYu32LVxrdTzx2XAtQ==" saltValue="f60MrKE4Vrpb5NKRnDH6pg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R4" sqref="R4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35" t="str">
        <f>+Master!G251</f>
        <v>Ostvarenje budžeta</v>
      </c>
      <c r="C7" s="518"/>
      <c r="D7" s="518"/>
      <c r="E7" s="518"/>
      <c r="F7" s="518"/>
      <c r="G7" s="526">
        <v>2020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tr">
        <f>+Master!G248</f>
        <v>BDP</v>
      </c>
      <c r="T7" s="236">
        <v>4193200000</v>
      </c>
    </row>
    <row r="8" spans="1:20" ht="16.5" customHeight="1">
      <c r="A8" s="144"/>
      <c r="B8" s="519"/>
      <c r="C8" s="520"/>
      <c r="D8" s="520"/>
      <c r="E8" s="520"/>
      <c r="F8" s="52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6" t="str">
        <f>+Master!G246</f>
        <v>Jan - Dec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5" t="str">
        <f>+VLOOKUP($A10,Master!$D$29:$G$225,4,FALSE)</f>
        <v>Prihodi budžeta</v>
      </c>
      <c r="C10" s="486"/>
      <c r="D10" s="486"/>
      <c r="E10" s="486"/>
      <c r="F10" s="486"/>
      <c r="G10" s="151">
        <f t="shared" ref="G10:R10" si="1">+G11+G19+SUM(G24:G28)</f>
        <v>94322241.549999997</v>
      </c>
      <c r="H10" s="151">
        <f t="shared" si="1"/>
        <v>119853208.28999999</v>
      </c>
      <c r="I10" s="151">
        <f t="shared" si="1"/>
        <v>161192245.46000001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141282058.98999998</v>
      </c>
      <c r="O10" s="151">
        <f t="shared" si="1"/>
        <v>142573225.66999999</v>
      </c>
      <c r="P10" s="151">
        <f t="shared" si="1"/>
        <v>136433020.73000002</v>
      </c>
      <c r="Q10" s="151">
        <f t="shared" si="1"/>
        <v>154026446.92000002</v>
      </c>
      <c r="R10" s="151">
        <f t="shared" si="1"/>
        <v>182878451.81</v>
      </c>
      <c r="S10" s="239">
        <f>+SUM(G10:R10)</f>
        <v>1639279331.3200002</v>
      </c>
      <c r="T10" s="435">
        <f>+S10/$T$7*100</f>
        <v>39.093754920347237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489" t="str">
        <f>+VLOOKUP($A18,Master!$D$29:$G$225,4,FALSE)</f>
        <v>Ostali državni porezi</v>
      </c>
      <c r="C18" s="490"/>
      <c r="D18" s="490"/>
      <c r="E18" s="490"/>
      <c r="F18" s="49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493" t="str">
        <f>+VLOOKUP($A19,Master!$D$29:$G$225,4,FALSE)</f>
        <v>Doprinosi</v>
      </c>
      <c r="C19" s="494"/>
      <c r="D19" s="494"/>
      <c r="E19" s="494"/>
      <c r="F19" s="494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489" t="str">
        <f>+VLOOKUP($A20,Master!$D$29:$G$225,4,FALSE)</f>
        <v>Doprinosi za penzijsko i invalidsko osiguranje</v>
      </c>
      <c r="C20" s="490"/>
      <c r="D20" s="490"/>
      <c r="E20" s="490"/>
      <c r="F20" s="49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489" t="str">
        <f>+VLOOKUP($A21,Master!$D$29:$G$225,4,FALSE)</f>
        <v>Doprinosi za zdravstveno osiguranje</v>
      </c>
      <c r="C21" s="490"/>
      <c r="D21" s="490"/>
      <c r="E21" s="490"/>
      <c r="F21" s="49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489" t="str">
        <f>+VLOOKUP($A22,Master!$D$29:$G$225,4,FALSE)</f>
        <v>Doprinosi za osiguranje od nezaposlenosti</v>
      </c>
      <c r="C22" s="490"/>
      <c r="D22" s="490"/>
      <c r="E22" s="490"/>
      <c r="F22" s="49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489" t="str">
        <f>+VLOOKUP($A23,Master!$D$29:$G$225,4,FALSE)</f>
        <v>Ostali doprinosi</v>
      </c>
      <c r="C23" s="490"/>
      <c r="D23" s="490"/>
      <c r="E23" s="490"/>
      <c r="F23" s="49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491" t="str">
        <f>+VLOOKUP($A24,Master!$D$29:$G$225,4,FALSE)</f>
        <v>Takse</v>
      </c>
      <c r="C24" s="492"/>
      <c r="D24" s="492"/>
      <c r="E24" s="492"/>
      <c r="F24" s="49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491" t="str">
        <f>+VLOOKUP($A25,Master!$D$29:$G$225,4,FALSE)</f>
        <v>Naknade</v>
      </c>
      <c r="C25" s="492"/>
      <c r="D25" s="492"/>
      <c r="E25" s="492"/>
      <c r="F25" s="49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491" t="str">
        <f>+VLOOKUP($A26,Master!$D$29:$G$225,4,FALSE)</f>
        <v>Ostali prihodi</v>
      </c>
      <c r="C26" s="492"/>
      <c r="D26" s="492"/>
      <c r="E26" s="492"/>
      <c r="F26" s="492"/>
      <c r="G26" s="175">
        <f>+INDEX(DataEx!$1:$1048576,MATCH('2020'!$A26,DataEx!$D:$D,0),MATCH('2020'!G$6,DataEx!$7:$7,0))</f>
        <v>1483659.28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4244020.3499999996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3216729.54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1941236.87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2626238.34</v>
      </c>
      <c r="S26" s="243">
        <f t="shared" si="3"/>
        <v>36682087.299999997</v>
      </c>
      <c r="T26" s="438">
        <f t="shared" si="4"/>
        <v>0.8747993727940474</v>
      </c>
      <c r="W26" s="311"/>
    </row>
    <row r="27" spans="1:25">
      <c r="A27" s="150">
        <v>73</v>
      </c>
      <c r="B27" s="491" t="str">
        <f>+VLOOKUP($A27,Master!$D$29:$G$225,4,FALSE)</f>
        <v>Primici od otplate kredita i sredstva prenesena iz prethodne godine</v>
      </c>
      <c r="C27" s="492"/>
      <c r="D27" s="492"/>
      <c r="E27" s="492"/>
      <c r="F27" s="49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2968039.43</v>
      </c>
      <c r="R27" s="244">
        <f>+INDEX(DataEx!$1:$1048576,MATCH('2020'!$A27,DataEx!$D:$D,0),MATCH('2020'!R$6,DataEx!$7:$7,0))</f>
        <v>1060252.57</v>
      </c>
      <c r="S27" s="243">
        <f t="shared" si="3"/>
        <v>9320007.1500000004</v>
      </c>
      <c r="T27" s="438">
        <f t="shared" si="4"/>
        <v>0.22226478942096728</v>
      </c>
    </row>
    <row r="28" spans="1:25" ht="13.5" thickBot="1">
      <c r="A28" s="150">
        <v>74</v>
      </c>
      <c r="B28" s="495" t="str">
        <f>+VLOOKUP($A28,Master!$D$29:$G$225,4,FALSE)</f>
        <v>Donacije i transferi</v>
      </c>
      <c r="C28" s="496"/>
      <c r="D28" s="496"/>
      <c r="E28" s="496"/>
      <c r="F28" s="496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5901779.6799999997</v>
      </c>
      <c r="S28" s="243">
        <f t="shared" si="3"/>
        <v>57697603.289999999</v>
      </c>
      <c r="T28" s="439">
        <f t="shared" si="4"/>
        <v>1.3759802368119811</v>
      </c>
    </row>
    <row r="29" spans="1:25" ht="13.5" thickBot="1">
      <c r="A29" s="150">
        <v>4</v>
      </c>
      <c r="B29" s="497" t="str">
        <f>+VLOOKUP($A29,Master!$D$29:$G$225,4,FALSE)</f>
        <v>Izdaci budžeta</v>
      </c>
      <c r="C29" s="498"/>
      <c r="D29" s="498"/>
      <c r="E29" s="498"/>
      <c r="F29" s="498"/>
      <c r="G29" s="151">
        <f t="shared" ref="G29:R29" si="5">+G30+G40+G46+SUM(G47:G51)</f>
        <v>128606215.384</v>
      </c>
      <c r="H29" s="151">
        <f t="shared" si="5"/>
        <v>145734321.47400001</v>
      </c>
      <c r="I29" s="151">
        <f t="shared" si="5"/>
        <v>178224167.55400002</v>
      </c>
      <c r="J29" s="151">
        <f t="shared" si="5"/>
        <v>170329171.294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190592331.15399998</v>
      </c>
      <c r="N29" s="151">
        <f t="shared" si="5"/>
        <v>181891693.96199998</v>
      </c>
      <c r="O29" s="151">
        <f t="shared" si="5"/>
        <v>164193652.48000002</v>
      </c>
      <c r="P29" s="151">
        <f t="shared" si="5"/>
        <v>188439226.92000002</v>
      </c>
      <c r="Q29" s="151">
        <f t="shared" si="5"/>
        <v>165383741.06</v>
      </c>
      <c r="R29" s="151">
        <f t="shared" si="5"/>
        <v>211976550.01999998</v>
      </c>
      <c r="S29" s="245">
        <f t="shared" si="3"/>
        <v>2064623643.5599999</v>
      </c>
      <c r="T29" s="440">
        <f t="shared" si="4"/>
        <v>49.237423532385769</v>
      </c>
    </row>
    <row r="30" spans="1:25">
      <c r="A30" s="150">
        <v>41</v>
      </c>
      <c r="B30" s="501" t="str">
        <f>+VLOOKUP($A30,Master!$D$29:$G$225,4,FALSE)</f>
        <v>Tekući izdaci</v>
      </c>
      <c r="C30" s="502"/>
      <c r="D30" s="502"/>
      <c r="E30" s="502"/>
      <c r="F30" s="502"/>
      <c r="G30" s="187">
        <f t="shared" ref="G30:R30" si="6">+SUM(G31:G39)</f>
        <v>53664693.469999999</v>
      </c>
      <c r="H30" s="187">
        <f t="shared" si="6"/>
        <v>62289276.800000004</v>
      </c>
      <c r="I30" s="187">
        <f t="shared" si="6"/>
        <v>85183668.729999989</v>
      </c>
      <c r="J30" s="187">
        <f t="shared" si="6"/>
        <v>84433965.179999992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70731171.870000005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80290482.760000005</v>
      </c>
      <c r="Q30" s="187">
        <f t="shared" si="6"/>
        <v>73263896.420000002</v>
      </c>
      <c r="R30" s="246">
        <f t="shared" si="6"/>
        <v>93055269.089999989</v>
      </c>
      <c r="S30" s="425">
        <f t="shared" si="3"/>
        <v>857947882.95999992</v>
      </c>
      <c r="T30" s="436">
        <f t="shared" si="4"/>
        <v>20.460457000858533</v>
      </c>
    </row>
    <row r="31" spans="1:25">
      <c r="A31" s="150">
        <v>411</v>
      </c>
      <c r="B31" s="489" t="str">
        <f>+VLOOKUP($A31,Master!$D$29:$G$225,4,FALSE)</f>
        <v>Bruto zarade i doprinosi na teret poslodavca</v>
      </c>
      <c r="C31" s="490"/>
      <c r="D31" s="490"/>
      <c r="E31" s="490"/>
      <c r="F31" s="490"/>
      <c r="G31" s="163">
        <f>+INDEX(DataEx!$1:$1048576,MATCH('2020'!$A31,DataEx!$D:$D,0),MATCH('2020'!G$6,DataEx!$7:$7,0))</f>
        <v>40884832.280000001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499152382.91000003</v>
      </c>
      <c r="T31" s="437">
        <f t="shared" si="4"/>
        <v>11.903853451063627</v>
      </c>
    </row>
    <row r="32" spans="1:25">
      <c r="A32" s="150">
        <v>412</v>
      </c>
      <c r="B32" s="489" t="str">
        <f>+VLOOKUP($A32,Master!$D$29:$G$225,4,FALSE)</f>
        <v>Ostala lična primanja</v>
      </c>
      <c r="C32" s="490"/>
      <c r="D32" s="490"/>
      <c r="E32" s="490"/>
      <c r="F32" s="49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489" t="str">
        <f>+VLOOKUP($A33,Master!$D$29:$G$225,4,FALSE)</f>
        <v>Rashodi za materijal</v>
      </c>
      <c r="C33" s="490"/>
      <c r="D33" s="490"/>
      <c r="E33" s="490"/>
      <c r="F33" s="49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2438901.1800000002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3584908.38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39929930.219999999</v>
      </c>
      <c r="T33" s="437">
        <f t="shared" si="4"/>
        <v>0.9522543694553085</v>
      </c>
      <c r="V33" s="291"/>
    </row>
    <row r="34" spans="1:23" s="362" customFormat="1">
      <c r="A34" s="361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+INDEX(DataEx!$1:$1048576,MATCH('2020'!$A34,DataEx!$D:$D,0),MATCH('2020'!G$6,DataEx!$7:$7,0))</f>
        <v>1498432.23</v>
      </c>
      <c r="H34" s="163">
        <f>+INDEX(DataEx!$1:$1048576,MATCH('2020'!$A34,DataEx!$D:$D,0),MATCH('2020'!H$6,DataEx!$7:$7,0))</f>
        <v>5735111.25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6553728.3099999996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10154138.76</v>
      </c>
      <c r="S34" s="242">
        <f t="shared" si="3"/>
        <v>74266592.530000001</v>
      </c>
      <c r="T34" s="437">
        <f t="shared" si="4"/>
        <v>1.7711197302775923</v>
      </c>
      <c r="U34" s="258"/>
    </row>
    <row r="35" spans="1:23">
      <c r="A35" s="150">
        <v>415</v>
      </c>
      <c r="B35" s="489" t="str">
        <f>+VLOOKUP($A35,Master!$D$29:$G$225,4,FALSE)</f>
        <v>Rashodi za tekuće održavanje</v>
      </c>
      <c r="C35" s="490"/>
      <c r="D35" s="490"/>
      <c r="E35" s="490"/>
      <c r="F35" s="49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489" t="str">
        <f>+VLOOKUP($A36,Master!$D$29:$G$225,4,FALSE)</f>
        <v>Kamate</v>
      </c>
      <c r="C36" s="490"/>
      <c r="D36" s="490"/>
      <c r="E36" s="490"/>
      <c r="F36" s="49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22559197.739999998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9173650.0500000007</v>
      </c>
      <c r="S36" s="242">
        <f>+SUM(G36:R36)</f>
        <v>111030025.40000001</v>
      </c>
      <c r="T36" s="437">
        <f t="shared" si="4"/>
        <v>2.6478590432128208</v>
      </c>
    </row>
    <row r="37" spans="1:23">
      <c r="A37" s="150">
        <v>417</v>
      </c>
      <c r="B37" s="489" t="str">
        <f>+VLOOKUP($A37,Master!$D$29:$G$225,4,FALSE)</f>
        <v>Renta</v>
      </c>
      <c r="C37" s="490"/>
      <c r="D37" s="490"/>
      <c r="E37" s="490"/>
      <c r="F37" s="49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489" t="str">
        <f>+VLOOKUP($A38,Master!$D$29:$G$225,4,FALSE)</f>
        <v>Subvencije</v>
      </c>
      <c r="C38" s="490"/>
      <c r="D38" s="490"/>
      <c r="E38" s="490"/>
      <c r="F38" s="49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4264127.51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48591764.460000001</v>
      </c>
      <c r="T39" s="437">
        <f t="shared" si="4"/>
        <v>1.158822962415339</v>
      </c>
      <c r="U39" s="258"/>
    </row>
    <row r="40" spans="1:23">
      <c r="A40" s="150">
        <v>42</v>
      </c>
      <c r="B40" s="505" t="str">
        <f>+VLOOKUP($A40,Master!$D$29:$G$225,4,FALSE)</f>
        <v>Transferi za socijalnu zaštitu</v>
      </c>
      <c r="C40" s="506"/>
      <c r="D40" s="506"/>
      <c r="E40" s="506"/>
      <c r="F40" s="50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489" t="str">
        <f>+VLOOKUP($A41,Master!$D$29:$G$225,4,FALSE)</f>
        <v>Prava iz oblasti socijalne zaštite</v>
      </c>
      <c r="C41" s="490"/>
      <c r="D41" s="490"/>
      <c r="E41" s="490"/>
      <c r="F41" s="49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489" t="str">
        <f>+VLOOKUP($A42,Master!$D$29:$G$225,4,FALSE)</f>
        <v>Sredstva za tehnološke viškove</v>
      </c>
      <c r="C42" s="490"/>
      <c r="D42" s="490"/>
      <c r="E42" s="490"/>
      <c r="F42" s="49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489" t="str">
        <f>+VLOOKUP($A43,Master!$D$29:$G$225,4,FALSE)</f>
        <v>Prava iz oblasti penzijskog i invalidskog osiguranja</v>
      </c>
      <c r="C43" s="490"/>
      <c r="D43" s="490"/>
      <c r="E43" s="490"/>
      <c r="F43" s="49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489" t="str">
        <f>+VLOOKUP($A44,Master!$D$29:$G$225,4,FALSE)</f>
        <v>Ostala prava iz oblasti zdravstvene zaštite</v>
      </c>
      <c r="C44" s="490"/>
      <c r="D44" s="490"/>
      <c r="E44" s="490"/>
      <c r="F44" s="49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38" t="str">
        <f>+VLOOKUP($A45,Master!$D$29:$G$225,4,FALSE)</f>
        <v>Ostala prava iz zdravstvenog osiguranja</v>
      </c>
      <c r="C45" s="539"/>
      <c r="D45" s="539"/>
      <c r="E45" s="539"/>
      <c r="F45" s="539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03" t="str">
        <f>+VLOOKUP($A46,Master!$D$29:$G$225,4,FALSE)</f>
        <v xml:space="preserve">Transferi institucijama, pojedincima, nevladinom i javnom sektoru </v>
      </c>
      <c r="C46" s="504"/>
      <c r="D46" s="504"/>
      <c r="E46" s="504"/>
      <c r="F46" s="50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23914749.120000001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281258675.63999999</v>
      </c>
      <c r="T46" s="438">
        <f t="shared" si="4"/>
        <v>6.7074948879137644</v>
      </c>
      <c r="U46" s="242"/>
    </row>
    <row r="47" spans="1:23">
      <c r="A47" s="150">
        <v>44</v>
      </c>
      <c r="B47" s="503" t="str">
        <f>+VLOOKUP($A47,Master!$D$29:$G$225,4,FALSE)</f>
        <v>Kapitalni izdaci</v>
      </c>
      <c r="C47" s="504"/>
      <c r="D47" s="504"/>
      <c r="E47" s="504"/>
      <c r="F47" s="50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19124293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229937455.56</v>
      </c>
      <c r="T47" s="438">
        <f t="shared" si="4"/>
        <v>5.4835794991891635</v>
      </c>
      <c r="U47" s="242"/>
    </row>
    <row r="48" spans="1:23">
      <c r="A48" s="150">
        <v>451</v>
      </c>
      <c r="B48" s="540" t="str">
        <f>+VLOOKUP($A48,Master!$D$29:$G$225,4,FALSE)</f>
        <v>Pozajmice i krediti</v>
      </c>
      <c r="C48" s="541"/>
      <c r="D48" s="541"/>
      <c r="E48" s="541"/>
      <c r="F48" s="541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47" t="str">
        <f>+VLOOKUP($A49,Master!$D$29:$G$225,4,FALSE)</f>
        <v>Rezerve</v>
      </c>
      <c r="C49" s="548"/>
      <c r="D49" s="548"/>
      <c r="E49" s="548"/>
      <c r="F49" s="548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9" t="str">
        <f>+VLOOKUP($A50,Master!$D$29:$G$225,4,FALSE)</f>
        <v>Otplata garancija</v>
      </c>
      <c r="C50" s="510"/>
      <c r="D50" s="510"/>
      <c r="E50" s="510"/>
      <c r="F50" s="510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49" t="str">
        <f>+VLOOKUP($A51,Master!$D$29:$G$225,4,TRUE)</f>
        <v>Otplata obaveza iz prethodnog perioda</v>
      </c>
      <c r="C51" s="550"/>
      <c r="D51" s="550"/>
      <c r="E51" s="550"/>
      <c r="F51" s="550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51" t="str">
        <f>+VLOOKUP($A52,Master!$D$29:$G$227,4,FALSE)</f>
        <v>Neto povećanje obaveza</v>
      </c>
      <c r="C52" s="552"/>
      <c r="D52" s="552"/>
      <c r="E52" s="552"/>
      <c r="F52" s="552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8">+G10-G29</f>
        <v>-34283973.834000006</v>
      </c>
      <c r="H53" s="151">
        <f t="shared" si="8"/>
        <v>-25881113.184000015</v>
      </c>
      <c r="I53" s="151">
        <f t="shared" si="8"/>
        <v>-17031922.094000012</v>
      </c>
      <c r="J53" s="151">
        <f t="shared" si="8"/>
        <v>-45395574.583999991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-56328359.013999999</v>
      </c>
      <c r="N53" s="151">
        <f t="shared" si="8"/>
        <v>-40609634.972000003</v>
      </c>
      <c r="O53" s="151">
        <f t="shared" si="8"/>
        <v>-21620426.810000032</v>
      </c>
      <c r="P53" s="151">
        <f t="shared" si="8"/>
        <v>-52006206.189999998</v>
      </c>
      <c r="Q53" s="151">
        <f t="shared" si="8"/>
        <v>-11357294.139999986</v>
      </c>
      <c r="R53" s="151">
        <f t="shared" si="8"/>
        <v>-29098098.209999979</v>
      </c>
      <c r="S53" s="248">
        <f t="shared" si="3"/>
        <v>-425344312.24000001</v>
      </c>
      <c r="T53" s="443">
        <f t="shared" si="4"/>
        <v>-10.143668612038539</v>
      </c>
    </row>
    <row r="54" spans="1:22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9">+G53+G36</f>
        <v>-26629128.444000006</v>
      </c>
      <c r="H54" s="205">
        <f t="shared" si="9"/>
        <v>-24041311.304000016</v>
      </c>
      <c r="I54" s="205">
        <f t="shared" si="9"/>
        <v>10444038.305999987</v>
      </c>
      <c r="J54" s="205">
        <f t="shared" si="9"/>
        <v>-22836376.843999993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-48551628.854000002</v>
      </c>
      <c r="N54" s="205">
        <f t="shared" si="9"/>
        <v>-38835803.792000003</v>
      </c>
      <c r="O54" s="205">
        <f t="shared" si="9"/>
        <v>-20067991.520000033</v>
      </c>
      <c r="P54" s="205">
        <f t="shared" si="9"/>
        <v>-37783189.82</v>
      </c>
      <c r="Q54" s="205">
        <f t="shared" si="9"/>
        <v>-1355391.2299999855</v>
      </c>
      <c r="R54" s="205">
        <f t="shared" si="9"/>
        <v>-19924448.159999978</v>
      </c>
      <c r="S54" s="248">
        <f t="shared" si="3"/>
        <v>-314314286.83999997</v>
      </c>
      <c r="T54" s="443">
        <f t="shared" si="4"/>
        <v>-7.4958095688257176</v>
      </c>
    </row>
    <row r="55" spans="1:22">
      <c r="A55" s="144">
        <v>46</v>
      </c>
      <c r="B55" s="545" t="str">
        <f>+VLOOKUP($A55,Master!$D$29:$G$225,4,FALSE)</f>
        <v>Otplata dugova</v>
      </c>
      <c r="C55" s="546"/>
      <c r="D55" s="546"/>
      <c r="E55" s="546"/>
      <c r="F55" s="546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31" t="str">
        <f>+VLOOKUP($A56,Master!$D$29:$G$225,4,FALSE)</f>
        <v>Otplata hartija od vrijednosti i kredita rezidentima</v>
      </c>
      <c r="C56" s="532"/>
      <c r="D56" s="532"/>
      <c r="E56" s="532"/>
      <c r="F56" s="532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45" t="str">
        <f>+VLOOKUP($A58,Master!$D$29:$G$225,4,FALSE)</f>
        <v>Izdaci za kupovinu hartija od vrijednosti</v>
      </c>
      <c r="C58" s="546"/>
      <c r="D58" s="546"/>
      <c r="E58" s="546"/>
      <c r="F58" s="546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-58810167.114000008</v>
      </c>
      <c r="H59" s="217">
        <f t="shared" ref="H59:R59" si="11">+H53-H55-H58</f>
        <v>-91246935.934000015</v>
      </c>
      <c r="I59" s="217">
        <f t="shared" si="11"/>
        <v>-349091419.72399998</v>
      </c>
      <c r="J59" s="217">
        <f t="shared" si="11"/>
        <v>-62609104.653999992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-72955008.363999993</v>
      </c>
      <c r="N59" s="217">
        <f t="shared" si="11"/>
        <v>-75332194.541999996</v>
      </c>
      <c r="O59" s="217">
        <f t="shared" si="11"/>
        <v>-32382261.980000034</v>
      </c>
      <c r="P59" s="217">
        <f t="shared" si="11"/>
        <v>-74457293.120000005</v>
      </c>
      <c r="Q59" s="217">
        <f t="shared" si="11"/>
        <v>-100986247.40999998</v>
      </c>
      <c r="R59" s="217">
        <f t="shared" si="11"/>
        <v>-59086292.349999979</v>
      </c>
      <c r="S59" s="251">
        <f t="shared" si="3"/>
        <v>-1092131111.4799998</v>
      </c>
      <c r="T59" s="447">
        <f t="shared" si="4"/>
        <v>-26.045290267099109</v>
      </c>
    </row>
    <row r="60" spans="1:22" ht="13.5" thickBot="1">
      <c r="A60" s="144">
        <v>1003</v>
      </c>
      <c r="B60" s="497" t="str">
        <f>+VLOOKUP($A60,Master!$D$29:$G$225,4,FALSE)</f>
        <v>Finansiranje</v>
      </c>
      <c r="C60" s="498"/>
      <c r="D60" s="498"/>
      <c r="E60" s="498"/>
      <c r="F60" s="498"/>
      <c r="G60" s="151">
        <f>+SUM(G61:G64)</f>
        <v>58810167.114000008</v>
      </c>
      <c r="H60" s="151">
        <f t="shared" ref="H60:R60" si="12">+SUM(H61:H64)</f>
        <v>91246935.934000015</v>
      </c>
      <c r="I60" s="151">
        <f t="shared" si="12"/>
        <v>349091419.72399998</v>
      </c>
      <c r="J60" s="151">
        <f t="shared" si="12"/>
        <v>62609104.653999984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72955008.363999993</v>
      </c>
      <c r="N60" s="151">
        <f t="shared" si="12"/>
        <v>75332194.541999996</v>
      </c>
      <c r="O60" s="151">
        <f t="shared" si="12"/>
        <v>32382261.980000034</v>
      </c>
      <c r="P60" s="151">
        <f t="shared" si="12"/>
        <v>74457293.120000005</v>
      </c>
      <c r="Q60" s="151">
        <f t="shared" si="12"/>
        <v>100986247.40999998</v>
      </c>
      <c r="R60" s="151">
        <f t="shared" si="12"/>
        <v>59086292.350000024</v>
      </c>
      <c r="S60" s="252">
        <f t="shared" si="3"/>
        <v>1092131111.48</v>
      </c>
      <c r="T60" s="448">
        <f t="shared" si="4"/>
        <v>26.045290267099112</v>
      </c>
    </row>
    <row r="61" spans="1:22">
      <c r="A61" s="144">
        <v>7511</v>
      </c>
      <c r="B61" s="531" t="str">
        <f>+VLOOKUP($A61,Master!$D$29:$G$225,4,FALSE)</f>
        <v>Pozajmice i krediti od domaćih izvora</v>
      </c>
      <c r="C61" s="532"/>
      <c r="D61" s="532"/>
      <c r="E61" s="532"/>
      <c r="F61" s="532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43530819.764000006</v>
      </c>
      <c r="H64" s="225">
        <f t="shared" ref="H64:R64" si="13">-H59-SUM(H61:H63)</f>
        <v>66297810.954000011</v>
      </c>
      <c r="I64" s="225">
        <f t="shared" si="13"/>
        <v>344654146.764</v>
      </c>
      <c r="J64" s="225">
        <f t="shared" si="13"/>
        <v>37984656.773999989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5885060.2839999944</v>
      </c>
      <c r="N64" s="225">
        <f t="shared" si="13"/>
        <v>56534209.331999995</v>
      </c>
      <c r="O64" s="225">
        <f t="shared" si="13"/>
        <v>28257134.440000035</v>
      </c>
      <c r="P64" s="225">
        <f t="shared" si="13"/>
        <v>14587277.960000008</v>
      </c>
      <c r="Q64" s="225">
        <f t="shared" si="13"/>
        <v>66727218.319999985</v>
      </c>
      <c r="R64" s="225">
        <f t="shared" si="13"/>
        <v>-705235690.32000005</v>
      </c>
      <c r="S64" s="253">
        <f>+SUM(G64:R64)</f>
        <v>-269693052.43000001</v>
      </c>
      <c r="T64" s="449">
        <f t="shared" si="4"/>
        <v>-6.4316763433654485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59" t="str">
        <f>+Master!G252</f>
        <v>Plan ostvarenja budžeta</v>
      </c>
      <c r="C100" s="560"/>
      <c r="D100" s="560"/>
      <c r="E100" s="560"/>
      <c r="F100" s="560"/>
      <c r="G100" s="542">
        <v>2020</v>
      </c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4"/>
      <c r="S100" s="107" t="str">
        <f>+S7</f>
        <v>BDP</v>
      </c>
      <c r="T100" s="108">
        <v>4607300000</v>
      </c>
    </row>
    <row r="101" spans="1:21" ht="15.75" customHeight="1">
      <c r="B101" s="561"/>
      <c r="C101" s="562"/>
      <c r="D101" s="562"/>
      <c r="E101" s="562"/>
      <c r="F101" s="563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42" t="str">
        <f>+Master!G246</f>
        <v>Jan - Dec</v>
      </c>
      <c r="T101" s="544">
        <f>+T8</f>
        <v>0</v>
      </c>
    </row>
    <row r="102" spans="1:21" ht="13.5" thickBot="1">
      <c r="B102" s="564"/>
      <c r="C102" s="565"/>
      <c r="D102" s="565"/>
      <c r="E102" s="565"/>
      <c r="F102" s="566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3" t="str">
        <f>+VLOOKUP(LEFT($A103,LEN(A103)-1)*1,Master!$D$29:$G$225,4,FALSE)</f>
        <v>Prihodi budžeta</v>
      </c>
      <c r="C103" s="554"/>
      <c r="D103" s="554"/>
      <c r="E103" s="554"/>
      <c r="F103" s="554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55" t="str">
        <f>+VLOOKUP(LEFT($A104,LEN(A104)-1)*1,Master!$D$29:$G$225,4,FALSE)</f>
        <v>Porezi</v>
      </c>
      <c r="C104" s="556"/>
      <c r="D104" s="556"/>
      <c r="E104" s="556"/>
      <c r="F104" s="556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7" t="str">
        <f>+VLOOKUP(LEFT($A105,LEN(A105)-1)*1,Master!$D$29:$G$228,4,FALSE)</f>
        <v>Porez na dohodak fizičkih lica</v>
      </c>
      <c r="C105" s="558"/>
      <c r="D105" s="558"/>
      <c r="E105" s="558"/>
      <c r="F105" s="558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7" t="str">
        <f>+VLOOKUP(LEFT($A106,LEN(A106)-1)*1,Master!$D$29:$G$228,4,FALSE)</f>
        <v>Porez na dobit pravnih lica</v>
      </c>
      <c r="C106" s="558"/>
      <c r="D106" s="558"/>
      <c r="E106" s="558"/>
      <c r="F106" s="558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7" t="str">
        <f>+VLOOKUP(LEFT($A107,LEN(A107)-1)*1,Master!$D$29:$G$228,4,FALSE)</f>
        <v>Porez na promet nepokretnosti</v>
      </c>
      <c r="C107" s="558"/>
      <c r="D107" s="558"/>
      <c r="E107" s="558"/>
      <c r="F107" s="558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7" t="str">
        <f>+VLOOKUP(LEFT($A108,LEN(A108)-1)*1,Master!$D$29:$G$228,4,FALSE)</f>
        <v>Porez na dodatu vrijednost</v>
      </c>
      <c r="C108" s="558"/>
      <c r="D108" s="558"/>
      <c r="E108" s="558"/>
      <c r="F108" s="558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7" t="str">
        <f>+VLOOKUP(LEFT($A109,LEN(A109)-1)*1,Master!$D$29:$G$228,4,FALSE)</f>
        <v>Akcize</v>
      </c>
      <c r="C109" s="558"/>
      <c r="D109" s="558"/>
      <c r="E109" s="558"/>
      <c r="F109" s="558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7" t="str">
        <f>+VLOOKUP(LEFT($A110,LEN(A110)-1)*1,Master!$D$29:$G$228,4,FALSE)</f>
        <v>Porez na međunarodnu trgovinu i transakcije</v>
      </c>
      <c r="C110" s="558"/>
      <c r="D110" s="558"/>
      <c r="E110" s="558"/>
      <c r="F110" s="558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7" t="str">
        <f>+VLOOKUP(LEFT($A111,LEN(A111)-1)*1,Master!$D$29:$G$228,4,FALSE)</f>
        <v>Ostali državni porezi</v>
      </c>
      <c r="C111" s="558"/>
      <c r="D111" s="558"/>
      <c r="E111" s="558"/>
      <c r="F111" s="558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69" t="str">
        <f>+VLOOKUP(LEFT($A112,LEN(A112)-1)*1,Master!$D$29:$G$228,4,FALSE)</f>
        <v>Doprinosi</v>
      </c>
      <c r="C112" s="570"/>
      <c r="D112" s="570"/>
      <c r="E112" s="570"/>
      <c r="F112" s="57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7" t="str">
        <f>+VLOOKUP(LEFT($A113,LEN(A113)-1)*1,Master!$D$29:$G$228,4,FALSE)</f>
        <v>Doprinosi za penzijsko i invalidsko osiguranje</v>
      </c>
      <c r="C113" s="558"/>
      <c r="D113" s="558"/>
      <c r="E113" s="558"/>
      <c r="F113" s="558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7" t="str">
        <f>+VLOOKUP(LEFT($A114,LEN(A114)-1)*1,Master!$D$29:$G$228,4,FALSE)</f>
        <v>Doprinosi za zdravstveno osiguranje</v>
      </c>
      <c r="C114" s="558"/>
      <c r="D114" s="558"/>
      <c r="E114" s="558"/>
      <c r="F114" s="558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7" t="str">
        <f>+VLOOKUP(LEFT($A115,LEN(A115)-1)*1,Master!$D$29:$G$228,4,FALSE)</f>
        <v>Doprinosi za osiguranje od nezaposlenosti</v>
      </c>
      <c r="C115" s="558"/>
      <c r="D115" s="558"/>
      <c r="E115" s="558"/>
      <c r="F115" s="558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7" t="str">
        <f>+VLOOKUP(LEFT($A116,LEN(A116)-1)*1,Master!$D$29:$G$228,4,FALSE)</f>
        <v>Ostali doprinosi</v>
      </c>
      <c r="C116" s="558"/>
      <c r="D116" s="558"/>
      <c r="E116" s="558"/>
      <c r="F116" s="558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67" t="str">
        <f>+VLOOKUP(LEFT($A117,LEN(A117)-1)*1,Master!$D$29:$G$228,4,FALSE)</f>
        <v>Takse</v>
      </c>
      <c r="C117" s="568"/>
      <c r="D117" s="568"/>
      <c r="E117" s="568"/>
      <c r="F117" s="56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67" t="str">
        <f>+VLOOKUP(LEFT($A118,LEN(A118)-1)*1,Master!$D$29:$G$228,4,FALSE)</f>
        <v>Naknade</v>
      </c>
      <c r="C118" s="568"/>
      <c r="D118" s="568"/>
      <c r="E118" s="568"/>
      <c r="F118" s="56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67" t="str">
        <f>+VLOOKUP(LEFT($A119,LEN(A119)-1)*1,Master!$D$29:$G$228,4,FALSE)</f>
        <v>Ostali prihodi</v>
      </c>
      <c r="C119" s="568"/>
      <c r="D119" s="568"/>
      <c r="E119" s="568"/>
      <c r="F119" s="56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67" t="str">
        <f>+VLOOKUP(LEFT($A120,LEN(A120)-1)*1,Master!$D$29:$G$228,4,FALSE)</f>
        <v>Primici od otplate kredita i sredstva prenesena iz prethodne godine</v>
      </c>
      <c r="C120" s="568"/>
      <c r="D120" s="568"/>
      <c r="E120" s="568"/>
      <c r="F120" s="56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1" t="str">
        <f>+VLOOKUP(LEFT($A121,LEN(A121)-1)*1,Master!$D$29:$G$228,4,FALSE)</f>
        <v>Donacije i transferi</v>
      </c>
      <c r="C121" s="572"/>
      <c r="D121" s="572"/>
      <c r="E121" s="572"/>
      <c r="F121" s="572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73" t="str">
        <f>+VLOOKUP(LEFT($A122,LEN(A122)-1)*1,Master!$D$29:$G$228,4,FALSE)</f>
        <v>Izdaci budžeta</v>
      </c>
      <c r="C122" s="574"/>
      <c r="D122" s="574"/>
      <c r="E122" s="574"/>
      <c r="F122" s="574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5" t="str">
        <f>+VLOOKUP(LEFT($A123,LEN(A123)-1)*1,Master!$D$29:$G$228,4,FALSE)</f>
        <v>Tekući izdaci</v>
      </c>
      <c r="C123" s="576"/>
      <c r="D123" s="576"/>
      <c r="E123" s="576"/>
      <c r="F123" s="57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7" t="str">
        <f>+VLOOKUP(LEFT($A124,LEN(A124)-1)*1,Master!$D$29:$G$228,4,FALSE)</f>
        <v>Bruto zarade i doprinosi na teret poslodavca</v>
      </c>
      <c r="C124" s="558"/>
      <c r="D124" s="558"/>
      <c r="E124" s="558"/>
      <c r="F124" s="558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7" t="str">
        <f>+VLOOKUP(LEFT($A125,LEN(A125)-1)*1,Master!$D$29:$G$228,4,FALSE)</f>
        <v>Ostala lična primanja</v>
      </c>
      <c r="C125" s="558"/>
      <c r="D125" s="558"/>
      <c r="E125" s="558"/>
      <c r="F125" s="558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7" t="str">
        <f>+VLOOKUP(LEFT($A126,LEN(A126)-1)*1,Master!$D$29:$G$228,4,FALSE)</f>
        <v>Rashodi za materijal</v>
      </c>
      <c r="C126" s="558"/>
      <c r="D126" s="558"/>
      <c r="E126" s="558"/>
      <c r="F126" s="558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7" t="str">
        <f>+VLOOKUP(LEFT($A127,LEN(A127)-1)*1,Master!$D$29:$G$228,4,FALSE)</f>
        <v>Rashodi za usluge</v>
      </c>
      <c r="C127" s="558"/>
      <c r="D127" s="558"/>
      <c r="E127" s="558"/>
      <c r="F127" s="558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7" t="str">
        <f>+VLOOKUP(LEFT($A128,LEN(A128)-1)*1,Master!$D$29:$G$228,4,FALSE)</f>
        <v>Rashodi za tekuće održavanje</v>
      </c>
      <c r="C128" s="558"/>
      <c r="D128" s="558"/>
      <c r="E128" s="558"/>
      <c r="F128" s="558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7" t="str">
        <f>+VLOOKUP(LEFT($A129,LEN(A129)-1)*1,Master!$D$29:$G$228,4,FALSE)</f>
        <v>Kamate</v>
      </c>
      <c r="C129" s="558"/>
      <c r="D129" s="558"/>
      <c r="E129" s="558"/>
      <c r="F129" s="558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7" t="str">
        <f>+VLOOKUP(LEFT($A130,LEN(A130)-1)*1,Master!$D$29:$G$228,4,FALSE)</f>
        <v>Renta</v>
      </c>
      <c r="C130" s="558"/>
      <c r="D130" s="558"/>
      <c r="E130" s="558"/>
      <c r="F130" s="558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7" t="str">
        <f>+VLOOKUP(LEFT($A131,LEN(A131)-1)*1,Master!$D$29:$G$228,4,FALSE)</f>
        <v>Subvencije</v>
      </c>
      <c r="C131" s="558"/>
      <c r="D131" s="558"/>
      <c r="E131" s="558"/>
      <c r="F131" s="558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7" t="str">
        <f>+VLOOKUP(LEFT($A132,LEN(A132)-1)*1,Master!$D$29:$G$228,4,FALSE)</f>
        <v>Ostali izdaci</v>
      </c>
      <c r="C132" s="558"/>
      <c r="D132" s="558"/>
      <c r="E132" s="558"/>
      <c r="F132" s="558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81" t="str">
        <f>+VLOOKUP(LEFT($A133,LEN(A133)-1)*1,Master!$D$29:$G$228,4,FALSE)</f>
        <v>Transferi za socijalnu zaštitu</v>
      </c>
      <c r="C133" s="582"/>
      <c r="D133" s="582"/>
      <c r="E133" s="582"/>
      <c r="F133" s="582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7" t="str">
        <f>+VLOOKUP(LEFT($A134,LEN(A134)-1)*1,Master!$D$29:$G$228,4,FALSE)</f>
        <v>Prava iz oblasti socijalne zaštite</v>
      </c>
      <c r="C134" s="558"/>
      <c r="D134" s="558"/>
      <c r="E134" s="558"/>
      <c r="F134" s="558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7" t="str">
        <f>+VLOOKUP(LEFT($A135,LEN(A135)-1)*1,Master!$D$29:$G$228,4,FALSE)</f>
        <v>Sredstva za tehnološke viškove</v>
      </c>
      <c r="C135" s="558"/>
      <c r="D135" s="558"/>
      <c r="E135" s="558"/>
      <c r="F135" s="558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7" t="str">
        <f>+VLOOKUP(LEFT($A136,LEN(A136)-1)*1,Master!$D$29:$G$228,4,FALSE)</f>
        <v>Prava iz oblasti penzijskog i invalidskog osiguranja</v>
      </c>
      <c r="C136" s="558"/>
      <c r="D136" s="558"/>
      <c r="E136" s="558"/>
      <c r="F136" s="558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7" t="str">
        <f>+VLOOKUP(LEFT($A137,LEN(A137)-1)*1,Master!$D$29:$G$228,4,FALSE)</f>
        <v>Ostala prava iz oblasti zdravstvene zaštite</v>
      </c>
      <c r="C137" s="558"/>
      <c r="D137" s="558"/>
      <c r="E137" s="558"/>
      <c r="F137" s="558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7" t="str">
        <f>+VLOOKUP(LEFT($A138,LEN(A138)-1)*1,Master!$D$29:$G$228,4,FALSE)</f>
        <v>Ostala prava iz zdravstvenog osiguranja</v>
      </c>
      <c r="C138" s="558"/>
      <c r="D138" s="558"/>
      <c r="E138" s="558"/>
      <c r="F138" s="558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77" t="str">
        <f>+VLOOKUP(LEFT($A139,LEN(A139)-1)*1,Master!$D$29:$G$228,4,FALSE)</f>
        <v xml:space="preserve">Transferi institucijama, pojedincima, nevladinom i javnom sektoru </v>
      </c>
      <c r="C139" s="578"/>
      <c r="D139" s="578"/>
      <c r="E139" s="578"/>
      <c r="F139" s="578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77" t="str">
        <f>+VLOOKUP(LEFT($A140,LEN(A140)-1)*1,Master!$D$29:$G$228,4,FALSE)</f>
        <v>Kapitalni izdaci</v>
      </c>
      <c r="C140" s="578"/>
      <c r="D140" s="578"/>
      <c r="E140" s="578"/>
      <c r="F140" s="578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79" t="str">
        <f>+VLOOKUP(LEFT($A141,LEN(A141)-1)*1,Master!$D$29:$G$228,4,FALSE)</f>
        <v>Pozajmice i krediti</v>
      </c>
      <c r="C141" s="580"/>
      <c r="D141" s="580"/>
      <c r="E141" s="580"/>
      <c r="F141" s="580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79" t="str">
        <f>+VLOOKUP(LEFT($A142,LEN(A142)-1)*1,Master!$D$29:$G$228,4,FALSE)</f>
        <v>Rezerve</v>
      </c>
      <c r="C142" s="580"/>
      <c r="D142" s="580"/>
      <c r="E142" s="580"/>
      <c r="F142" s="580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79" t="str">
        <f>+VLOOKUP(LEFT($A143,LEN(A143)-1)*1,Master!$D$29:$G$228,4,FALSE)</f>
        <v>Otplata garancija</v>
      </c>
      <c r="C143" s="580"/>
      <c r="D143" s="580"/>
      <c r="E143" s="580"/>
      <c r="F143" s="580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79" t="str">
        <f>+VLOOKUP(LEFT($A144,LEN(A144)-1)*1,Master!$D$29:$G$228,4,FALSE)</f>
        <v>Otplata obaveza iz prethodnog perioda</v>
      </c>
      <c r="C144" s="580"/>
      <c r="D144" s="580"/>
      <c r="E144" s="580"/>
      <c r="F144" s="580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9" t="str">
        <f>+VLOOKUP(LEFT($A145,LEN(A145)-1)*1,Master!$D$29:$G$228,4,FALSE)</f>
        <v>Neto povećanje obaveza</v>
      </c>
      <c r="C145" s="580"/>
      <c r="D145" s="580"/>
      <c r="E145" s="580"/>
      <c r="F145" s="580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87" t="str">
        <f>+VLOOKUP(LEFT($A146,LEN(A146)-1)*1,Master!$D$29:$G$225,4,FALSE)</f>
        <v>Suficit / deficit</v>
      </c>
      <c r="C146" s="588"/>
      <c r="D146" s="588"/>
      <c r="E146" s="588"/>
      <c r="F146" s="588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9" t="str">
        <f>+VLOOKUP(LEFT($A147,LEN(A147)-1)*1,Master!$D$29:$G$225,4,FALSE)</f>
        <v>Primarni suficit/deficit</v>
      </c>
      <c r="C147" s="590"/>
      <c r="D147" s="590"/>
      <c r="E147" s="590"/>
      <c r="F147" s="590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81" t="str">
        <f>+VLOOKUP(LEFT($A148,LEN(A148)-1)*1,Master!$D$29:$G$225,4,FALSE)</f>
        <v>Otplata dugova</v>
      </c>
      <c r="C148" s="582"/>
      <c r="D148" s="582"/>
      <c r="E148" s="582"/>
      <c r="F148" s="582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85" t="str">
        <f>+VLOOKUP(LEFT($A149,LEN(A149)-1)*1,Master!$D$29:$G$225,4,FALSE)</f>
        <v>Otplata hartija od vrijednosti i kredita rezidentima</v>
      </c>
      <c r="C149" s="586"/>
      <c r="D149" s="586"/>
      <c r="E149" s="586"/>
      <c r="F149" s="586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79" t="str">
        <f>+VLOOKUP(LEFT($A150,LEN(A150)-1)*1,Master!$D$29:$G$225,4,FALSE)</f>
        <v>Otplata hartija od vrijednosti i kredita nerezidentima</v>
      </c>
      <c r="C150" s="580"/>
      <c r="D150" s="580"/>
      <c r="E150" s="580"/>
      <c r="F150" s="580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73" t="str">
        <f>+VLOOKUP(LEFT($A151,LEN(A151)-1)*1,Master!$D$29:$G$225,4,FALSE)</f>
        <v>Izdaci za kupovinu hartija od vrijednosti</v>
      </c>
      <c r="C151" s="574"/>
      <c r="D151" s="574"/>
      <c r="E151" s="574"/>
      <c r="F151" s="574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83" t="str">
        <f>+VLOOKUP(LEFT($A152,LEN(A152)-1)*1,Master!$D$29:$G$225,4,FALSE)</f>
        <v>Nedostajuća sredstva</v>
      </c>
      <c r="C152" s="584"/>
      <c r="D152" s="584"/>
      <c r="E152" s="584"/>
      <c r="F152" s="584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73" t="str">
        <f>+VLOOKUP(LEFT($A153,LEN(A153)-1)*1,Master!$D$29:$G$225,4,FALSE)</f>
        <v>Finansiranje</v>
      </c>
      <c r="C153" s="574"/>
      <c r="D153" s="574"/>
      <c r="E153" s="574"/>
      <c r="F153" s="574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85" t="str">
        <f>+VLOOKUP(LEFT($A154,LEN(A154)-1)*1,Master!$D$29:$G$225,4,FALSE)</f>
        <v>Pozajmice i krediti od domaćih izvora</v>
      </c>
      <c r="C154" s="586"/>
      <c r="D154" s="586"/>
      <c r="E154" s="586"/>
      <c r="F154" s="586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79" t="str">
        <f>+VLOOKUP(LEFT($A155,LEN(A155)-1)*1,Master!$D$29:$G$225,4,FALSE)</f>
        <v>Pozajmice i krediti od inostranih izvora</v>
      </c>
      <c r="C155" s="580"/>
      <c r="D155" s="580"/>
      <c r="E155" s="580"/>
      <c r="F155" s="580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79" t="str">
        <f>+VLOOKUP(LEFT($A156,LEN(A156)-1)*1,Master!$D$29:$G$225,4,FALSE)</f>
        <v>Primici od prodaje imovine</v>
      </c>
      <c r="C156" s="580"/>
      <c r="D156" s="580"/>
      <c r="E156" s="580"/>
      <c r="F156" s="580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9" activePane="bottomLeft" state="frozen"/>
      <selection pane="bottomLeft" activeCell="R53" sqref="R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35" t="s">
        <v>554</v>
      </c>
      <c r="C7" s="518"/>
      <c r="D7" s="518"/>
      <c r="E7" s="518"/>
      <c r="F7" s="518"/>
      <c r="G7" s="526">
        <v>2019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">
        <v>419</v>
      </c>
      <c r="T7" s="236">
        <v>4951000000</v>
      </c>
    </row>
    <row r="8" spans="1:20" ht="16.5" customHeight="1">
      <c r="A8" s="144"/>
      <c r="B8" s="519"/>
      <c r="C8" s="520"/>
      <c r="D8" s="520"/>
      <c r="E8" s="520"/>
      <c r="F8" s="52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6" t="s">
        <v>809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97" t="s">
        <v>681</v>
      </c>
      <c r="C10" s="498"/>
      <c r="D10" s="498"/>
      <c r="E10" s="498"/>
      <c r="F10" s="498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487" t="s">
        <v>21</v>
      </c>
      <c r="C11" s="488"/>
      <c r="D11" s="488"/>
      <c r="E11" s="488"/>
      <c r="F11" s="488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489" t="s">
        <v>23</v>
      </c>
      <c r="C12" s="490"/>
      <c r="D12" s="490"/>
      <c r="E12" s="490"/>
      <c r="F12" s="49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489" t="s">
        <v>25</v>
      </c>
      <c r="C13" s="490"/>
      <c r="D13" s="490"/>
      <c r="E13" s="490"/>
      <c r="F13" s="49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489" t="s">
        <v>27</v>
      </c>
      <c r="C14" s="490"/>
      <c r="D14" s="490"/>
      <c r="E14" s="490"/>
      <c r="F14" s="49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489" t="s">
        <v>29</v>
      </c>
      <c r="C15" s="490"/>
      <c r="D15" s="490"/>
      <c r="E15" s="490"/>
      <c r="F15" s="49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489" t="s">
        <v>31</v>
      </c>
      <c r="C16" s="490"/>
      <c r="D16" s="490"/>
      <c r="E16" s="490"/>
      <c r="F16" s="49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489" t="s">
        <v>33</v>
      </c>
      <c r="C17" s="490"/>
      <c r="D17" s="490"/>
      <c r="E17" s="490"/>
      <c r="F17" s="49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489" t="s">
        <v>722</v>
      </c>
      <c r="C18" s="490"/>
      <c r="D18" s="490"/>
      <c r="E18" s="490"/>
      <c r="F18" s="49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493" t="s">
        <v>37</v>
      </c>
      <c r="C19" s="494"/>
      <c r="D19" s="494"/>
      <c r="E19" s="494"/>
      <c r="F19" s="494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489" t="s">
        <v>39</v>
      </c>
      <c r="C20" s="490"/>
      <c r="D20" s="490"/>
      <c r="E20" s="490"/>
      <c r="F20" s="49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489" t="s">
        <v>41</v>
      </c>
      <c r="C21" s="490"/>
      <c r="D21" s="490"/>
      <c r="E21" s="490"/>
      <c r="F21" s="49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489" t="s">
        <v>43</v>
      </c>
      <c r="C22" s="490"/>
      <c r="D22" s="490"/>
      <c r="E22" s="490"/>
      <c r="F22" s="49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489" t="s">
        <v>45</v>
      </c>
      <c r="C23" s="490"/>
      <c r="D23" s="490"/>
      <c r="E23" s="490"/>
      <c r="F23" s="49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491" t="s">
        <v>47</v>
      </c>
      <c r="C24" s="492"/>
      <c r="D24" s="492"/>
      <c r="E24" s="492"/>
      <c r="F24" s="49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491" t="s">
        <v>61</v>
      </c>
      <c r="C25" s="492"/>
      <c r="D25" s="492"/>
      <c r="E25" s="492"/>
      <c r="F25" s="49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491" t="s">
        <v>81</v>
      </c>
      <c r="C26" s="492"/>
      <c r="D26" s="492"/>
      <c r="E26" s="492"/>
      <c r="F26" s="49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491" t="s">
        <v>99</v>
      </c>
      <c r="C27" s="492"/>
      <c r="D27" s="492"/>
      <c r="E27" s="492"/>
      <c r="F27" s="49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495" t="s">
        <v>105</v>
      </c>
      <c r="C28" s="496"/>
      <c r="D28" s="496"/>
      <c r="E28" s="496"/>
      <c r="F28" s="496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497" t="s">
        <v>802</v>
      </c>
      <c r="C29" s="498"/>
      <c r="D29" s="498"/>
      <c r="E29" s="498"/>
      <c r="F29" s="498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499" t="s">
        <v>120</v>
      </c>
      <c r="C30" s="500"/>
      <c r="D30" s="500"/>
      <c r="E30" s="500"/>
      <c r="F30" s="500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489" t="s">
        <v>122</v>
      </c>
      <c r="C31" s="490"/>
      <c r="D31" s="490"/>
      <c r="E31" s="490"/>
      <c r="F31" s="49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489" t="s">
        <v>133</v>
      </c>
      <c r="C32" s="490"/>
      <c r="D32" s="490"/>
      <c r="E32" s="490"/>
      <c r="F32" s="49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489" t="s">
        <v>148</v>
      </c>
      <c r="C33" s="490"/>
      <c r="D33" s="490"/>
      <c r="E33" s="490"/>
      <c r="F33" s="49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489" t="s">
        <v>162</v>
      </c>
      <c r="C34" s="490"/>
      <c r="D34" s="490"/>
      <c r="E34" s="490"/>
      <c r="F34" s="49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36" t="s">
        <v>182</v>
      </c>
      <c r="C35" s="537"/>
      <c r="D35" s="537"/>
      <c r="E35" s="537"/>
      <c r="F35" s="537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489" t="s">
        <v>190</v>
      </c>
      <c r="C36" s="490"/>
      <c r="D36" s="490"/>
      <c r="E36" s="490"/>
      <c r="F36" s="49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489" t="s">
        <v>196</v>
      </c>
      <c r="C37" s="490"/>
      <c r="D37" s="490"/>
      <c r="E37" s="490"/>
      <c r="F37" s="49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489" t="s">
        <v>204</v>
      </c>
      <c r="C38" s="490"/>
      <c r="D38" s="490"/>
      <c r="E38" s="490"/>
      <c r="F38" s="49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489" t="s">
        <v>212</v>
      </c>
      <c r="C39" s="490"/>
      <c r="D39" s="490"/>
      <c r="E39" s="490"/>
      <c r="F39" s="49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05" t="s">
        <v>230</v>
      </c>
      <c r="C40" s="506"/>
      <c r="D40" s="506"/>
      <c r="E40" s="506"/>
      <c r="F40" s="506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489" t="s">
        <v>232</v>
      </c>
      <c r="C41" s="490"/>
      <c r="D41" s="490"/>
      <c r="E41" s="490"/>
      <c r="F41" s="49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489" t="s">
        <v>248</v>
      </c>
      <c r="C42" s="490"/>
      <c r="D42" s="490"/>
      <c r="E42" s="490"/>
      <c r="F42" s="49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489" t="s">
        <v>259</v>
      </c>
      <c r="C43" s="490"/>
      <c r="D43" s="490"/>
      <c r="E43" s="490"/>
      <c r="F43" s="49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489" t="s">
        <v>274</v>
      </c>
      <c r="C44" s="490"/>
      <c r="D44" s="490"/>
      <c r="E44" s="490"/>
      <c r="F44" s="49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489" t="s">
        <v>278</v>
      </c>
      <c r="C45" s="490"/>
      <c r="D45" s="490"/>
      <c r="E45" s="490"/>
      <c r="F45" s="49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03" t="s">
        <v>286</v>
      </c>
      <c r="C46" s="504"/>
      <c r="D46" s="504"/>
      <c r="E46" s="504"/>
      <c r="F46" s="50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03" t="s">
        <v>320</v>
      </c>
      <c r="C47" s="504"/>
      <c r="D47" s="504"/>
      <c r="E47" s="504"/>
      <c r="F47" s="50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40" t="s">
        <v>113</v>
      </c>
      <c r="C48" s="541"/>
      <c r="D48" s="541"/>
      <c r="E48" s="541"/>
      <c r="F48" s="541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47" t="s">
        <v>366</v>
      </c>
      <c r="C49" s="548"/>
      <c r="D49" s="548"/>
      <c r="E49" s="548"/>
      <c r="F49" s="548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9" t="s">
        <v>359</v>
      </c>
      <c r="C50" s="510"/>
      <c r="D50" s="510"/>
      <c r="E50" s="510"/>
      <c r="F50" s="510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49" t="s">
        <v>795</v>
      </c>
      <c r="C51" s="550"/>
      <c r="D51" s="550"/>
      <c r="E51" s="550"/>
      <c r="F51" s="550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51" t="s">
        <v>685</v>
      </c>
      <c r="C52" s="552"/>
      <c r="D52" s="552"/>
      <c r="E52" s="552"/>
      <c r="F52" s="552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1" t="s">
        <v>545</v>
      </c>
      <c r="C53" s="512"/>
      <c r="D53" s="512"/>
      <c r="E53" s="512"/>
      <c r="F53" s="512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3" t="s">
        <v>793</v>
      </c>
      <c r="C54" s="514"/>
      <c r="D54" s="514"/>
      <c r="E54" s="514"/>
      <c r="F54" s="514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45" t="s">
        <v>352</v>
      </c>
      <c r="C55" s="546"/>
      <c r="D55" s="546"/>
      <c r="E55" s="546"/>
      <c r="F55" s="546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31" t="s">
        <v>355</v>
      </c>
      <c r="C56" s="532"/>
      <c r="D56" s="532"/>
      <c r="E56" s="532"/>
      <c r="F56" s="532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507" t="s">
        <v>357</v>
      </c>
      <c r="C57" s="508"/>
      <c r="D57" s="508"/>
      <c r="E57" s="508"/>
      <c r="F57" s="50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1" t="s">
        <v>336</v>
      </c>
      <c r="C58" s="592"/>
      <c r="D58" s="592"/>
      <c r="E58" s="592"/>
      <c r="F58" s="592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33" t="s">
        <v>543</v>
      </c>
      <c r="C59" s="534"/>
      <c r="D59" s="534"/>
      <c r="E59" s="534"/>
      <c r="F59" s="534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497" t="s">
        <v>544</v>
      </c>
      <c r="C60" s="498"/>
      <c r="D60" s="498"/>
      <c r="E60" s="498"/>
      <c r="F60" s="498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31" t="s">
        <v>114</v>
      </c>
      <c r="C61" s="532"/>
      <c r="D61" s="532"/>
      <c r="E61" s="532"/>
      <c r="F61" s="532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7" t="s">
        <v>116</v>
      </c>
      <c r="C62" s="508"/>
      <c r="D62" s="508"/>
      <c r="E62" s="508"/>
      <c r="F62" s="50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7" t="s">
        <v>93</v>
      </c>
      <c r="C63" s="508"/>
      <c r="D63" s="508"/>
      <c r="E63" s="508"/>
      <c r="F63" s="50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59" t="s">
        <v>552</v>
      </c>
      <c r="C100" s="560"/>
      <c r="D100" s="560"/>
      <c r="E100" s="560"/>
      <c r="F100" s="560"/>
      <c r="G100" s="542">
        <v>2019</v>
      </c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4"/>
      <c r="S100" s="107" t="str">
        <f>+S7</f>
        <v>BDP</v>
      </c>
      <c r="T100" s="108">
        <f>+T7</f>
        <v>4951000000</v>
      </c>
    </row>
    <row r="101" spans="1:21" ht="15.75" customHeight="1">
      <c r="B101" s="561"/>
      <c r="C101" s="562"/>
      <c r="D101" s="562"/>
      <c r="E101" s="562"/>
      <c r="F101" s="563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42" t="s">
        <v>809</v>
      </c>
      <c r="T101" s="544">
        <f>+T8</f>
        <v>0</v>
      </c>
    </row>
    <row r="102" spans="1:21" ht="13.5" thickBot="1">
      <c r="B102" s="564"/>
      <c r="C102" s="565"/>
      <c r="D102" s="565"/>
      <c r="E102" s="565"/>
      <c r="F102" s="566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53" t="s">
        <v>681</v>
      </c>
      <c r="C103" s="554"/>
      <c r="D103" s="554"/>
      <c r="E103" s="554"/>
      <c r="F103" s="554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55" t="s">
        <v>21</v>
      </c>
      <c r="C104" s="556"/>
      <c r="D104" s="556"/>
      <c r="E104" s="556"/>
      <c r="F104" s="556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7" t="s">
        <v>23</v>
      </c>
      <c r="C105" s="558"/>
      <c r="D105" s="558"/>
      <c r="E105" s="558"/>
      <c r="F105" s="558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7" t="s">
        <v>25</v>
      </c>
      <c r="C106" s="558"/>
      <c r="D106" s="558"/>
      <c r="E106" s="558"/>
      <c r="F106" s="558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7" t="s">
        <v>27</v>
      </c>
      <c r="C107" s="558"/>
      <c r="D107" s="558"/>
      <c r="E107" s="558"/>
      <c r="F107" s="558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7" t="s">
        <v>29</v>
      </c>
      <c r="C108" s="558"/>
      <c r="D108" s="558"/>
      <c r="E108" s="558"/>
      <c r="F108" s="558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7" t="s">
        <v>31</v>
      </c>
      <c r="C109" s="558"/>
      <c r="D109" s="558"/>
      <c r="E109" s="558"/>
      <c r="F109" s="558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7" t="s">
        <v>33</v>
      </c>
      <c r="C110" s="558"/>
      <c r="D110" s="558"/>
      <c r="E110" s="558"/>
      <c r="F110" s="558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7" t="s">
        <v>722</v>
      </c>
      <c r="C111" s="558"/>
      <c r="D111" s="558"/>
      <c r="E111" s="558"/>
      <c r="F111" s="558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69" t="s">
        <v>37</v>
      </c>
      <c r="C112" s="570"/>
      <c r="D112" s="570"/>
      <c r="E112" s="570"/>
      <c r="F112" s="57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7" t="s">
        <v>39</v>
      </c>
      <c r="C113" s="558"/>
      <c r="D113" s="558"/>
      <c r="E113" s="558"/>
      <c r="F113" s="558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7" t="s">
        <v>41</v>
      </c>
      <c r="C114" s="558"/>
      <c r="D114" s="558"/>
      <c r="E114" s="558"/>
      <c r="F114" s="558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7" t="s">
        <v>43</v>
      </c>
      <c r="C115" s="558"/>
      <c r="D115" s="558"/>
      <c r="E115" s="558"/>
      <c r="F115" s="558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7" t="s">
        <v>45</v>
      </c>
      <c r="C116" s="558"/>
      <c r="D116" s="558"/>
      <c r="E116" s="558"/>
      <c r="F116" s="558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67" t="s">
        <v>47</v>
      </c>
      <c r="C117" s="568"/>
      <c r="D117" s="568"/>
      <c r="E117" s="568"/>
      <c r="F117" s="56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67" t="s">
        <v>61</v>
      </c>
      <c r="C118" s="568"/>
      <c r="D118" s="568"/>
      <c r="E118" s="568"/>
      <c r="F118" s="56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67" t="s">
        <v>81</v>
      </c>
      <c r="C119" s="568"/>
      <c r="D119" s="568"/>
      <c r="E119" s="568"/>
      <c r="F119" s="56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67" t="s">
        <v>99</v>
      </c>
      <c r="C120" s="568"/>
      <c r="D120" s="568"/>
      <c r="E120" s="568"/>
      <c r="F120" s="56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1" t="s">
        <v>105</v>
      </c>
      <c r="C121" s="572"/>
      <c r="D121" s="572"/>
      <c r="E121" s="572"/>
      <c r="F121" s="572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73" t="s">
        <v>811</v>
      </c>
      <c r="C122" s="574"/>
      <c r="D122" s="574"/>
      <c r="E122" s="574"/>
      <c r="F122" s="574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3" t="s">
        <v>774</v>
      </c>
      <c r="C123" s="594"/>
      <c r="D123" s="594"/>
      <c r="E123" s="594"/>
      <c r="F123" s="59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5" t="e">
        <v>#REF!</v>
      </c>
      <c r="C124" s="576"/>
      <c r="D124" s="576"/>
      <c r="E124" s="576"/>
      <c r="F124" s="57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7" t="s">
        <v>122</v>
      </c>
      <c r="C125" s="558"/>
      <c r="D125" s="558"/>
      <c r="E125" s="558"/>
      <c r="F125" s="558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7" t="s">
        <v>133</v>
      </c>
      <c r="C126" s="558"/>
      <c r="D126" s="558"/>
      <c r="E126" s="558"/>
      <c r="F126" s="558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7" t="s">
        <v>148</v>
      </c>
      <c r="C127" s="558"/>
      <c r="D127" s="558"/>
      <c r="E127" s="558"/>
      <c r="F127" s="558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7" t="s">
        <v>162</v>
      </c>
      <c r="C128" s="558"/>
      <c r="D128" s="558"/>
      <c r="E128" s="558"/>
      <c r="F128" s="558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7" t="s">
        <v>182</v>
      </c>
      <c r="C129" s="558"/>
      <c r="D129" s="558"/>
      <c r="E129" s="558"/>
      <c r="F129" s="558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7" t="s">
        <v>190</v>
      </c>
      <c r="C130" s="558"/>
      <c r="D130" s="558"/>
      <c r="E130" s="558"/>
      <c r="F130" s="558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7" t="s">
        <v>196</v>
      </c>
      <c r="C131" s="558"/>
      <c r="D131" s="558"/>
      <c r="E131" s="558"/>
      <c r="F131" s="558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7" t="s">
        <v>204</v>
      </c>
      <c r="C132" s="558"/>
      <c r="D132" s="558"/>
      <c r="E132" s="558"/>
      <c r="F132" s="558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7" t="s">
        <v>212</v>
      </c>
      <c r="C133" s="558"/>
      <c r="D133" s="558"/>
      <c r="E133" s="558"/>
      <c r="F133" s="558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7" t="e">
        <v>#REF!</v>
      </c>
      <c r="C134" s="558"/>
      <c r="D134" s="558"/>
      <c r="E134" s="558"/>
      <c r="F134" s="558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81" t="s">
        <v>230</v>
      </c>
      <c r="C135" s="582"/>
      <c r="D135" s="582"/>
      <c r="E135" s="582"/>
      <c r="F135" s="582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7" t="s">
        <v>232</v>
      </c>
      <c r="C136" s="558"/>
      <c r="D136" s="558"/>
      <c r="E136" s="558"/>
      <c r="F136" s="558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7" t="s">
        <v>248</v>
      </c>
      <c r="C137" s="558"/>
      <c r="D137" s="558"/>
      <c r="E137" s="558"/>
      <c r="F137" s="558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7" t="s">
        <v>259</v>
      </c>
      <c r="C138" s="558"/>
      <c r="D138" s="558"/>
      <c r="E138" s="558"/>
      <c r="F138" s="558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7" t="s">
        <v>274</v>
      </c>
      <c r="C139" s="558"/>
      <c r="D139" s="558"/>
      <c r="E139" s="558"/>
      <c r="F139" s="558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7" t="s">
        <v>278</v>
      </c>
      <c r="C140" s="558"/>
      <c r="D140" s="558"/>
      <c r="E140" s="558"/>
      <c r="F140" s="558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77" t="s">
        <v>286</v>
      </c>
      <c r="C141" s="578"/>
      <c r="D141" s="578"/>
      <c r="E141" s="578"/>
      <c r="F141" s="578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77" t="s">
        <v>812</v>
      </c>
      <c r="C142" s="578"/>
      <c r="D142" s="578"/>
      <c r="E142" s="578"/>
      <c r="F142" s="578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79" t="s">
        <v>113</v>
      </c>
      <c r="C143" s="580"/>
      <c r="D143" s="580"/>
      <c r="E143" s="580"/>
      <c r="F143" s="580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79" t="s">
        <v>366</v>
      </c>
      <c r="C144" s="580"/>
      <c r="D144" s="580"/>
      <c r="E144" s="580"/>
      <c r="F144" s="580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79" t="s">
        <v>359</v>
      </c>
      <c r="C145" s="580"/>
      <c r="D145" s="580"/>
      <c r="E145" s="580"/>
      <c r="F145" s="580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79" t="s">
        <v>365</v>
      </c>
      <c r="C146" s="580"/>
      <c r="D146" s="580"/>
      <c r="E146" s="580"/>
      <c r="F146" s="580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5" t="s">
        <v>686</v>
      </c>
      <c r="C147" s="596"/>
      <c r="D147" s="596"/>
      <c r="E147" s="596"/>
      <c r="F147" s="596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87" t="s">
        <v>545</v>
      </c>
      <c r="C148" s="588"/>
      <c r="D148" s="588"/>
      <c r="E148" s="588"/>
      <c r="F148" s="588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89" t="s">
        <v>813</v>
      </c>
      <c r="C149" s="590"/>
      <c r="D149" s="590"/>
      <c r="E149" s="590"/>
      <c r="F149" s="590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81" t="s">
        <v>352</v>
      </c>
      <c r="C150" s="582"/>
      <c r="D150" s="582"/>
      <c r="E150" s="582"/>
      <c r="F150" s="582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85" t="s">
        <v>355</v>
      </c>
      <c r="C151" s="586"/>
      <c r="D151" s="586"/>
      <c r="E151" s="586"/>
      <c r="F151" s="586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79" t="s">
        <v>357</v>
      </c>
      <c r="C152" s="580"/>
      <c r="D152" s="580"/>
      <c r="E152" s="580"/>
      <c r="F152" s="580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495" t="s">
        <v>770</v>
      </c>
      <c r="C153" s="496"/>
      <c r="D153" s="496"/>
      <c r="E153" s="496"/>
      <c r="F153" s="496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83" t="s">
        <v>543</v>
      </c>
      <c r="C154" s="584"/>
      <c r="D154" s="584"/>
      <c r="E154" s="584"/>
      <c r="F154" s="584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73" t="s">
        <v>544</v>
      </c>
      <c r="C155" s="574"/>
      <c r="D155" s="574"/>
      <c r="E155" s="574"/>
      <c r="F155" s="574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85" t="s">
        <v>114</v>
      </c>
      <c r="C156" s="586"/>
      <c r="D156" s="586"/>
      <c r="E156" s="586"/>
      <c r="F156" s="586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79" t="s">
        <v>116</v>
      </c>
      <c r="C157" s="580"/>
      <c r="D157" s="580"/>
      <c r="E157" s="580"/>
      <c r="F157" s="580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79" t="s">
        <v>93</v>
      </c>
      <c r="C158" s="580"/>
      <c r="D158" s="580"/>
      <c r="E158" s="580"/>
      <c r="F158" s="580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35" t="s">
        <v>554</v>
      </c>
      <c r="C7" s="518"/>
      <c r="D7" s="518"/>
      <c r="E7" s="518"/>
      <c r="F7" s="518"/>
      <c r="G7" s="526">
        <v>2018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">
        <v>419</v>
      </c>
      <c r="T7" s="236">
        <v>4663130000</v>
      </c>
    </row>
    <row r="8" spans="1:20" ht="16.5" customHeight="1">
      <c r="A8" s="144"/>
      <c r="B8" s="519"/>
      <c r="C8" s="520"/>
      <c r="D8" s="520"/>
      <c r="E8" s="520"/>
      <c r="F8" s="52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6" t="s">
        <v>809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85" t="s">
        <v>681</v>
      </c>
      <c r="C10" s="486"/>
      <c r="D10" s="486"/>
      <c r="E10" s="486"/>
      <c r="F10" s="486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487" t="s">
        <v>21</v>
      </c>
      <c r="C11" s="488"/>
      <c r="D11" s="488"/>
      <c r="E11" s="488"/>
      <c r="F11" s="488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489" t="s">
        <v>23</v>
      </c>
      <c r="C12" s="490"/>
      <c r="D12" s="490"/>
      <c r="E12" s="490"/>
      <c r="F12" s="49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489" t="s">
        <v>25</v>
      </c>
      <c r="C13" s="490"/>
      <c r="D13" s="490"/>
      <c r="E13" s="490"/>
      <c r="F13" s="49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489" t="s">
        <v>27</v>
      </c>
      <c r="C14" s="490"/>
      <c r="D14" s="490"/>
      <c r="E14" s="490"/>
      <c r="F14" s="49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489" t="s">
        <v>29</v>
      </c>
      <c r="C15" s="490"/>
      <c r="D15" s="490"/>
      <c r="E15" s="490"/>
      <c r="F15" s="49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489" t="s">
        <v>31</v>
      </c>
      <c r="C16" s="490"/>
      <c r="D16" s="490"/>
      <c r="E16" s="490"/>
      <c r="F16" s="49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489" t="s">
        <v>33</v>
      </c>
      <c r="C17" s="490"/>
      <c r="D17" s="490"/>
      <c r="E17" s="490"/>
      <c r="F17" s="49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489" t="s">
        <v>722</v>
      </c>
      <c r="C18" s="490"/>
      <c r="D18" s="490"/>
      <c r="E18" s="490"/>
      <c r="F18" s="49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493" t="s">
        <v>37</v>
      </c>
      <c r="C19" s="494"/>
      <c r="D19" s="494"/>
      <c r="E19" s="494"/>
      <c r="F19" s="494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489" t="s">
        <v>39</v>
      </c>
      <c r="C20" s="490"/>
      <c r="D20" s="490"/>
      <c r="E20" s="490"/>
      <c r="F20" s="49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489" t="s">
        <v>41</v>
      </c>
      <c r="C21" s="490"/>
      <c r="D21" s="490"/>
      <c r="E21" s="490"/>
      <c r="F21" s="49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489" t="s">
        <v>43</v>
      </c>
      <c r="C22" s="490"/>
      <c r="D22" s="490"/>
      <c r="E22" s="490"/>
      <c r="F22" s="49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489" t="s">
        <v>45</v>
      </c>
      <c r="C23" s="490"/>
      <c r="D23" s="490"/>
      <c r="E23" s="490"/>
      <c r="F23" s="49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491" t="s">
        <v>47</v>
      </c>
      <c r="C24" s="492"/>
      <c r="D24" s="492"/>
      <c r="E24" s="492"/>
      <c r="F24" s="49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491" t="s">
        <v>61</v>
      </c>
      <c r="C25" s="492"/>
      <c r="D25" s="492"/>
      <c r="E25" s="492"/>
      <c r="F25" s="49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491" t="s">
        <v>81</v>
      </c>
      <c r="C26" s="492"/>
      <c r="D26" s="492"/>
      <c r="E26" s="492"/>
      <c r="F26" s="49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491" t="s">
        <v>99</v>
      </c>
      <c r="C27" s="492"/>
      <c r="D27" s="492"/>
      <c r="E27" s="492"/>
      <c r="F27" s="49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495" t="s">
        <v>105</v>
      </c>
      <c r="C28" s="496"/>
      <c r="D28" s="496"/>
      <c r="E28" s="496"/>
      <c r="F28" s="496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497" t="s">
        <v>802</v>
      </c>
      <c r="C29" s="498"/>
      <c r="D29" s="498"/>
      <c r="E29" s="498"/>
      <c r="F29" s="498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499" t="s">
        <v>774</v>
      </c>
      <c r="C30" s="500"/>
      <c r="D30" s="500"/>
      <c r="E30" s="500"/>
      <c r="F30" s="500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01" t="s">
        <v>120</v>
      </c>
      <c r="C31" s="502"/>
      <c r="D31" s="502"/>
      <c r="E31" s="502"/>
      <c r="F31" s="502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489" t="s">
        <v>122</v>
      </c>
      <c r="C32" s="490"/>
      <c r="D32" s="490"/>
      <c r="E32" s="490"/>
      <c r="F32" s="49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489" t="s">
        <v>133</v>
      </c>
      <c r="C33" s="490"/>
      <c r="D33" s="490"/>
      <c r="E33" s="490"/>
      <c r="F33" s="49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489" t="s">
        <v>148</v>
      </c>
      <c r="C34" s="490"/>
      <c r="D34" s="490"/>
      <c r="E34" s="490"/>
      <c r="F34" s="49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489" t="s">
        <v>162</v>
      </c>
      <c r="C35" s="490"/>
      <c r="D35" s="490"/>
      <c r="E35" s="490"/>
      <c r="F35" s="49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489" t="s">
        <v>182</v>
      </c>
      <c r="C36" s="490"/>
      <c r="D36" s="490"/>
      <c r="E36" s="490"/>
      <c r="F36" s="49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489" t="s">
        <v>190</v>
      </c>
      <c r="C37" s="490"/>
      <c r="D37" s="490"/>
      <c r="E37" s="490"/>
      <c r="F37" s="49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489" t="s">
        <v>196</v>
      </c>
      <c r="C38" s="490"/>
      <c r="D38" s="490"/>
      <c r="E38" s="490"/>
      <c r="F38" s="49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489" t="s">
        <v>204</v>
      </c>
      <c r="C39" s="490"/>
      <c r="D39" s="490"/>
      <c r="E39" s="490"/>
      <c r="F39" s="49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489" t="s">
        <v>212</v>
      </c>
      <c r="C40" s="490"/>
      <c r="D40" s="490"/>
      <c r="E40" s="490"/>
      <c r="F40" s="49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489" t="s">
        <v>803</v>
      </c>
      <c r="C41" s="490"/>
      <c r="D41" s="490"/>
      <c r="E41" s="490"/>
      <c r="F41" s="49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05" t="s">
        <v>230</v>
      </c>
      <c r="C42" s="506"/>
      <c r="D42" s="506"/>
      <c r="E42" s="506"/>
      <c r="F42" s="50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489" t="s">
        <v>232</v>
      </c>
      <c r="C43" s="490"/>
      <c r="D43" s="490"/>
      <c r="E43" s="490"/>
      <c r="F43" s="49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489" t="s">
        <v>248</v>
      </c>
      <c r="C44" s="490"/>
      <c r="D44" s="490"/>
      <c r="E44" s="490"/>
      <c r="F44" s="49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489" t="s">
        <v>259</v>
      </c>
      <c r="C45" s="490"/>
      <c r="D45" s="490"/>
      <c r="E45" s="490"/>
      <c r="F45" s="49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489" t="s">
        <v>274</v>
      </c>
      <c r="C46" s="490"/>
      <c r="D46" s="490"/>
      <c r="E46" s="490"/>
      <c r="F46" s="49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7" t="s">
        <v>278</v>
      </c>
      <c r="C47" s="598"/>
      <c r="D47" s="598"/>
      <c r="E47" s="598"/>
      <c r="F47" s="59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03" t="s">
        <v>286</v>
      </c>
      <c r="C48" s="504"/>
      <c r="D48" s="504"/>
      <c r="E48" s="504"/>
      <c r="F48" s="50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03" t="s">
        <v>320</v>
      </c>
      <c r="C49" s="504"/>
      <c r="D49" s="504"/>
      <c r="E49" s="504"/>
      <c r="F49" s="50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40" t="s">
        <v>113</v>
      </c>
      <c r="C50" s="541"/>
      <c r="D50" s="541"/>
      <c r="E50" s="541"/>
      <c r="F50" s="541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7" t="s">
        <v>366</v>
      </c>
      <c r="C51" s="508"/>
      <c r="D51" s="508"/>
      <c r="E51" s="508"/>
      <c r="F51" s="50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9" t="s">
        <v>359</v>
      </c>
      <c r="C52" s="510"/>
      <c r="D52" s="510"/>
      <c r="E52" s="510"/>
      <c r="F52" s="510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49" t="s">
        <v>795</v>
      </c>
      <c r="C53" s="550"/>
      <c r="D53" s="550"/>
      <c r="E53" s="550"/>
      <c r="F53" s="550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51" t="s">
        <v>685</v>
      </c>
      <c r="C54" s="552"/>
      <c r="D54" s="552"/>
      <c r="E54" s="552"/>
      <c r="F54" s="552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1" t="s">
        <v>545</v>
      </c>
      <c r="C55" s="512"/>
      <c r="D55" s="512"/>
      <c r="E55" s="512"/>
      <c r="F55" s="51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3" t="s">
        <v>794</v>
      </c>
      <c r="C57" s="514"/>
      <c r="D57" s="514"/>
      <c r="E57" s="514"/>
      <c r="F57" s="51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45" t="s">
        <v>352</v>
      </c>
      <c r="C58" s="546"/>
      <c r="D58" s="546"/>
      <c r="E58" s="546"/>
      <c r="F58" s="546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31" t="s">
        <v>355</v>
      </c>
      <c r="C59" s="532"/>
      <c r="D59" s="532"/>
      <c r="E59" s="532"/>
      <c r="F59" s="532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7" t="s">
        <v>357</v>
      </c>
      <c r="C60" s="508"/>
      <c r="D60" s="508"/>
      <c r="E60" s="508"/>
      <c r="F60" s="50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1" t="s">
        <v>336</v>
      </c>
      <c r="C61" s="592"/>
      <c r="D61" s="592"/>
      <c r="E61" s="592"/>
      <c r="F61" s="592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33" t="s">
        <v>543</v>
      </c>
      <c r="C62" s="534"/>
      <c r="D62" s="534"/>
      <c r="E62" s="534"/>
      <c r="F62" s="53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497" t="s">
        <v>544</v>
      </c>
      <c r="C63" s="498"/>
      <c r="D63" s="498"/>
      <c r="E63" s="498"/>
      <c r="F63" s="498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31" t="s">
        <v>114</v>
      </c>
      <c r="C64" s="532"/>
      <c r="D64" s="532"/>
      <c r="E64" s="532"/>
      <c r="F64" s="532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7" t="s">
        <v>116</v>
      </c>
      <c r="C65" s="508"/>
      <c r="D65" s="508"/>
      <c r="E65" s="508"/>
      <c r="F65" s="50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7" t="s">
        <v>93</v>
      </c>
      <c r="C66" s="508"/>
      <c r="D66" s="508"/>
      <c r="E66" s="508"/>
      <c r="F66" s="50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59" t="s">
        <v>552</v>
      </c>
      <c r="C103" s="560"/>
      <c r="D103" s="560"/>
      <c r="E103" s="560"/>
      <c r="F103" s="560"/>
      <c r="G103" s="542">
        <v>2018</v>
      </c>
      <c r="H103" s="543"/>
      <c r="I103" s="543"/>
      <c r="J103" s="543"/>
      <c r="K103" s="543"/>
      <c r="L103" s="543"/>
      <c r="M103" s="543"/>
      <c r="N103" s="543"/>
      <c r="O103" s="543"/>
      <c r="P103" s="543"/>
      <c r="Q103" s="543"/>
      <c r="R103" s="544"/>
      <c r="S103" s="107" t="str">
        <f>+S7</f>
        <v>BDP</v>
      </c>
      <c r="T103" s="108">
        <f>+T7</f>
        <v>4663130000</v>
      </c>
    </row>
    <row r="104" spans="1:21" ht="15.75" customHeight="1">
      <c r="B104" s="561"/>
      <c r="C104" s="562"/>
      <c r="D104" s="562"/>
      <c r="E104" s="562"/>
      <c r="F104" s="563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42" t="s">
        <v>809</v>
      </c>
      <c r="T104" s="544">
        <f>+T8</f>
        <v>0</v>
      </c>
    </row>
    <row r="105" spans="1:21" ht="13.5" thickBot="1">
      <c r="B105" s="564"/>
      <c r="C105" s="565"/>
      <c r="D105" s="565"/>
      <c r="E105" s="565"/>
      <c r="F105" s="566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3" t="s">
        <v>681</v>
      </c>
      <c r="C106" s="554"/>
      <c r="D106" s="554"/>
      <c r="E106" s="554"/>
      <c r="F106" s="554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55" t="s">
        <v>21</v>
      </c>
      <c r="C107" s="556"/>
      <c r="D107" s="556"/>
      <c r="E107" s="556"/>
      <c r="F107" s="556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7" t="s">
        <v>23</v>
      </c>
      <c r="C108" s="558"/>
      <c r="D108" s="558"/>
      <c r="E108" s="558"/>
      <c r="F108" s="558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7" t="s">
        <v>25</v>
      </c>
      <c r="C109" s="558"/>
      <c r="D109" s="558"/>
      <c r="E109" s="558"/>
      <c r="F109" s="558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7" t="s">
        <v>27</v>
      </c>
      <c r="C110" s="558"/>
      <c r="D110" s="558"/>
      <c r="E110" s="558"/>
      <c r="F110" s="558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7" t="s">
        <v>29</v>
      </c>
      <c r="C111" s="558"/>
      <c r="D111" s="558"/>
      <c r="E111" s="558"/>
      <c r="F111" s="558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7" t="s">
        <v>31</v>
      </c>
      <c r="C112" s="558"/>
      <c r="D112" s="558"/>
      <c r="E112" s="558"/>
      <c r="F112" s="558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7" t="s">
        <v>33</v>
      </c>
      <c r="C113" s="558"/>
      <c r="D113" s="558"/>
      <c r="E113" s="558"/>
      <c r="F113" s="558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7" t="s">
        <v>722</v>
      </c>
      <c r="C114" s="558"/>
      <c r="D114" s="558"/>
      <c r="E114" s="558"/>
      <c r="F114" s="558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69" t="s">
        <v>37</v>
      </c>
      <c r="C115" s="570"/>
      <c r="D115" s="570"/>
      <c r="E115" s="570"/>
      <c r="F115" s="57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7" t="s">
        <v>39</v>
      </c>
      <c r="C116" s="558"/>
      <c r="D116" s="558"/>
      <c r="E116" s="558"/>
      <c r="F116" s="558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7" t="s">
        <v>41</v>
      </c>
      <c r="C117" s="558"/>
      <c r="D117" s="558"/>
      <c r="E117" s="558"/>
      <c r="F117" s="558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7" t="s">
        <v>43</v>
      </c>
      <c r="C118" s="558"/>
      <c r="D118" s="558"/>
      <c r="E118" s="558"/>
      <c r="F118" s="558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7" t="s">
        <v>45</v>
      </c>
      <c r="C119" s="558"/>
      <c r="D119" s="558"/>
      <c r="E119" s="558"/>
      <c r="F119" s="558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67" t="s">
        <v>47</v>
      </c>
      <c r="C120" s="568"/>
      <c r="D120" s="568"/>
      <c r="E120" s="568"/>
      <c r="F120" s="56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67" t="s">
        <v>61</v>
      </c>
      <c r="C121" s="568"/>
      <c r="D121" s="568"/>
      <c r="E121" s="568"/>
      <c r="F121" s="56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67" t="s">
        <v>81</v>
      </c>
      <c r="C122" s="568"/>
      <c r="D122" s="568"/>
      <c r="E122" s="568"/>
      <c r="F122" s="56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67" t="s">
        <v>99</v>
      </c>
      <c r="C123" s="568"/>
      <c r="D123" s="568"/>
      <c r="E123" s="568"/>
      <c r="F123" s="56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1" t="s">
        <v>105</v>
      </c>
      <c r="C124" s="572"/>
      <c r="D124" s="572"/>
      <c r="E124" s="572"/>
      <c r="F124" s="572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73" t="s">
        <v>811</v>
      </c>
      <c r="C125" s="574"/>
      <c r="D125" s="574"/>
      <c r="E125" s="574"/>
      <c r="F125" s="574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3" t="s">
        <v>774</v>
      </c>
      <c r="C126" s="594"/>
      <c r="D126" s="594"/>
      <c r="E126" s="594"/>
      <c r="F126" s="59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5" t="s">
        <v>120</v>
      </c>
      <c r="C127" s="576"/>
      <c r="D127" s="576"/>
      <c r="E127" s="576"/>
      <c r="F127" s="57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7" t="s">
        <v>122</v>
      </c>
      <c r="C128" s="558"/>
      <c r="D128" s="558"/>
      <c r="E128" s="558"/>
      <c r="F128" s="558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7" t="s">
        <v>133</v>
      </c>
      <c r="C129" s="558"/>
      <c r="D129" s="558"/>
      <c r="E129" s="558"/>
      <c r="F129" s="558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7" t="s">
        <v>148</v>
      </c>
      <c r="C130" s="558"/>
      <c r="D130" s="558"/>
      <c r="E130" s="558"/>
      <c r="F130" s="558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7" t="s">
        <v>162</v>
      </c>
      <c r="C131" s="558"/>
      <c r="D131" s="558"/>
      <c r="E131" s="558"/>
      <c r="F131" s="558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7" t="s">
        <v>182</v>
      </c>
      <c r="C132" s="558"/>
      <c r="D132" s="558"/>
      <c r="E132" s="558"/>
      <c r="F132" s="558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7" t="s">
        <v>190</v>
      </c>
      <c r="C133" s="558"/>
      <c r="D133" s="558"/>
      <c r="E133" s="558"/>
      <c r="F133" s="558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7" t="s">
        <v>196</v>
      </c>
      <c r="C134" s="558"/>
      <c r="D134" s="558"/>
      <c r="E134" s="558"/>
      <c r="F134" s="558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7" t="s">
        <v>204</v>
      </c>
      <c r="C135" s="558"/>
      <c r="D135" s="558"/>
      <c r="E135" s="558"/>
      <c r="F135" s="558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7" t="s">
        <v>212</v>
      </c>
      <c r="C136" s="558"/>
      <c r="D136" s="558"/>
      <c r="E136" s="558"/>
      <c r="F136" s="558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7" t="s">
        <v>803</v>
      </c>
      <c r="C137" s="558"/>
      <c r="D137" s="558"/>
      <c r="E137" s="558"/>
      <c r="F137" s="558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81" t="s">
        <v>230</v>
      </c>
      <c r="C138" s="582"/>
      <c r="D138" s="582"/>
      <c r="E138" s="582"/>
      <c r="F138" s="582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7" t="s">
        <v>232</v>
      </c>
      <c r="C139" s="558"/>
      <c r="D139" s="558"/>
      <c r="E139" s="558"/>
      <c r="F139" s="558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7" t="s">
        <v>248</v>
      </c>
      <c r="C140" s="558"/>
      <c r="D140" s="558"/>
      <c r="E140" s="558"/>
      <c r="F140" s="558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7" t="s">
        <v>259</v>
      </c>
      <c r="C141" s="558"/>
      <c r="D141" s="558"/>
      <c r="E141" s="558"/>
      <c r="F141" s="558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7" t="s">
        <v>274</v>
      </c>
      <c r="C142" s="558"/>
      <c r="D142" s="558"/>
      <c r="E142" s="558"/>
      <c r="F142" s="558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7" t="s">
        <v>278</v>
      </c>
      <c r="C143" s="558"/>
      <c r="D143" s="558"/>
      <c r="E143" s="558"/>
      <c r="F143" s="558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77" t="s">
        <v>286</v>
      </c>
      <c r="C144" s="578"/>
      <c r="D144" s="578"/>
      <c r="E144" s="578"/>
      <c r="F144" s="578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77" t="s">
        <v>812</v>
      </c>
      <c r="C145" s="578"/>
      <c r="D145" s="578"/>
      <c r="E145" s="578"/>
      <c r="F145" s="578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79" t="s">
        <v>113</v>
      </c>
      <c r="C146" s="580"/>
      <c r="D146" s="580"/>
      <c r="E146" s="580"/>
      <c r="F146" s="580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79" t="s">
        <v>366</v>
      </c>
      <c r="C147" s="580"/>
      <c r="D147" s="580"/>
      <c r="E147" s="580"/>
      <c r="F147" s="580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79" t="s">
        <v>359</v>
      </c>
      <c r="C148" s="580"/>
      <c r="D148" s="580"/>
      <c r="E148" s="580"/>
      <c r="F148" s="580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87" t="s">
        <v>545</v>
      </c>
      <c r="C150" s="588"/>
      <c r="D150" s="588"/>
      <c r="E150" s="588"/>
      <c r="F150" s="588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89" t="s">
        <v>813</v>
      </c>
      <c r="C151" s="590"/>
      <c r="D151" s="590"/>
      <c r="E151" s="590"/>
      <c r="F151" s="590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81" t="s">
        <v>352</v>
      </c>
      <c r="C152" s="582"/>
      <c r="D152" s="582"/>
      <c r="E152" s="582"/>
      <c r="F152" s="582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85" t="s">
        <v>355</v>
      </c>
      <c r="C153" s="586"/>
      <c r="D153" s="586"/>
      <c r="E153" s="586"/>
      <c r="F153" s="586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79" t="s">
        <v>357</v>
      </c>
      <c r="C154" s="580"/>
      <c r="D154" s="580"/>
      <c r="E154" s="580"/>
      <c r="F154" s="580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79" t="s">
        <v>365</v>
      </c>
      <c r="C155" s="580"/>
      <c r="D155" s="580"/>
      <c r="E155" s="580"/>
      <c r="F155" s="580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83" t="s">
        <v>543</v>
      </c>
      <c r="C157" s="584"/>
      <c r="D157" s="584"/>
      <c r="E157" s="584"/>
      <c r="F157" s="584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73" t="s">
        <v>544</v>
      </c>
      <c r="C158" s="574"/>
      <c r="D158" s="574"/>
      <c r="E158" s="574"/>
      <c r="F158" s="574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85" t="s">
        <v>114</v>
      </c>
      <c r="C159" s="586"/>
      <c r="D159" s="586"/>
      <c r="E159" s="586"/>
      <c r="F159" s="586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79" t="s">
        <v>116</v>
      </c>
      <c r="C160" s="580"/>
      <c r="D160" s="580"/>
      <c r="E160" s="580"/>
      <c r="F160" s="580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79" t="s">
        <v>93</v>
      </c>
      <c r="C161" s="580"/>
      <c r="D161" s="580"/>
      <c r="E161" s="580"/>
      <c r="F161" s="580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44" activePane="bottomRight" state="frozen"/>
      <selection pane="topRight" activeCell="F1" sqref="F1"/>
      <selection pane="bottomLeft" activeCell="A8" sqref="A8"/>
      <selection pane="bottomRight" activeCell="FR52" sqref="FR52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2" t="s">
        <v>555</v>
      </c>
      <c r="F6" s="600">
        <v>2006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601"/>
      <c r="R6" s="600">
        <v>2007</v>
      </c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601"/>
      <c r="AD6" s="600">
        <v>2008</v>
      </c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601"/>
      <c r="AP6" s="600">
        <v>2009</v>
      </c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601"/>
      <c r="BB6" s="600">
        <v>2010</v>
      </c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601"/>
      <c r="BN6" s="600">
        <v>2011</v>
      </c>
      <c r="BO6" s="599"/>
      <c r="BP6" s="599"/>
      <c r="BQ6" s="599"/>
      <c r="BR6" s="599"/>
      <c r="BS6" s="599"/>
      <c r="BT6" s="599"/>
      <c r="BU6" s="599"/>
      <c r="BV6" s="599"/>
      <c r="BW6" s="599"/>
      <c r="BX6" s="599"/>
      <c r="BY6" s="601"/>
      <c r="BZ6" s="599">
        <v>2012</v>
      </c>
      <c r="CA6" s="599"/>
      <c r="CB6" s="599"/>
      <c r="CC6" s="599"/>
      <c r="CD6" s="599"/>
      <c r="CE6" s="599"/>
      <c r="CF6" s="599"/>
      <c r="CG6" s="599"/>
      <c r="CH6" s="599"/>
      <c r="CI6" s="599"/>
      <c r="CJ6" s="599"/>
      <c r="CK6" s="599"/>
      <c r="CL6" s="600">
        <v>2013</v>
      </c>
      <c r="CM6" s="599"/>
      <c r="CN6" s="599"/>
      <c r="CO6" s="599"/>
      <c r="CP6" s="599"/>
      <c r="CQ6" s="599"/>
      <c r="CR6" s="599"/>
      <c r="CS6" s="599"/>
      <c r="CT6" s="599"/>
      <c r="CU6" s="599"/>
      <c r="CV6" s="599"/>
      <c r="CW6" s="601"/>
      <c r="CX6" s="600">
        <v>2014</v>
      </c>
      <c r="CY6" s="599"/>
      <c r="CZ6" s="599"/>
      <c r="DA6" s="599"/>
      <c r="DB6" s="599"/>
      <c r="DC6" s="599"/>
      <c r="DD6" s="599"/>
      <c r="DE6" s="599"/>
      <c r="DF6" s="599"/>
      <c r="DG6" s="599"/>
      <c r="DH6" s="599"/>
      <c r="DI6" s="601"/>
      <c r="DJ6" s="600">
        <v>2015</v>
      </c>
      <c r="DK6" s="599"/>
      <c r="DL6" s="599"/>
      <c r="DM6" s="599"/>
      <c r="DN6" s="599"/>
      <c r="DO6" s="599"/>
      <c r="DP6" s="599"/>
      <c r="DQ6" s="599"/>
      <c r="DR6" s="599"/>
      <c r="DS6" s="599"/>
      <c r="DT6" s="599"/>
      <c r="DU6" s="601"/>
    </row>
    <row r="7" spans="1:321">
      <c r="E7" s="60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1483659.28</v>
      </c>
      <c r="FS35" s="353">
        <f t="shared" si="9"/>
        <v>2100277.88</v>
      </c>
      <c r="FT35" s="353">
        <f t="shared" si="9"/>
        <v>4244020.3499999996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3216729.54</v>
      </c>
      <c r="FZ35" s="304">
        <f t="shared" si="9"/>
        <v>11550447.479999999</v>
      </c>
      <c r="GA35" s="353">
        <f t="shared" si="9"/>
        <v>1941236.87</v>
      </c>
      <c r="GB35" s="353">
        <f t="shared" si="9"/>
        <v>1756272.85</v>
      </c>
      <c r="GC35" s="353">
        <f t="shared" si="9"/>
        <v>2626238.34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489153.56</v>
      </c>
      <c r="FS39" s="352">
        <v>623499.68000000005</v>
      </c>
      <c r="FT39" s="302">
        <v>1057658.83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1850529.7</v>
      </c>
      <c r="FZ39" s="302">
        <v>612687.1</v>
      </c>
      <c r="GA39" s="302">
        <v>627538.14</v>
      </c>
      <c r="GB39" s="302">
        <v>664221.43000000005</v>
      </c>
      <c r="GC39" s="302">
        <v>1086194.1200000001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2968039.43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5901779.6799999997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40884832.280000001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2438901.1800000002</v>
      </c>
      <c r="FU69" s="302">
        <v>2981687.21</v>
      </c>
      <c r="FV69" s="302">
        <v>1829547.16</v>
      </c>
      <c r="FW69" s="302">
        <v>2089784.74</v>
      </c>
      <c r="FX69" s="302">
        <v>3584908.38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1498432.23</v>
      </c>
      <c r="FS76" s="302">
        <v>5735111.25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6553728.3099999996</v>
      </c>
      <c r="GB76" s="302">
        <v>5833602.8700000001</v>
      </c>
      <c r="GC76" s="302">
        <v>10154138.76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22559197.739999998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9173650.0500000007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4264127.51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23914749.120000001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19124293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2" t="s">
        <v>676</v>
      </c>
      <c r="F214" s="600">
        <v>2006</v>
      </c>
      <c r="G214" s="599"/>
      <c r="H214" s="599"/>
      <c r="I214" s="599"/>
      <c r="J214" s="599"/>
      <c r="K214" s="599"/>
      <c r="L214" s="599"/>
      <c r="M214" s="599"/>
      <c r="N214" s="599"/>
      <c r="O214" s="599"/>
      <c r="P214" s="599"/>
      <c r="Q214" s="601"/>
      <c r="R214" s="600">
        <v>2007</v>
      </c>
      <c r="S214" s="599"/>
      <c r="T214" s="599"/>
      <c r="U214" s="599"/>
      <c r="V214" s="599"/>
      <c r="W214" s="599"/>
      <c r="X214" s="599"/>
      <c r="Y214" s="599"/>
      <c r="Z214" s="599"/>
      <c r="AA214" s="599"/>
      <c r="AB214" s="599"/>
      <c r="AC214" s="601"/>
      <c r="AD214" s="600">
        <v>2008</v>
      </c>
      <c r="AE214" s="599"/>
      <c r="AF214" s="599"/>
      <c r="AG214" s="599"/>
      <c r="AH214" s="599"/>
      <c r="AI214" s="599"/>
      <c r="AJ214" s="599"/>
      <c r="AK214" s="599"/>
      <c r="AL214" s="599"/>
      <c r="AM214" s="599"/>
      <c r="AN214" s="599"/>
      <c r="AO214" s="601"/>
      <c r="AP214" s="600">
        <v>2009</v>
      </c>
      <c r="AQ214" s="599"/>
      <c r="AR214" s="599"/>
      <c r="AS214" s="599"/>
      <c r="AT214" s="599"/>
      <c r="AU214" s="599"/>
      <c r="AV214" s="599"/>
      <c r="AW214" s="599"/>
      <c r="AX214" s="599"/>
      <c r="AY214" s="599"/>
      <c r="AZ214" s="599"/>
      <c r="BA214" s="601"/>
      <c r="BB214" s="600">
        <v>2010</v>
      </c>
      <c r="BC214" s="599"/>
      <c r="BD214" s="599"/>
      <c r="BE214" s="599"/>
      <c r="BF214" s="599"/>
      <c r="BG214" s="599"/>
      <c r="BH214" s="599"/>
      <c r="BI214" s="599"/>
      <c r="BJ214" s="599"/>
      <c r="BK214" s="599"/>
      <c r="BL214" s="599"/>
      <c r="BM214" s="601"/>
      <c r="BN214" s="600">
        <v>2011</v>
      </c>
      <c r="BO214" s="599"/>
      <c r="BP214" s="599"/>
      <c r="BQ214" s="599"/>
      <c r="BR214" s="599"/>
      <c r="BS214" s="599"/>
      <c r="BT214" s="599"/>
      <c r="BU214" s="599"/>
      <c r="BV214" s="599"/>
      <c r="BW214" s="599"/>
      <c r="BX214" s="599"/>
      <c r="BY214" s="601"/>
      <c r="BZ214" s="599">
        <v>2012</v>
      </c>
      <c r="CA214" s="599"/>
      <c r="CB214" s="599"/>
      <c r="CC214" s="599"/>
      <c r="CD214" s="599"/>
      <c r="CE214" s="599"/>
      <c r="CF214" s="599"/>
      <c r="CG214" s="599"/>
      <c r="CH214" s="599"/>
      <c r="CI214" s="599"/>
      <c r="CJ214" s="599"/>
      <c r="CK214" s="599"/>
      <c r="CL214" s="600">
        <v>2013</v>
      </c>
      <c r="CM214" s="599"/>
      <c r="CN214" s="599"/>
      <c r="CO214" s="599"/>
      <c r="CP214" s="599"/>
      <c r="CQ214" s="599"/>
      <c r="CR214" s="599"/>
      <c r="CS214" s="599"/>
      <c r="CT214" s="599"/>
      <c r="CU214" s="599"/>
      <c r="CV214" s="599"/>
      <c r="CW214" s="601"/>
      <c r="CX214" s="600">
        <v>2014</v>
      </c>
      <c r="CY214" s="599"/>
      <c r="CZ214" s="599"/>
      <c r="DA214" s="599"/>
      <c r="DB214" s="599"/>
      <c r="DC214" s="599"/>
      <c r="DD214" s="599"/>
      <c r="DE214" s="599"/>
      <c r="DF214" s="599"/>
      <c r="DG214" s="599"/>
      <c r="DH214" s="599"/>
      <c r="DI214" s="601"/>
      <c r="DJ214" s="600">
        <v>2015</v>
      </c>
      <c r="DK214" s="599"/>
      <c r="DL214" s="599"/>
      <c r="DM214" s="599"/>
      <c r="DN214" s="599"/>
      <c r="DO214" s="599"/>
      <c r="DP214" s="599"/>
      <c r="DQ214" s="599"/>
      <c r="DR214" s="599"/>
      <c r="DS214" s="599"/>
      <c r="DT214" s="599"/>
      <c r="DU214" s="601"/>
    </row>
    <row r="215" spans="1:187">
      <c r="E215" s="60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3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Mart</v>
      </c>
    </row>
    <row r="245" spans="4:7">
      <c r="D245" s="49"/>
      <c r="E245" s="9"/>
      <c r="F245" s="10"/>
      <c r="G245" s="52" t="str">
        <f>+CONCATENATE("Jan - ",LEFT(G244,3))</f>
        <v>Jan - Mar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Mar</v>
      </c>
      <c r="F253" s="10" t="str">
        <f>+CONCATENATE("Analytics for period ",G245)</f>
        <v>Analytics for period Jan - Mar</v>
      </c>
      <c r="G253" s="52" t="str">
        <f>+IF(ISBLANK(IF($B$2=1,E253,F253)),"",IF($B$2=1,E253,F253))</f>
        <v>Analitika za period Jan - Mar</v>
      </c>
    </row>
    <row r="254" spans="4:7">
      <c r="D254" s="46"/>
      <c r="E254" s="9" t="str">
        <f>+CONCATENATE("Analitika za period ",G244)</f>
        <v>Analitika za period Mart</v>
      </c>
      <c r="F254" s="10" t="str">
        <f>+CONCATENATE("Analytics for period ",G244)</f>
        <v>Analytics for period Mart</v>
      </c>
      <c r="G254" s="52" t="str">
        <f>+IF(ISBLANK(IF($B$2=1,E254,F254)),"",IF($B$2=1,E254,F254))</f>
        <v>Analitika za period Mart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Mart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Mart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Mart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Mart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Mart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Mart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2021-03-12T06:45:13Z</cp:lastPrinted>
  <dcterms:created xsi:type="dcterms:W3CDTF">2014-09-15T13:41:17Z</dcterms:created>
  <dcterms:modified xsi:type="dcterms:W3CDTF">2021-05-04T07:29:23Z</dcterms:modified>
</cp:coreProperties>
</file>