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MoF\Budzet\izvrsenje budzeta\Izvjestaji\Izvjestaji 2022\Maj GDDS\"/>
    </mc:Choice>
  </mc:AlternateContent>
  <bookViews>
    <workbookView xWindow="0" yWindow="0" windowWidth="24000" windowHeight="9000" tabRatio="587" firstSheet="1" activeTab="3"/>
  </bookViews>
  <sheets>
    <sheet name="Analitika - 2014" sheetId="3" state="hidden" r:id="rId1"/>
    <sheet name="Pregled" sheetId="26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externalReferences>
    <externalReference r:id="rId11"/>
  </externalReference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6" l="1"/>
  <c r="D16" i="26"/>
  <c r="D12" i="26"/>
  <c r="R64" i="11" l="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3" i="11"/>
  <c r="N62" i="11"/>
  <c r="N61" i="11"/>
  <c r="N58" i="11"/>
  <c r="N57" i="11"/>
  <c r="N56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8" i="11"/>
  <c r="N17" i="11"/>
  <c r="N16" i="11"/>
  <c r="N15" i="11"/>
  <c r="N14" i="11"/>
  <c r="N13" i="11"/>
  <c r="N12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E4" i="26" l="1"/>
  <c r="E3" i="26"/>
  <c r="E2" i="26"/>
  <c r="E5" i="20" l="1"/>
  <c r="E5" i="19"/>
  <c r="S121" i="25" l="1"/>
  <c r="B138" i="25" l="1"/>
  <c r="A138" i="25"/>
  <c r="S137" i="25"/>
  <c r="T137" i="25" s="1"/>
  <c r="B137" i="25"/>
  <c r="A137" i="25"/>
  <c r="S136" i="25"/>
  <c r="T136" i="25" s="1"/>
  <c r="B136" i="25"/>
  <c r="A136" i="25"/>
  <c r="S135" i="25"/>
  <c r="T135" i="25" s="1"/>
  <c r="B135" i="25"/>
  <c r="A135" i="25"/>
  <c r="B134" i="25"/>
  <c r="A134" i="25"/>
  <c r="B133" i="25"/>
  <c r="A133" i="25"/>
  <c r="S132" i="25"/>
  <c r="T132" i="25" s="1"/>
  <c r="B132" i="25"/>
  <c r="A132" i="25"/>
  <c r="S131" i="25"/>
  <c r="T131" i="25" s="1"/>
  <c r="B131" i="25"/>
  <c r="A131" i="25"/>
  <c r="S130" i="25"/>
  <c r="T130" i="25" s="1"/>
  <c r="B130" i="25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B128" i="25"/>
  <c r="A128" i="25"/>
  <c r="B127" i="25"/>
  <c r="A127" i="25"/>
  <c r="S126" i="25"/>
  <c r="T126" i="25" s="1"/>
  <c r="B126" i="25"/>
  <c r="A126" i="25"/>
  <c r="S125" i="25"/>
  <c r="T125" i="25" s="1"/>
  <c r="B125" i="25"/>
  <c r="A125" i="25"/>
  <c r="S124" i="25"/>
  <c r="T124" i="25" s="1"/>
  <c r="B124" i="25"/>
  <c r="A124" i="25"/>
  <c r="S123" i="25"/>
  <c r="T123" i="25" s="1"/>
  <c r="B123" i="25"/>
  <c r="A123" i="25"/>
  <c r="S122" i="25"/>
  <c r="T122" i="25" s="1"/>
  <c r="B122" i="25"/>
  <c r="A122" i="25"/>
  <c r="T121" i="25"/>
  <c r="B121" i="25"/>
  <c r="A121" i="25"/>
  <c r="S120" i="25"/>
  <c r="T120" i="25" s="1"/>
  <c r="B120" i="25"/>
  <c r="A120" i="25"/>
  <c r="S119" i="25"/>
  <c r="T119" i="25" s="1"/>
  <c r="B119" i="25"/>
  <c r="A119" i="25"/>
  <c r="S118" i="25"/>
  <c r="T118" i="25" s="1"/>
  <c r="B118" i="25"/>
  <c r="A118" i="25"/>
  <c r="S117" i="25"/>
  <c r="T117" i="25" s="1"/>
  <c r="B117" i="25"/>
  <c r="A117" i="25"/>
  <c r="S116" i="25"/>
  <c r="T116" i="25" s="1"/>
  <c r="B116" i="25"/>
  <c r="A116" i="25"/>
  <c r="S115" i="25"/>
  <c r="T115" i="25" s="1"/>
  <c r="B115" i="25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B114" i="25"/>
  <c r="A114" i="25"/>
  <c r="S113" i="25"/>
  <c r="T113" i="25" s="1"/>
  <c r="B113" i="25"/>
  <c r="A113" i="25"/>
  <c r="S112" i="25"/>
  <c r="T112" i="25" s="1"/>
  <c r="B112" i="25"/>
  <c r="A112" i="25"/>
  <c r="S111" i="25"/>
  <c r="T111" i="25" s="1"/>
  <c r="B111" i="25"/>
  <c r="A111" i="25"/>
  <c r="S110" i="25"/>
  <c r="T110" i="25" s="1"/>
  <c r="B110" i="25"/>
  <c r="A110" i="25"/>
  <c r="S109" i="25"/>
  <c r="T109" i="25" s="1"/>
  <c r="B109" i="25"/>
  <c r="A109" i="25"/>
  <c r="S108" i="25"/>
  <c r="T108" i="25" s="1"/>
  <c r="B108" i="25"/>
  <c r="A108" i="25"/>
  <c r="S107" i="25"/>
  <c r="T107" i="25" s="1"/>
  <c r="B107" i="25"/>
  <c r="A107" i="25"/>
  <c r="S106" i="25"/>
  <c r="T106" i="25" s="1"/>
  <c r="B106" i="25"/>
  <c r="A106" i="25"/>
  <c r="S105" i="25"/>
  <c r="T105" i="25" s="1"/>
  <c r="B105" i="25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B104" i="25"/>
  <c r="A104" i="25"/>
  <c r="B103" i="25"/>
  <c r="A103" i="25"/>
  <c r="S102" i="25"/>
  <c r="T102" i="25" s="1"/>
  <c r="B102" i="25"/>
  <c r="A102" i="25"/>
  <c r="S101" i="25"/>
  <c r="T101" i="25" s="1"/>
  <c r="B101" i="25"/>
  <c r="A101" i="25"/>
  <c r="S100" i="25"/>
  <c r="T100" i="25" s="1"/>
  <c r="B100" i="25"/>
  <c r="A100" i="25"/>
  <c r="S99" i="25"/>
  <c r="T99" i="25" s="1"/>
  <c r="B99" i="25"/>
  <c r="A99" i="25"/>
  <c r="S98" i="25"/>
  <c r="T98" i="25" s="1"/>
  <c r="B98" i="25"/>
  <c r="A98" i="25"/>
  <c r="S97" i="25"/>
  <c r="T97" i="25" s="1"/>
  <c r="B97" i="25"/>
  <c r="A97" i="25"/>
  <c r="S96" i="25"/>
  <c r="T96" i="25" s="1"/>
  <c r="B96" i="25"/>
  <c r="A96" i="25"/>
  <c r="S95" i="25"/>
  <c r="T95" i="25" s="1"/>
  <c r="B95" i="25"/>
  <c r="A95" i="25"/>
  <c r="S94" i="25"/>
  <c r="T94" i="25" s="1"/>
  <c r="B94" i="25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B93" i="25"/>
  <c r="A93" i="25"/>
  <c r="S92" i="25"/>
  <c r="T92" i="25" s="1"/>
  <c r="B92" i="25"/>
  <c r="A92" i="25"/>
  <c r="S91" i="25"/>
  <c r="T91" i="25" s="1"/>
  <c r="B91" i="25"/>
  <c r="A91" i="25"/>
  <c r="S90" i="25"/>
  <c r="T90" i="25" s="1"/>
  <c r="B90" i="25"/>
  <c r="A90" i="25"/>
  <c r="S89" i="25"/>
  <c r="T89" i="25" s="1"/>
  <c r="B89" i="25"/>
  <c r="A89" i="25"/>
  <c r="S88" i="25"/>
  <c r="T88" i="25" s="1"/>
  <c r="B88" i="25"/>
  <c r="A88" i="25"/>
  <c r="S87" i="25"/>
  <c r="T87" i="25" s="1"/>
  <c r="B87" i="25"/>
  <c r="A87" i="25"/>
  <c r="S86" i="25"/>
  <c r="T86" i="25" s="1"/>
  <c r="B86" i="25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B85" i="25"/>
  <c r="A85" i="25"/>
  <c r="P84" i="25"/>
  <c r="L84" i="25"/>
  <c r="H84" i="25"/>
  <c r="B84" i="25"/>
  <c r="A84" i="25"/>
  <c r="T83" i="25"/>
  <c r="T82" i="25"/>
  <c r="S82" i="25"/>
  <c r="B81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B64" i="25"/>
  <c r="S63" i="25"/>
  <c r="B63" i="25"/>
  <c r="S62" i="25"/>
  <c r="B62" i="25"/>
  <c r="S61" i="25"/>
  <c r="B61" i="25"/>
  <c r="B60" i="25"/>
  <c r="B59" i="25"/>
  <c r="S58" i="25"/>
  <c r="B58" i="25"/>
  <c r="S57" i="25"/>
  <c r="B57" i="25"/>
  <c r="S56" i="25"/>
  <c r="B56" i="25"/>
  <c r="R55" i="25"/>
  <c r="Q55" i="25"/>
  <c r="P55" i="25"/>
  <c r="O55" i="25"/>
  <c r="N55" i="25"/>
  <c r="M55" i="25"/>
  <c r="L55" i="25"/>
  <c r="K55" i="25"/>
  <c r="N55" i="11" s="1"/>
  <c r="J55" i="25"/>
  <c r="I55" i="25"/>
  <c r="H55" i="25"/>
  <c r="G55" i="25"/>
  <c r="B55" i="25"/>
  <c r="B54" i="25"/>
  <c r="B53" i="25"/>
  <c r="S52" i="25"/>
  <c r="B52" i="25"/>
  <c r="S51" i="25"/>
  <c r="B51" i="25"/>
  <c r="S50" i="25"/>
  <c r="B50" i="25"/>
  <c r="S49" i="25"/>
  <c r="B49" i="25"/>
  <c r="S48" i="25"/>
  <c r="B48" i="25"/>
  <c r="S47" i="25"/>
  <c r="B47" i="25"/>
  <c r="S46" i="25"/>
  <c r="B46" i="25"/>
  <c r="S45" i="25"/>
  <c r="B45" i="25"/>
  <c r="S44" i="25"/>
  <c r="B44" i="25"/>
  <c r="S43" i="25"/>
  <c r="B43" i="25"/>
  <c r="S42" i="25"/>
  <c r="B42" i="25"/>
  <c r="S41" i="25"/>
  <c r="B41" i="25"/>
  <c r="R40" i="25"/>
  <c r="Q40" i="25"/>
  <c r="P40" i="25"/>
  <c r="O40" i="25"/>
  <c r="N40" i="25"/>
  <c r="M40" i="25"/>
  <c r="L40" i="25"/>
  <c r="K40" i="25"/>
  <c r="N40" i="11" s="1"/>
  <c r="J40" i="25"/>
  <c r="I40" i="25"/>
  <c r="H40" i="25"/>
  <c r="G40" i="25"/>
  <c r="B40" i="25"/>
  <c r="S39" i="25"/>
  <c r="B39" i="25"/>
  <c r="S38" i="25"/>
  <c r="B38" i="25"/>
  <c r="S37" i="25"/>
  <c r="B37" i="25"/>
  <c r="S36" i="25"/>
  <c r="B36" i="25"/>
  <c r="S35" i="25"/>
  <c r="B35" i="25"/>
  <c r="S34" i="25"/>
  <c r="B34" i="25"/>
  <c r="S33" i="25"/>
  <c r="B33" i="25"/>
  <c r="S32" i="25"/>
  <c r="G32" i="11" s="1"/>
  <c r="B32" i="25"/>
  <c r="S31" i="25"/>
  <c r="B31" i="25"/>
  <c r="R30" i="25"/>
  <c r="Q30" i="25"/>
  <c r="P30" i="25"/>
  <c r="O30" i="25"/>
  <c r="O29" i="25" s="1"/>
  <c r="N30" i="25"/>
  <c r="M30" i="25"/>
  <c r="M29" i="25" s="1"/>
  <c r="L30" i="25"/>
  <c r="K30" i="25"/>
  <c r="J30" i="25"/>
  <c r="I30" i="25"/>
  <c r="H30" i="25"/>
  <c r="G30" i="25"/>
  <c r="B30" i="25"/>
  <c r="Q29" i="25"/>
  <c r="B29" i="25"/>
  <c r="S28" i="25"/>
  <c r="B28" i="25"/>
  <c r="S27" i="25"/>
  <c r="B27" i="25"/>
  <c r="S26" i="25"/>
  <c r="B26" i="25"/>
  <c r="S25" i="25"/>
  <c r="B25" i="25"/>
  <c r="S24" i="25"/>
  <c r="B24" i="25"/>
  <c r="S23" i="25"/>
  <c r="B23" i="25"/>
  <c r="S22" i="25"/>
  <c r="B22" i="25"/>
  <c r="S21" i="25"/>
  <c r="B21" i="25"/>
  <c r="S20" i="25"/>
  <c r="B20" i="25"/>
  <c r="R19" i="25"/>
  <c r="Q19" i="25"/>
  <c r="P19" i="25"/>
  <c r="O19" i="25"/>
  <c r="N19" i="25"/>
  <c r="M19" i="25"/>
  <c r="L19" i="25"/>
  <c r="K19" i="25"/>
  <c r="N19" i="11" s="1"/>
  <c r="J19" i="25"/>
  <c r="I19" i="25"/>
  <c r="H19" i="25"/>
  <c r="G19" i="25"/>
  <c r="B19" i="25"/>
  <c r="S18" i="25"/>
  <c r="B18" i="25"/>
  <c r="S17" i="25"/>
  <c r="B17" i="25"/>
  <c r="S16" i="25"/>
  <c r="B16" i="25"/>
  <c r="S15" i="25"/>
  <c r="B15" i="25"/>
  <c r="S14" i="25"/>
  <c r="B14" i="25"/>
  <c r="S13" i="25"/>
  <c r="B13" i="25"/>
  <c r="S12" i="25"/>
  <c r="B12" i="25"/>
  <c r="R11" i="25"/>
  <c r="R10" i="25" s="1"/>
  <c r="Q11" i="25"/>
  <c r="P11" i="25"/>
  <c r="O11" i="25"/>
  <c r="N11" i="25"/>
  <c r="M11" i="25"/>
  <c r="L11" i="25"/>
  <c r="K11" i="25"/>
  <c r="N11" i="11" s="1"/>
  <c r="J11" i="25"/>
  <c r="I11" i="25"/>
  <c r="H11" i="25"/>
  <c r="G11" i="25"/>
  <c r="B11" i="25"/>
  <c r="N10" i="25"/>
  <c r="B10" i="25"/>
  <c r="T9" i="25"/>
  <c r="S8" i="25"/>
  <c r="R8" i="25"/>
  <c r="R82" i="25" s="1"/>
  <c r="Q8" i="25"/>
  <c r="Q82" i="25" s="1"/>
  <c r="P8" i="25"/>
  <c r="P82" i="25" s="1"/>
  <c r="O8" i="25"/>
  <c r="O82" i="25" s="1"/>
  <c r="N8" i="25"/>
  <c r="N82" i="25" s="1"/>
  <c r="M8" i="25"/>
  <c r="M82" i="25" s="1"/>
  <c r="L8" i="25"/>
  <c r="L82" i="25" s="1"/>
  <c r="K8" i="25"/>
  <c r="K82" i="25" s="1"/>
  <c r="J8" i="25"/>
  <c r="J82" i="25" s="1"/>
  <c r="I8" i="25"/>
  <c r="I82" i="25" s="1"/>
  <c r="H8" i="25"/>
  <c r="H82" i="25" s="1"/>
  <c r="G8" i="25"/>
  <c r="G82" i="25" s="1"/>
  <c r="S7" i="25"/>
  <c r="S81" i="25" s="1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K29" i="25" l="1"/>
  <c r="N29" i="11" s="1"/>
  <c r="N30" i="11"/>
  <c r="G10" i="25"/>
  <c r="T61" i="25"/>
  <c r="G61" i="11"/>
  <c r="T58" i="25"/>
  <c r="G58" i="11"/>
  <c r="T50" i="25"/>
  <c r="G50" i="11"/>
  <c r="T52" i="25"/>
  <c r="G52" i="11"/>
  <c r="J10" i="25"/>
  <c r="I29" i="25"/>
  <c r="T62" i="25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Q103" i="25"/>
  <c r="H103" i="25"/>
  <c r="J103" i="25"/>
  <c r="L103" i="25"/>
  <c r="N103" i="25"/>
  <c r="P103" i="25"/>
  <c r="R103" i="25"/>
  <c r="S85" i="25"/>
  <c r="T85" i="25" s="1"/>
  <c r="S114" i="25"/>
  <c r="T114" i="25" s="1"/>
  <c r="K103" i="25"/>
  <c r="O103" i="25"/>
  <c r="S30" i="25"/>
  <c r="I10" i="25"/>
  <c r="I53" i="25" s="1"/>
  <c r="K10" i="25"/>
  <c r="M10" i="25"/>
  <c r="O10" i="25"/>
  <c r="O53" i="25" s="1"/>
  <c r="O59" i="25" s="1"/>
  <c r="O64" i="25" s="1"/>
  <c r="O60" i="25" s="1"/>
  <c r="Q10" i="25"/>
  <c r="L10" i="25"/>
  <c r="P10" i="25"/>
  <c r="H10" i="25"/>
  <c r="G84" i="25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J29" i="25"/>
  <c r="E16" i="26" s="1"/>
  <c r="L29" i="25"/>
  <c r="N29" i="25"/>
  <c r="N53" i="25" s="1"/>
  <c r="P29" i="25"/>
  <c r="P53" i="25" s="1"/>
  <c r="R29" i="25"/>
  <c r="R53" i="25" s="1"/>
  <c r="S40" i="25"/>
  <c r="M53" i="25"/>
  <c r="M54" i="25" s="1"/>
  <c r="Q53" i="25"/>
  <c r="Q54" i="25" s="1"/>
  <c r="G29" i="25"/>
  <c r="S19" i="25"/>
  <c r="S11" i="25"/>
  <c r="S55" i="25"/>
  <c r="S93" i="25"/>
  <c r="T93" i="25" s="1"/>
  <c r="S104" i="25"/>
  <c r="T104" i="25" s="1"/>
  <c r="S129" i="25"/>
  <c r="T129" i="25" s="1"/>
  <c r="K53" i="25" l="1"/>
  <c r="K54" i="25" s="1"/>
  <c r="N54" i="11" s="1"/>
  <c r="N10" i="11"/>
  <c r="E12" i="26"/>
  <c r="J53" i="25"/>
  <c r="J54" i="25" s="1"/>
  <c r="I54" i="25"/>
  <c r="T55" i="25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8" i="25" s="1"/>
  <c r="K134" i="25" s="1"/>
  <c r="L127" i="25"/>
  <c r="L133" i="25" s="1"/>
  <c r="L138" i="25" s="1"/>
  <c r="L134" i="25" s="1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G53" i="25"/>
  <c r="G59" i="25" s="1"/>
  <c r="G127" i="25"/>
  <c r="Q59" i="25"/>
  <c r="Q64" i="25" s="1"/>
  <c r="Q60" i="25" s="1"/>
  <c r="I59" i="25"/>
  <c r="M59" i="25"/>
  <c r="M64" i="25" s="1"/>
  <c r="M60" i="25" s="1"/>
  <c r="L53" i="25"/>
  <c r="L54" i="25" s="1"/>
  <c r="O54" i="25"/>
  <c r="S10" i="25"/>
  <c r="G12" i="26" s="1"/>
  <c r="H12" i="26" s="1"/>
  <c r="H53" i="25"/>
  <c r="M133" i="25"/>
  <c r="M138" i="25" s="1"/>
  <c r="M134" i="25" s="1"/>
  <c r="I128" i="25"/>
  <c r="S84" i="25"/>
  <c r="T84" i="25" s="1"/>
  <c r="Q128" i="25"/>
  <c r="S103" i="25"/>
  <c r="T103" i="25" s="1"/>
  <c r="S29" i="25"/>
  <c r="G16" i="26" s="1"/>
  <c r="H16" i="26" s="1"/>
  <c r="P59" i="25"/>
  <c r="P64" i="25" s="1"/>
  <c r="P60" i="25" s="1"/>
  <c r="P54" i="25"/>
  <c r="N54" i="25"/>
  <c r="N59" i="25"/>
  <c r="N64" i="25" s="1"/>
  <c r="N60" i="25" s="1"/>
  <c r="R54" i="25"/>
  <c r="R59" i="25"/>
  <c r="R64" i="25" s="1"/>
  <c r="R60" i="25" s="1"/>
  <c r="S53" i="20"/>
  <c r="K59" i="25" l="1"/>
  <c r="N53" i="11"/>
  <c r="E20" i="26"/>
  <c r="J59" i="25"/>
  <c r="J64" i="25" s="1"/>
  <c r="I64" i="25"/>
  <c r="T29" i="25"/>
  <c r="G29" i="11"/>
  <c r="H54" i="25"/>
  <c r="T10" i="25"/>
  <c r="G10" i="11"/>
  <c r="O133" i="25"/>
  <c r="O138" i="25" s="1"/>
  <c r="O134" i="25" s="1"/>
  <c r="G54" i="25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L59" i="25"/>
  <c r="L64" i="25" s="1"/>
  <c r="L60" i="25" s="1"/>
  <c r="H59" i="25"/>
  <c r="S53" i="25"/>
  <c r="G20" i="26" s="1"/>
  <c r="H20" i="26" s="1"/>
  <c r="G64" i="25"/>
  <c r="G5" i="22"/>
  <c r="H5" i="22"/>
  <c r="I5" i="22"/>
  <c r="J5" i="22"/>
  <c r="K5" i="22"/>
  <c r="L5" i="22"/>
  <c r="M5" i="22"/>
  <c r="N5" i="22"/>
  <c r="O5" i="22"/>
  <c r="K64" i="25" l="1"/>
  <c r="N59" i="11"/>
  <c r="J60" i="25"/>
  <c r="I60" i="25"/>
  <c r="H64" i="25"/>
  <c r="S64" i="25" s="1"/>
  <c r="T53" i="25"/>
  <c r="G53" i="11"/>
  <c r="S54" i="25"/>
  <c r="S133" i="25"/>
  <c r="T133" i="25" s="1"/>
  <c r="S128" i="25"/>
  <c r="T128" i="25" s="1"/>
  <c r="G138" i="25"/>
  <c r="S59" i="25"/>
  <c r="G60" i="25"/>
  <c r="P19" i="22"/>
  <c r="K60" i="25" l="1"/>
  <c r="N60" i="11" s="1"/>
  <c r="N64" i="11"/>
  <c r="T54" i="25"/>
  <c r="G54" i="11"/>
  <c r="T64" i="25"/>
  <c r="G64" i="11"/>
  <c r="T59" i="25"/>
  <c r="G59" i="11"/>
  <c r="H60" i="25"/>
  <c r="S138" i="25"/>
  <c r="T138" i="25" s="1"/>
  <c r="G134" i="25"/>
  <c r="S121" i="22"/>
  <c r="S60" i="25" l="1"/>
  <c r="T60" i="25" s="1"/>
  <c r="S134" i="25"/>
  <c r="T134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O54" i="22"/>
  <c r="J53" i="22"/>
  <c r="A145" i="19"/>
  <c r="A144" i="19"/>
  <c r="A151" i="19"/>
  <c r="A157" i="19"/>
  <c r="A152" i="19"/>
  <c r="A153" i="19"/>
  <c r="G54" i="22" l="1"/>
  <c r="T29" i="22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M60" i="22"/>
  <c r="J60" i="22"/>
  <c r="T128" i="22"/>
  <c r="T133" i="22"/>
  <c r="I134" i="22"/>
  <c r="H60" i="22"/>
  <c r="I53" i="11"/>
  <c r="S64" i="22"/>
  <c r="T64" i="22" s="1"/>
  <c r="J53" i="11"/>
  <c r="G60" i="22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J59" i="11"/>
  <c r="I59" i="11"/>
  <c r="S134" i="22"/>
  <c r="Q60" i="11"/>
  <c r="GB35" i="6"/>
  <c r="GB28" i="6"/>
  <c r="GB23" i="6"/>
  <c r="GB18" i="6"/>
  <c r="GB10" i="6"/>
  <c r="J60" i="11" l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B11" i="11"/>
  <c r="B15" i="3"/>
  <c r="B20" i="3"/>
  <c r="G249" i="2"/>
  <c r="T9" i="22" s="1"/>
  <c r="T83" i="22" s="1"/>
  <c r="B63" i="11"/>
  <c r="B11" i="3"/>
  <c r="B43" i="3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G271" i="2"/>
  <c r="G245" i="2"/>
  <c r="R8" i="3"/>
  <c r="R8" i="11"/>
  <c r="G270" i="2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<sst xmlns="http://schemas.openxmlformats.org/spreadsheetml/2006/main" count="1781" uniqueCount="846">
  <si>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</si>
  <si>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</si>
  <si>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</si>
  <si>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</si>
  <si>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</si>
  <si>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</si>
  <si>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</si>
  <si>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</si>
  <si>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</si>
  <si>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</si>
  <si>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</si>
  <si>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</si>
  <si>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</si>
  <si>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</si>
  <si>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</si>
  <si>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</si>
  <si>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</si>
  <si>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</si>
  <si>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</si>
  <si>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</si>
  <si>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</si>
  <si>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</si>
  <si>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</si>
  <si>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</si>
  <si>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</si>
  <si>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</si>
  <si>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</si>
  <si>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</si>
  <si>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</si>
  <si>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</si>
  <si>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</si>
  <si>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</si>
  <si>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</si>
  <si>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</si>
  <si>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</si>
  <si>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</si>
  <si>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</si>
  <si>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</si>
  <si>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</si>
  <si>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</si>
  <si>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</si>
  <si>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</si>
  <si>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</si>
  <si>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</si>
  <si>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</si>
  <si>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</si>
  <si>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</si>
  <si>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</si>
  <si>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</si>
  <si>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</si>
  <si>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</si>
  <si>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</si>
  <si>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</si>
  <si>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</si>
  <si>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</si>
  <si>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</si>
  <si>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</si>
  <si>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</si>
  <si>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</si>
  <si>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</si>
  <si>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</si>
  <si>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</si>
  <si>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</si>
  <si>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</si>
  <si>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</si>
  <si>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</si>
  <si>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</si>
  <si>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</si>
  <si>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</si>
  <si>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</si>
  <si>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</si>
  <si>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</si>
  <si>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</si>
  <si>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</si>
  <si>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</si>
  <si>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</si>
  <si>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</si>
  <si>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</si>
  <si>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</si>
  <si>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</si>
  <si>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</si>
  <si>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</si>
  <si>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</si>
  <si>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</si>
  <si>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</si>
  <si>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</si>
  <si>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</si>
  <si>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</si>
  <si>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</si>
  <si>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</si>
  <si>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</si>
  <si>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</si>
  <si>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</si>
  <si>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</si>
  <si>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</si>
  <si>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</si>
  <si>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</si>
  <si>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</si>
  <si>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</si>
  <si>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</si>
  <si>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</si>
  <si>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</si>
  <si>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</si>
  <si>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</si>
  <si>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</si>
  <si>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</si>
  <si>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</si>
  <si>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</si>
  <si>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</si>
  <si>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</si>
  <si>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</si>
  <si>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</si>
  <si>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</si>
  <si>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</si>
  <si>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</si>
  <si>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</si>
  <si>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</si>
  <si>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</si>
  <si>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</si>
  <si>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</si>
  <si>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</si>
  <si>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</si>
  <si>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</si>
  <si>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</si>
  <si>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</si>
  <si>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</si>
  <si>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</si>
  <si>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</si>
  <si>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</si>
  <si>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</si>
  <si>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</si>
  <si>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</si>
  <si>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</si>
  <si>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</si>
  <si>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</si>
  <si>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</si>
  <si>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</si>
  <si>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</si>
  <si>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</si>
  <si>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</si>
  <si>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</si>
  <si>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</si>
  <si>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</si>
  <si>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</si>
  <si>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</si>
  <si>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</si>
  <si>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</si>
  <si>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</si>
  <si>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</si>
  <si>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</si>
  <si>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</si>
  <si>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</si>
  <si>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</si>
  <si>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</si>
  <si>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</si>
  <si>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</si>
  <si>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</si>
  <si>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</si>
  <si>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</si>
  <si>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</si>
  <si>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</si>
  <si>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</si>
  <si>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</si>
  <si>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</si>
  <si>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</si>
  <si>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</si>
  <si>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</si>
  <si>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</si>
  <si>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</si>
  <si>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</si>
  <si>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</si>
  <si>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</si>
  <si>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</si>
  <si>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</si>
  <si>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</si>
  <si>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</si>
  <si>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</si>
  <si>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</si>
  <si>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</si>
  <si>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</si>
  <si>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</si>
  <si>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</si>
  <si>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</si>
  <si>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</si>
  <si>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</si>
  <si>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</si>
  <si>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</si>
  <si>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</si>
  <si>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</si>
  <si>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</si>
  <si>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</si>
  <si>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</si>
  <si>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</si>
  <si>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</si>
  <si>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</si>
  <si>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</si>
  <si>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</si>
  <si>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</si>
  <si>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</si>
  <si>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</si>
  <si>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</si>
  <si>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</si>
  <si>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</si>
  <si>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</si>
  <si>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</si>
  <si>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</si>
  <si>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</si>
  <si>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</si>
  <si>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</si>
  <si>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</si>
  <si>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</si>
  <si>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</si>
  <si>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</si>
  <si>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</si>
  <si>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</si>
  <si>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</si>
  <si>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</si>
  <si>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</si>
  <si>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</si>
  <si>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</si>
  <si>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</si>
  <si>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</si>
  <si>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</si>
  <si>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</si>
  <si>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</si>
  <si>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</si>
  <si>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</si>
  <si>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</si>
  <si>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</si>
  <si>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</si>
  <si>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</si>
  <si>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</si>
  <si>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</si>
  <si>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</si>
  <si>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</si>
  <si>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</si>
  <si>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</si>
  <si>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</si>
  <si>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</si>
  <si>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</si>
  <si>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</si>
  <si>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</si>
  <si>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</si>
  <si>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</si>
  <si>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</si>
  <si>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</si>
  <si>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</si>
  <si>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</si>
  <si>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</si>
  <si>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</si>
  <si>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</si>
  <si>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</si>
  <si>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</si>
  <si>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</si>
  <si>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</si>
  <si>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</si>
  <si>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</si>
  <si>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</si>
  <si>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</si>
  <si>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</si>
  <si>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</si>
  <si>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</si>
  <si>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</si>
  <si>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</si>
  <si>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</si>
  <si>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</si>
  <si>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</si>
  <si>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</si>
  <si>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</si>
  <si>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</si>
  <si>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</si>
  <si>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</si>
  <si>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</si>
  <si>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</si>
  <si>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</si>
  <si>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</si>
  <si>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</si>
  <si>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</si>
  <si>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</si>
  <si>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</si>
  <si>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</si>
  <si>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</si>
  <si>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</si>
  <si>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</si>
  <si>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</si>
  <si>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</si>
  <si>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</si>
  <si>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</si>
  <si>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</si>
  <si>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</si>
  <si>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</si>
  <si>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</si>
  <si>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</si>
  <si>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</si>
  <si>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</si>
  <si>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</si>
  <si>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</si>
  <si>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</si>
  <si>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</si>
  <si>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</si>
  <si>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</si>
  <si>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</si>
  <si>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</si>
  <si>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</si>
  <si>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</si>
  <si>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</si>
  <si>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</si>
  <si>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</si>
  <si>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</si>
  <si>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</si>
  <si>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</si>
  <si>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</si>
  <si>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</si>
  <si>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</si>
  <si>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</si>
  <si>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</si>
  <si>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</si>
  <si>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</si>
  <si>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</si>
  <si>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</si>
  <si>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</si>
  <si>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</si>
  <si>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</si>
  <si>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</si>
  <si>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</si>
  <si>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</si>
  <si>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</si>
  <si>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</si>
  <si>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</si>
  <si>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</si>
  <si>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</si>
  <si>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</si>
  <si>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</si>
  <si>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</si>
  <si>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</si>
  <si>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</si>
  <si>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</si>
  <si>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</si>
  <si>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</si>
  <si>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</si>
  <si>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</si>
  <si>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</si>
  <si>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</si>
  <si>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</si>
  <si>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</si>
  <si>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</si>
  <si>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</si>
  <si>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</si>
  <si>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</si>
  <si>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</si>
  <si>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</si>
  <si>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</si>
  <si>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</si>
  <si>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</si>
  <si>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</si>
  <si>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</si>
  <si>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</si>
  <si>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</si>
  <si>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</si>
  <si>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</si>
  <si>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</si>
  <si>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</si>
  <si>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</si>
  <si>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</si>
  <si>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</si>
  <si>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</si>
  <si>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</si>
  <si>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</si>
  <si>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</si>
  <si>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</si>
  <si>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</si>
  <si>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</si>
  <si>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</si>
  <si>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</si>
  <si>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</si>
  <si>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</si>
  <si>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</si>
  <si>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</si>
  <si>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</si>
  <si>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</si>
  <si>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</si>
  <si>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</si>
  <si>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</si>
  <si>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</si>
  <si>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</si>
  <si>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</si>
  <si>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</si>
  <si>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</si>
  <si>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</si>
  <si>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</si>
  <si>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</si>
  <si>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</si>
  <si>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</si>
  <si>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</si>
  <si>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</si>
  <si>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</si>
  <si>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</si>
  <si>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</si>
  <si>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</si>
  <si>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</si>
  <si>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</si>
  <si>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</si>
  <si>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</si>
  <si>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</si>
  <si>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</si>
  <si>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</si>
  <si>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</si>
  <si>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</si>
  <si>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</si>
  <si>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</si>
  <si>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</si>
  <si>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</si>
  <si>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</si>
  <si>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</si>
  <si>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</si>
  <si>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</si>
  <si>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</si>
  <si>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</si>
  <si>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</si>
  <si>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</si>
  <si>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</si>
  <si>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</si>
  <si>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</si>
  <si>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</si>
  <si>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</si>
  <si>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</si>
  <si>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</si>
  <si>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</si>
  <si>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</si>
  <si>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</si>
  <si>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</si>
  <si>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</si>
  <si>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</si>
  <si>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</si>
  <si>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</si>
  <si>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</si>
  <si>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</si>
  <si>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</si>
  <si>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</si>
  <si>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</si>
  <si>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</si>
  <si>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</si>
  <si>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</si>
  <si>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</si>
  <si>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</si>
  <si>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</si>
  <si>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</si>
  <si>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</si>
  <si>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</si>
  <si>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</si>
  <si>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</si>
  <si>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</si>
  <si>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</si>
  <si>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</si>
  <si>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</si>
  <si>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</si>
  <si>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</si>
  <si>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</si>
  <si>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</si>
  <si>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</si>
  <si>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</si>
  <si>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</si>
  <si>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</si>
  <si>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</si>
  <si>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</si>
  <si>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</si>
  <si>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</si>
  <si>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</si>
  <si>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</si>
  <si>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</si>
  <si>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</si>
  <si>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</si>
  <si>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</si>
  <si>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</si>
  <si>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</si>
  <si>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</si>
  <si>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</si>
  <si>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</si>
  <si>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</si>
  <si>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</si>
  <si>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</si>
  <si>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</si>
  <si>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</si>
  <si>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</si>
  <si>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</si>
  <si>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</si>
  <si>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</si>
  <si>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</si>
  <si>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</si>
  <si>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</si>
  <si>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</si>
  <si>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</si>
  <si>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</si>
  <si>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</si>
  <si>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</si>
  <si>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</si>
  <si>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</si>
  <si>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</si>
  <si>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</si>
  <si>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</si>
  <si>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</si>
  <si>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</si>
  <si>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</si>
  <si>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</si>
  <si>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</si>
  <si>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</si>
  <si>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</si>
  <si>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</si>
  <si>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</si>
  <si>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</si>
  <si>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</si>
  <si>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</si>
  <si>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</si>
  <si>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</si>
  <si>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</si>
  <si>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</si>
  <si>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</si>
  <si>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</si>
  <si>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</si>
  <si>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</si>
  <si>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</si>
  <si>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</si>
  <si>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</si>
  <si>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</si>
  <si>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</si>
  <si>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</si>
  <si>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</si>
  <si>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</si>
  <si>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</si>
  <si>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</si>
  <si>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</si>
  <si>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</si>
  <si>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</si>
  <si>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</si>
  <si>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</si>
  <si>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</si>
  <si>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</si>
  <si>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</si>
  <si>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</si>
  <si>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</si>
  <si>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</si>
  <si>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</si>
  <si>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</si>
  <si>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</si>
  <si>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</si>
  <si>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</si>
  <si>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</si>
  <si>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</si>
  <si>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</si>
  <si>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</si>
  <si>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</si>
  <si>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</si>
  <si>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</si>
  <si>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</si>
  <si>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</si>
  <si>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</si>
  <si>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</si>
  <si>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</si>
  <si>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</si>
  <si>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</si>
  <si>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</si>
  <si>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</si>
  <si>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</si>
  <si>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</si>
  <si>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</si>
  <si>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</si>
  <si>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</si>
  <si>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</si>
  <si>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</si>
  <si>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</si>
  <si>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</si>
  <si>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</si>
  <si>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</si>
  <si>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</si>
  <si>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</si>
  <si>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</si>
  <si>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</si>
  <si>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</si>
  <si>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</si>
  <si>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</si>
  <si>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</si>
  <si>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</si>
  <si>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</si>
  <si>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</si>
  <si>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</si>
  <si>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</si>
  <si>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</si>
  <si>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</si>
  <si>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</si>
  <si>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</si>
  <si>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</si>
  <si>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</si>
  <si>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</si>
  <si>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</si>
  <si>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</si>
  <si>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</si>
  <si>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</si>
  <si>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</si>
  <si>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</si>
  <si>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</si>
  <si>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</si>
  <si>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</si>
  <si>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</si>
  <si>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</si>
  <si>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</si>
  <si>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</si>
  <si>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</si>
  <si>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</si>
  <si>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</si>
  <si>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</si>
  <si>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</si>
  <si>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</si>
  <si>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</si>
  <si>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</si>
  <si>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</si>
  <si>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</si>
  <si>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</si>
  <si>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</si>
  <si>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</si>
  <si>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</si>
  <si>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</si>
  <si>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</si>
  <si>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</si>
  <si>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</si>
  <si>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</si>
  <si>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</si>
  <si>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</si>
  <si>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</si>
  <si>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</si>
  <si>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</si>
  <si>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</si>
  <si>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</si>
  <si>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</si>
  <si>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</si>
  <si>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</si>
  <si>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</si>
  <si>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</si>
  <si>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</si>
  <si>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</si>
  <si>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</si>
  <si>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</si>
  <si>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</si>
  <si>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</si>
  <si>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</si>
  <si>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</si>
  <si>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</si>
  <si>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</si>
  <si>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</si>
  <si>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</si>
  <si>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</si>
  <si>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</si>
  <si>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</si>
  <si>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</si>
  <si>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</si>
  <si>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</si>
  <si>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</si>
  <si>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</si>
  <si>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</si>
  <si>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</si>
  <si>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</si>
  <si>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</si>
  <si>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</si>
  <si>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</si>
  <si>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</si>
  <si>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</si>
  <si>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</si>
  <si>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</si>
  <si>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</si>
  <si>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</si>
  <si>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</si>
  <si>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</si>
  <si>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</si>
  <si>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</si>
  <si>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</si>
  <si>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</si>
  <si>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</si>
  <si>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</si>
  <si>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</si>
  <si>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</si>
  <si>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</si>
  <si>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</si>
  <si>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</si>
  <si>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</si>
  <si>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</si>
  <si>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</si>
  <si>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</si>
  <si>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</si>
  <si>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</si>
  <si>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</si>
  <si>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</si>
  <si>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</si>
  <si>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</si>
  <si>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</si>
  <si>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</si>
  <si>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</si>
  <si>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</si>
  <si>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</si>
  <si>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</si>
  <si>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</si>
  <si>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</si>
  <si>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</si>
  <si>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</si>
  <si>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</si>
  <si>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</si>
  <si>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</si>
  <si>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</si>
  <si>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</si>
  <si>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</si>
  <si>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</si>
  <si>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</si>
  <si>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</si>
  <si>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</si>
  <si>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</si>
  <si>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</si>
  <si>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</si>
  <si>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</si>
  <si>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</si>
  <si>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</si>
  <si>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</si>
  <si>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</si>
  <si>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</si>
  <si>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</si>
  <si>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</si>
  <si>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</si>
  <si>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</si>
  <si>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</si>
  <si>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</si>
  <si>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</si>
  <si>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</si>
  <si>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</si>
  <si>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</si>
  <si>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</si>
  <si>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</si>
  <si>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</si>
  <si>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</si>
  <si>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</si>
  <si>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</si>
  <si>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</si>
  <si>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</si>
  <si>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</si>
  <si>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</si>
  <si>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</si>
  <si>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</si>
  <si>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</si>
  <si>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</si>
  <si>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</si>
  <si>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</si>
  <si>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</si>
  <si>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</si>
  <si>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</si>
  <si>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</si>
  <si>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</si>
  <si>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</si>
  <si>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</si>
  <si>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</si>
  <si>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</si>
  <si>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</si>
  <si>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</si>
  <si>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</si>
  <si>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</si>
  <si>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</si>
  <si>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</si>
  <si>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</si>
  <si>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</si>
  <si>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</si>
  <si>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</si>
  <si>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</si>
  <si>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</si>
  <si>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</si>
  <si>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</si>
  <si>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</si>
  <si>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</si>
  <si>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</si>
  <si>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</si>
  <si>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</si>
  <si>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</si>
  <si>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</si>
  <si>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</si>
  <si>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</si>
  <si>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</si>
  <si>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</si>
  <si>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</si>
  <si>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</si>
  <si>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</si>
  <si>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</si>
  <si>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</si>
  <si>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</si>
  <si>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</si>
  <si>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</si>
  <si>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</si>
  <si>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</si>
  <si>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</si>
  <si>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</si>
  <si>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</si>
  <si>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</si>
  <si>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</si>
  <si>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</si>
  <si>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</si>
  <si>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</si>
  <si>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</si>
  <si>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</si>
  <si>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</si>
  <si>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</si>
  <si>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</si>
  <si>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</si>
  <si>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</si>
  <si>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</si>
  <si>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</si>
  <si>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</si>
  <si>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</si>
  <si>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</si>
  <si>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</si>
  <si>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</si>
  <si>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</si>
  <si>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</si>
  <si>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</si>
  <si>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</si>
  <si>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</si>
  <si>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</si>
  <si>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</si>
  <si>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</si>
  <si>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</si>
  <si>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</si>
  <si>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</si>
  <si>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</si>
  <si>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</si>
  <si>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</si>
  <si>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</si>
  <si>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</si>
  <si>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</si>
  <si>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</si>
  <si>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</si>
  <si>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</si>
  <si>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</si>
  <si>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</si>
  <si>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</si>
  <si>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</si>
  <si>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</si>
  <si>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</si>
  <si>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</si>
  <si>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Prihodi za mjesec Maj</t>
  </si>
  <si>
    <t>Rashodi za mjesec Maj</t>
  </si>
  <si>
    <t>Suficit/Deficit za mjesec Maj</t>
  </si>
  <si>
    <t>Prihodi za period Januar - Maj</t>
  </si>
  <si>
    <t>Rashodi za period Januar - Maj</t>
  </si>
  <si>
    <t>Suficit/Deficit za period Januar -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</si>
</sst>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176" fontId="22" fillId="4" borderId="14" xfId="0" applyNumberFormat="1" applyFont="1" applyFill="1" applyBorder="1" applyAlignment="1">
      <alignment horizontal="center" vertical="center"/>
    </xf>
    <xf numFmtId="176" fontId="24" fillId="3" borderId="30" xfId="0" applyNumberFormat="1" applyFont="1" applyFill="1" applyBorder="1" applyAlignment="1">
      <alignment horizontal="center" vertical="center"/>
    </xf>
    <xf numFmtId="176" fontId="24" fillId="3" borderId="31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176" fontId="24" fillId="3" borderId="33" xfId="0" applyNumberFormat="1" applyFont="1" applyFill="1" applyBorder="1" applyAlignment="1">
      <alignment horizontal="center" vertical="center"/>
    </xf>
    <xf numFmtId="176" fontId="24" fillId="3" borderId="25" xfId="0" applyNumberFormat="1" applyFont="1" applyFill="1" applyBorder="1" applyAlignment="1">
      <alignment horizontal="center" vertical="center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fmlaLink="[1]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2021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maj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2022. godine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iznosili su 753.3 mil. € ili 14,2% procijenjenog BDP-a i veći su za 124.2 mil. € ili 19.7% u odnosu na isti period 2021. godine, dok su u odnosu na planirane veći za čak 84.7 mil. € ili 12.7%.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maj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2022. godine iznosili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 789,9 mil. € ili 14,9% procijenjenog BDP-a i u odnosu na planirane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za 71,5 mil. € ili 8.3%. U odnosu na posmatrani period prethodne godine, izdaci su niži za 2,1 mil €, odnosno 0.3%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posmatranom periodu </a:t>
          </a:r>
          <a:r>
            <a:rPr lang="sr-Latn-ME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36.5 mil €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odnosno 0,7% BDP-a,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niži je od plana za 156.2 mil €, odnosno 81.0. U odnosu na isti period prethodne 2021. godine, budžetki deficit je niži za 126,3 mil€, odnosno 77,5%.</a:t>
          </a:r>
          <a:endParaRPr lang="sr-Latn-ME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[1]Master!G279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[1]Master!G11" fLocksText="0">
      <xdr:nvSpPr>
        <xdr:cNvPr id="7" name="Rounded Rectangl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9089" name="Option Butto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9090" name="Option Button 2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jan.paunovic/Desktop/MoF/Budzet/izvrsenje%20budzeta/Izvjestaji/Izvjestaji%202022/Januar%20GDDS/GDD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2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G6" t="str">
            <v>Crna Gora</v>
          </cell>
        </row>
        <row r="7">
          <cell r="G7" t="str">
            <v>Ministarstvo finansija i socijalnog staranja</v>
          </cell>
        </row>
        <row r="8">
          <cell r="G8" t="str">
            <v>Direktorat za državni budžet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2022-05</v>
      </c>
      <c r="O6" s="143" t="str">
        <f>+CONCATENATE(N6,"p")</f>
        <v>2022-05p</v>
      </c>
      <c r="P6" s="130"/>
      <c r="Q6" s="130"/>
      <c r="R6" s="143" t="str">
        <f>+IF(Master!B3-10&gt;=0,CONCATENATE(Master!B4-1,"-",Master!B3),CONCATENATE(Master!B4-1,"-0",Master!B3))</f>
        <v>2021-05</v>
      </c>
      <c r="S6" s="130"/>
      <c r="T6" s="130"/>
    </row>
    <row r="7" spans="1:20">
      <c r="A7" s="144"/>
      <c r="B7" s="507" t="s">
        <v>692</v>
      </c>
      <c r="C7" s="508"/>
      <c r="D7" s="508"/>
      <c r="E7" s="508"/>
      <c r="F7" s="508"/>
      <c r="G7" s="516" t="s">
        <v>691</v>
      </c>
      <c r="H7" s="517"/>
      <c r="I7" s="517"/>
      <c r="J7" s="517"/>
      <c r="K7" s="517"/>
      <c r="L7" s="517"/>
      <c r="M7" s="518"/>
      <c r="N7" s="519" t="str">
        <f>+Master!G242</f>
        <v>Decembar</v>
      </c>
      <c r="O7" s="517"/>
      <c r="P7" s="517"/>
      <c r="Q7" s="517"/>
      <c r="R7" s="517"/>
      <c r="S7" s="517"/>
      <c r="T7" s="520"/>
    </row>
    <row r="8" spans="1:20">
      <c r="A8" s="144"/>
      <c r="B8" s="509"/>
      <c r="C8" s="510"/>
      <c r="D8" s="510"/>
      <c r="E8" s="510"/>
      <c r="F8" s="511"/>
      <c r="G8" s="145" t="str">
        <f>+Master!G25</f>
        <v>Ostvarenje</v>
      </c>
      <c r="H8" s="145" t="str">
        <f>+Master!G24</f>
        <v>Plan</v>
      </c>
      <c r="I8" s="503" t="str">
        <f>+Master!G260</f>
        <v>Odstupanje</v>
      </c>
      <c r="J8" s="503"/>
      <c r="K8" s="145" t="str">
        <f>+CONCATENATE(Master!G245," ",Master!B4-1)</f>
        <v>Jan - Maj 2021</v>
      </c>
      <c r="L8" s="503" t="str">
        <f>+I8</f>
        <v>Odstupanje</v>
      </c>
      <c r="M8" s="515"/>
      <c r="N8" s="146" t="str">
        <f>+G8</f>
        <v>Ostvarenje</v>
      </c>
      <c r="O8" s="145" t="str">
        <f>+H8</f>
        <v>Plan</v>
      </c>
      <c r="P8" s="503" t="str">
        <f>+I8</f>
        <v>Odstupanje</v>
      </c>
      <c r="Q8" s="503"/>
      <c r="R8" s="145" t="str">
        <f>+CONCATENATE(Master!G244," ",Master!B4-1)</f>
        <v>Maj 2021</v>
      </c>
      <c r="S8" s="503" t="str">
        <f>+P8</f>
        <v>Odstupanje</v>
      </c>
      <c r="T8" s="504"/>
    </row>
    <row r="9" spans="1:20" ht="15.75" thickBot="1">
      <c r="A9" s="144"/>
      <c r="B9" s="512"/>
      <c r="C9" s="513"/>
      <c r="D9" s="513"/>
      <c r="E9" s="513"/>
      <c r="F9" s="514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9" t="str">
        <f>+VLOOKUP($A10,Master!$D$29:$G$225,4,FALSE)</f>
        <v>Prihodi budžeta</v>
      </c>
      <c r="C10" s="550"/>
      <c r="D10" s="550"/>
      <c r="E10" s="550"/>
      <c r="F10" s="550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1" t="str">
        <f>+VLOOKUP($A11,Master!$D$29:$G$225,4,FALSE)</f>
        <v>Porezi</v>
      </c>
      <c r="C11" s="552"/>
      <c r="D11" s="552"/>
      <c r="E11" s="552"/>
      <c r="F11" s="552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7" t="str">
        <f>+VLOOKUP($A12,Master!$D$29:$G$225,4,FALSE)</f>
        <v>Porez na dohodak fizičkih lica</v>
      </c>
      <c r="C12" s="538"/>
      <c r="D12" s="538"/>
      <c r="E12" s="538"/>
      <c r="F12" s="538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7" t="str">
        <f>+VLOOKUP($A13,Master!$D$29:$G$225,4,FALSE)</f>
        <v>Porez na dobit pravnih lica</v>
      </c>
      <c r="C13" s="538"/>
      <c r="D13" s="538"/>
      <c r="E13" s="538"/>
      <c r="F13" s="538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7" t="str">
        <f>+VLOOKUP($A14,Master!$D$29:$G$225,4,FALSE)</f>
        <v>Porez na promet nepokretnosti</v>
      </c>
      <c r="C14" s="538"/>
      <c r="D14" s="538"/>
      <c r="E14" s="538"/>
      <c r="F14" s="538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7" t="str">
        <f>+VLOOKUP($A15,Master!$D$29:$G$225,4,FALSE)</f>
        <v>Porez na dodatu vrijednost</v>
      </c>
      <c r="C15" s="538"/>
      <c r="D15" s="538"/>
      <c r="E15" s="538"/>
      <c r="F15" s="538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7" t="str">
        <f>+VLOOKUP($A16,Master!$D$29:$G$225,4,FALSE)</f>
        <v>Akcize</v>
      </c>
      <c r="C16" s="538"/>
      <c r="D16" s="538"/>
      <c r="E16" s="538"/>
      <c r="F16" s="538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7" t="str">
        <f>+VLOOKUP($A17,Master!$D$29:$G$225,4,FALSE)</f>
        <v>Porez na međunarodnu trgovinu i transakcije</v>
      </c>
      <c r="C17" s="538"/>
      <c r="D17" s="538"/>
      <c r="E17" s="538"/>
      <c r="F17" s="538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7" t="e">
        <f>+VLOOKUP($A18,Master!$D$29:$G$225,4,FALSE)</f>
        <v>#N/A</v>
      </c>
      <c r="C18" s="538"/>
      <c r="D18" s="538"/>
      <c r="E18" s="538"/>
      <c r="F18" s="538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7" t="str">
        <f>+VLOOKUP($A19,Master!$D$29:$G$225,4,FALSE)</f>
        <v>Ostali državni porezi</v>
      </c>
      <c r="C19" s="538"/>
      <c r="D19" s="538"/>
      <c r="E19" s="538"/>
      <c r="F19" s="538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7" t="str">
        <f>+VLOOKUP($A20,Master!$D$29:$G$225,4,FALSE)</f>
        <v>Doprinosi</v>
      </c>
      <c r="C20" s="548"/>
      <c r="D20" s="548"/>
      <c r="E20" s="548"/>
      <c r="F20" s="548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7" t="str">
        <f>+VLOOKUP($A21,Master!$D$29:$G$225,4,FALSE)</f>
        <v>Doprinosi za penzijsko i invalidsko osiguranje</v>
      </c>
      <c r="C21" s="538"/>
      <c r="D21" s="538"/>
      <c r="E21" s="538"/>
      <c r="F21" s="538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7" t="str">
        <f>+VLOOKUP($A22,Master!$D$29:$G$225,4,FALSE)</f>
        <v>Doprinosi za zdravstveno osiguranje</v>
      </c>
      <c r="C22" s="538"/>
      <c r="D22" s="538"/>
      <c r="E22" s="538"/>
      <c r="F22" s="538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7" t="str">
        <f>+VLOOKUP($A23,Master!$D$29:$G$225,4,FALSE)</f>
        <v>Doprinosi za osiguranje od nezaposlenosti</v>
      </c>
      <c r="C23" s="538"/>
      <c r="D23" s="538"/>
      <c r="E23" s="538"/>
      <c r="F23" s="538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7" t="str">
        <f>+VLOOKUP($A24,Master!$D$29:$G$225,4,FALSE)</f>
        <v>Ostali doprinosi</v>
      </c>
      <c r="C24" s="538"/>
      <c r="D24" s="538"/>
      <c r="E24" s="538"/>
      <c r="F24" s="538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9" t="str">
        <f>+VLOOKUP($A25,Master!$D$29:$G$225,4,FALSE)</f>
        <v>Takse</v>
      </c>
      <c r="C25" s="540"/>
      <c r="D25" s="540"/>
      <c r="E25" s="540"/>
      <c r="F25" s="540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9" t="str">
        <f>+VLOOKUP($A26,Master!$D$29:$G$225,4,FALSE)</f>
        <v>Naknade</v>
      </c>
      <c r="C26" s="540"/>
      <c r="D26" s="540"/>
      <c r="E26" s="540"/>
      <c r="F26" s="540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9" t="str">
        <f>+VLOOKUP($A27,Master!$D$29:$G$225,4,FALSE)</f>
        <v>Ostali prihodi</v>
      </c>
      <c r="C27" s="540"/>
      <c r="D27" s="540"/>
      <c r="E27" s="540"/>
      <c r="F27" s="540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9" t="str">
        <f>+VLOOKUP($A28,Master!$D$29:$G$225,4,FALSE)</f>
        <v>Primici od otplate kredita i sredstva prenesena iz prethodne godine</v>
      </c>
      <c r="C28" s="540"/>
      <c r="D28" s="540"/>
      <c r="E28" s="540"/>
      <c r="F28" s="540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1" t="str">
        <f>+VLOOKUP($A29,Master!$D$29:$G$225,4,FALSE)</f>
        <v>Donacije i transferi</v>
      </c>
      <c r="C29" s="542"/>
      <c r="D29" s="542"/>
      <c r="E29" s="542"/>
      <c r="F29" s="542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7" t="str">
        <f>+VLOOKUP($A30,Master!$D$29:$G$225,4,FALSE)</f>
        <v>Izdaci budžeta</v>
      </c>
      <c r="C30" s="528"/>
      <c r="D30" s="528"/>
      <c r="E30" s="528"/>
      <c r="F30" s="528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3" t="str">
        <f>+VLOOKUP($A31,Master!$D$29:$G$225,4,FALSE)</f>
        <v>Tekući izdaci</v>
      </c>
      <c r="C31" s="544"/>
      <c r="D31" s="544"/>
      <c r="E31" s="544"/>
      <c r="F31" s="544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5" t="str">
        <f>+VLOOKUP($A32,Master!$D$29:$G$225,4,FALSE)</f>
        <v>Tekuća budžetska potrošnja</v>
      </c>
      <c r="C32" s="546"/>
      <c r="D32" s="546"/>
      <c r="E32" s="546"/>
      <c r="F32" s="546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7" t="str">
        <f>+VLOOKUP($A33,Master!$D$29:$G$225,4,FALSE)</f>
        <v>Bruto zarade i doprinosi na teret poslodavca</v>
      </c>
      <c r="C33" s="538"/>
      <c r="D33" s="538"/>
      <c r="E33" s="538"/>
      <c r="F33" s="538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7" t="str">
        <f>+VLOOKUP($A34,Master!$D$29:$G$225,4,FALSE)</f>
        <v>Ostala lična primanja</v>
      </c>
      <c r="C34" s="538"/>
      <c r="D34" s="538"/>
      <c r="E34" s="538"/>
      <c r="F34" s="538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7" t="str">
        <f>+VLOOKUP($A35,Master!$D$29:$G$225,4,FALSE)</f>
        <v>Rashodi za materijal</v>
      </c>
      <c r="C35" s="538"/>
      <c r="D35" s="538"/>
      <c r="E35" s="538"/>
      <c r="F35" s="538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7" t="str">
        <f>+VLOOKUP($A36,Master!$D$29:$G$225,4,FALSE)</f>
        <v>Rashodi za usluge</v>
      </c>
      <c r="C36" s="538"/>
      <c r="D36" s="538"/>
      <c r="E36" s="538"/>
      <c r="F36" s="538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7" t="str">
        <f>+VLOOKUP($A37,Master!$D$29:$G$225,4,FALSE)</f>
        <v>Rashodi za tekuće održavanje</v>
      </c>
      <c r="C37" s="538"/>
      <c r="D37" s="538"/>
      <c r="E37" s="538"/>
      <c r="F37" s="538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7" t="str">
        <f>+VLOOKUP($A38,Master!$D$29:$G$225,4,FALSE)</f>
        <v>Kamate</v>
      </c>
      <c r="C38" s="538"/>
      <c r="D38" s="538"/>
      <c r="E38" s="538"/>
      <c r="F38" s="538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7" t="str">
        <f>+VLOOKUP($A39,Master!$D$29:$G$225,4,FALSE)</f>
        <v>Renta</v>
      </c>
      <c r="C39" s="538"/>
      <c r="D39" s="538"/>
      <c r="E39" s="538"/>
      <c r="F39" s="538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7" t="str">
        <f>+VLOOKUP($A40,Master!$D$29:$G$225,4,FALSE)</f>
        <v>Subvencije</v>
      </c>
      <c r="C40" s="538"/>
      <c r="D40" s="538"/>
      <c r="E40" s="538"/>
      <c r="F40" s="538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7" t="str">
        <f>+VLOOKUP($A41,Master!$D$29:$G$225,4,FALSE)</f>
        <v>Ostali izdaci</v>
      </c>
      <c r="C41" s="538"/>
      <c r="D41" s="538"/>
      <c r="E41" s="538"/>
      <c r="F41" s="538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7" t="e">
        <f>+VLOOKUP($A42,Master!$D$29:$G$225,4,FALSE)</f>
        <v>#N/A</v>
      </c>
      <c r="C42" s="538"/>
      <c r="D42" s="538"/>
      <c r="E42" s="538"/>
      <c r="F42" s="538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3" t="str">
        <f>+VLOOKUP($A43,Master!$D$29:$G$225,4,FALSE)</f>
        <v>Transferi za socijalnu zaštitu</v>
      </c>
      <c r="C43" s="534"/>
      <c r="D43" s="534"/>
      <c r="E43" s="534"/>
      <c r="F43" s="534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7" t="str">
        <f>+VLOOKUP($A44,Master!$D$29:$G$225,4,FALSE)</f>
        <v>Prava iz oblasti socijalne zaštite</v>
      </c>
      <c r="C44" s="538"/>
      <c r="D44" s="538"/>
      <c r="E44" s="538"/>
      <c r="F44" s="538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7" t="str">
        <f>+VLOOKUP($A45,Master!$D$29:$G$225,4,FALSE)</f>
        <v>Sredstva za tehnološke viškove</v>
      </c>
      <c r="C45" s="538"/>
      <c r="D45" s="538"/>
      <c r="E45" s="538"/>
      <c r="F45" s="538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7" t="str">
        <f>+VLOOKUP($A46,Master!$D$29:$G$225,4,FALSE)</f>
        <v>Prava iz oblasti penzijskog i invalidskog osiguranja</v>
      </c>
      <c r="C46" s="538"/>
      <c r="D46" s="538"/>
      <c r="E46" s="538"/>
      <c r="F46" s="538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7" t="str">
        <f>+VLOOKUP($A47,Master!$D$29:$G$225,4,FALSE)</f>
        <v>Ostala prava iz oblasti zdravstvene zaštite</v>
      </c>
      <c r="C47" s="538"/>
      <c r="D47" s="538"/>
      <c r="E47" s="538"/>
      <c r="F47" s="538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7" t="str">
        <f>+VLOOKUP($A48,Master!$D$29:$G$225,4,FALSE)</f>
        <v>Ostala prava iz zdravstvenog osiguranja</v>
      </c>
      <c r="C48" s="538"/>
      <c r="D48" s="538"/>
      <c r="E48" s="538"/>
      <c r="F48" s="538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5" t="str">
        <f>+VLOOKUP($A49,Master!$D$29:$G$225,4,FALSE)</f>
        <v xml:space="preserve">Transferi institucijama, pojedincima, nevladinom i javnom sektoru </v>
      </c>
      <c r="C49" s="536"/>
      <c r="D49" s="536"/>
      <c r="E49" s="536"/>
      <c r="F49" s="536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5" t="str">
        <f>+VLOOKUP($A50,Master!$D$29:$G$225,4,FALSE)</f>
        <v>Kapitalni izdaci</v>
      </c>
      <c r="C50" s="536"/>
      <c r="D50" s="536"/>
      <c r="E50" s="536"/>
      <c r="F50" s="536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5" t="str">
        <f>+VLOOKUP($A51,Master!$D$29:$G$225,4,FALSE)</f>
        <v>Pozajmice i krediti</v>
      </c>
      <c r="C51" s="506"/>
      <c r="D51" s="506"/>
      <c r="E51" s="506"/>
      <c r="F51" s="506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5" t="str">
        <f>+VLOOKUP($A52,Master!$D$29:$G$225,4,FALSE)</f>
        <v>Rezerve</v>
      </c>
      <c r="C52" s="506"/>
      <c r="D52" s="506"/>
      <c r="E52" s="506"/>
      <c r="F52" s="506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3" t="str">
        <f>+VLOOKUP($A53,Master!$D$29:$G$225,4,FALSE)</f>
        <v>Otplata garancija</v>
      </c>
      <c r="C53" s="524"/>
      <c r="D53" s="524"/>
      <c r="E53" s="524"/>
      <c r="F53" s="524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3" t="str">
        <f>+VLOOKUP($A54,Master!$D$29:$G$225,4,FALSE)</f>
        <v>Otplata obaveza iz prethodnog perioda</v>
      </c>
      <c r="C54" s="524"/>
      <c r="D54" s="524"/>
      <c r="E54" s="524"/>
      <c r="F54" s="524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3" t="str">
        <f>+VLOOKUP($A55,Master!$D$29:$G$227,4,FALSE)</f>
        <v>Neto povećanje obaveza</v>
      </c>
      <c r="C55" s="524"/>
      <c r="D55" s="524"/>
      <c r="E55" s="524"/>
      <c r="F55" s="524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9" t="str">
        <f>+VLOOKUP($A56,Master!$D$29:$G$225,4,FALSE)</f>
        <v>Suficit / deficit</v>
      </c>
      <c r="C56" s="530"/>
      <c r="D56" s="530"/>
      <c r="E56" s="530"/>
      <c r="F56" s="530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1" t="str">
        <f>+VLOOKUP($A57,Master!$D$29:$G$225,4,FALSE)</f>
        <v>Primarni suficit/deficit</v>
      </c>
      <c r="C57" s="532"/>
      <c r="D57" s="532"/>
      <c r="E57" s="532"/>
      <c r="F57" s="532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3" t="str">
        <f>+VLOOKUP($A58,Master!$D$29:$G$225,4,FALSE)</f>
        <v>Otplata dugova</v>
      </c>
      <c r="C58" s="534"/>
      <c r="D58" s="534"/>
      <c r="E58" s="534"/>
      <c r="F58" s="534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1" t="str">
        <f>+VLOOKUP($A59,Master!$D$29:$G$225,4,FALSE)</f>
        <v>Otplata hartija od vrijednosti i kredita rezidentima</v>
      </c>
      <c r="C59" s="522"/>
      <c r="D59" s="522"/>
      <c r="E59" s="522"/>
      <c r="F59" s="522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5" t="str">
        <f>+VLOOKUP($A60,Master!$D$29:$G$225,4,FALSE)</f>
        <v>Otplata hartija od vrijednosti i kredita nerezidentima</v>
      </c>
      <c r="C60" s="506"/>
      <c r="D60" s="506"/>
      <c r="E60" s="506"/>
      <c r="F60" s="506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5" t="str">
        <f>+VLOOKUP($A62,Master!$D$29:$G$225,4,FALSE)</f>
        <v>Nedostajuća sredstva</v>
      </c>
      <c r="C62" s="526"/>
      <c r="D62" s="526"/>
      <c r="E62" s="526"/>
      <c r="F62" s="526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7" t="str">
        <f>+VLOOKUP($A63,Master!$D$29:$G$225,4,FALSE)</f>
        <v>Finansiranje</v>
      </c>
      <c r="C63" s="528"/>
      <c r="D63" s="528"/>
      <c r="E63" s="528"/>
      <c r="F63" s="528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1" t="str">
        <f>+VLOOKUP($A64,Master!$D$29:$G$225,4,FALSE)</f>
        <v>Pozajmice i krediti od domaćih izvora</v>
      </c>
      <c r="C64" s="522"/>
      <c r="D64" s="522"/>
      <c r="E64" s="522"/>
      <c r="F64" s="522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5" t="str">
        <f>+VLOOKUP($A65,Master!$D$29:$G$225,4,FALSE)</f>
        <v>Pozajmice i krediti od inostranih izvora</v>
      </c>
      <c r="C65" s="506"/>
      <c r="D65" s="506"/>
      <c r="E65" s="506"/>
      <c r="F65" s="506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5" t="str">
        <f>+VLOOKUP($A66,Master!$D$29:$G$225,4,FALSE)</f>
        <v>Primici od prodaje imovine</v>
      </c>
      <c r="C66" s="506"/>
      <c r="D66" s="506"/>
      <c r="E66" s="506"/>
      <c r="F66" s="506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Maj</v>
      </c>
    </row>
    <row r="245" spans="4:7">
      <c r="D245" s="49"/>
      <c r="E245" s="9"/>
      <c r="F245" s="10"/>
      <c r="G245" s="52" t="str">
        <f>+CONCATENATE("Jan - ",LEFT(G244,3))</f>
        <v>Jan - Maj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Maj</v>
      </c>
      <c r="F253" s="10" t="str">
        <f>+CONCATENATE("Analytics for period ",G245)</f>
        <v>Analytics for period Jan - Maj</v>
      </c>
      <c r="G253" s="52" t="str">
        <f>+IF(ISBLANK(IF($B$2=1,E253,F253)),"",IF($B$2=1,E253,F253))</f>
        <v>Analitika za period Jan - Maj</v>
      </c>
    </row>
    <row r="254" spans="4:7">
      <c r="D254" s="46"/>
      <c r="E254" s="9" t="str">
        <f>+CONCATENATE("Analitika za period ",G244)</f>
        <v>Analitika za period Maj</v>
      </c>
      <c r="F254" s="10" t="str">
        <f>+CONCATENATE("Analytics for period ",G244)</f>
        <v>Analytics for period Maj</v>
      </c>
      <c r="G254" s="52" t="str">
        <f>+IF(ISBLANK(IF($B$2=1,E254,F254)),"",IF($B$2=1,E254,F254))</f>
        <v>Analitika za period Maj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Maj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Maj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Maj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Maj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Maj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Maj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L32"/>
  <sheetViews>
    <sheetView zoomScaleNormal="100" workbookViewId="0">
      <selection activeCell="M31" sqref="M31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+[1]Master!G6</f>
        <v>Crna Gora</v>
      </c>
      <c r="I2" s="129"/>
    </row>
    <row r="3" spans="3:11" s="126" customFormat="1">
      <c r="E3" s="129" t="str">
        <f>+[1]Master!G7</f>
        <v>Ministarstvo finansija i socijalnog staranja</v>
      </c>
    </row>
    <row r="4" spans="3:11" s="126" customFormat="1">
      <c r="E4" s="129" t="str">
        <f>+[1]Master!G8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">
        <v>840</v>
      </c>
      <c r="E11" s="135"/>
      <c r="F11" s="135"/>
      <c r="G11" s="137" t="s">
        <v>843</v>
      </c>
      <c r="H11" s="135"/>
      <c r="I11" s="135"/>
      <c r="J11" s="135"/>
      <c r="K11" s="136"/>
    </row>
    <row r="12" spans="3:11">
      <c r="C12" s="134"/>
      <c r="D12" s="138">
        <f>'2022'!K10</f>
        <v>154730235.27000001</v>
      </c>
      <c r="E12" s="455">
        <f>D12/'2022'!$T$7</f>
        <v>2.9159172936454095E-2</v>
      </c>
      <c r="F12" s="135"/>
      <c r="G12" s="138">
        <f>'2022'!S10</f>
        <v>753283681.56000006</v>
      </c>
      <c r="H12" s="455">
        <f>G12/'2022'!$T$7</f>
        <v>0.1419575760515604</v>
      </c>
      <c r="I12" s="135"/>
      <c r="J12" s="135"/>
      <c r="K12" s="136"/>
    </row>
    <row r="13" spans="3:11">
      <c r="C13" s="134"/>
      <c r="D13" s="139" t="s">
        <v>417</v>
      </c>
      <c r="E13" s="139" t="s">
        <v>810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">
        <v>841</v>
      </c>
      <c r="E15" s="135"/>
      <c r="F15" s="135"/>
      <c r="G15" s="137" t="s">
        <v>844</v>
      </c>
      <c r="H15" s="135"/>
      <c r="I15" s="135"/>
      <c r="J15" s="135"/>
      <c r="K15" s="136"/>
    </row>
    <row r="16" spans="3:11">
      <c r="C16" s="134"/>
      <c r="D16" s="138">
        <f>'2022'!K29</f>
        <v>149139298.72999999</v>
      </c>
      <c r="E16" s="455">
        <f>D16/'2022'!$T$7</f>
        <v>2.8105551547188298E-2</v>
      </c>
      <c r="F16" s="135"/>
      <c r="G16" s="138">
        <f>'2022'!S29</f>
        <v>789905035.07999992</v>
      </c>
      <c r="H16" s="455">
        <f>G16/'2022'!$T$7</f>
        <v>0.14885893168249659</v>
      </c>
      <c r="I16" s="135"/>
      <c r="J16" s="135"/>
      <c r="K16" s="136"/>
    </row>
    <row r="17" spans="3:12">
      <c r="C17" s="134"/>
      <c r="D17" s="139" t="s">
        <v>417</v>
      </c>
      <c r="E17" s="139" t="s">
        <v>810</v>
      </c>
      <c r="F17" s="135"/>
      <c r="G17" s="139" t="s">
        <v>417</v>
      </c>
      <c r="H17" s="139" t="s">
        <v>810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">
        <v>842</v>
      </c>
      <c r="E19" s="135"/>
      <c r="F19" s="135"/>
      <c r="G19" s="137" t="s">
        <v>845</v>
      </c>
      <c r="H19" s="135"/>
      <c r="I19" s="135"/>
      <c r="J19" s="135"/>
      <c r="K19" s="136"/>
    </row>
    <row r="20" spans="3:12">
      <c r="C20" s="134"/>
      <c r="D20" s="138">
        <f>'2022'!K53</f>
        <v>5590936.5400000215</v>
      </c>
      <c r="E20" s="455">
        <f>D20/'2022'!$T$7</f>
        <v>1.0536213892657963E-3</v>
      </c>
      <c r="F20" s="135"/>
      <c r="G20" s="138">
        <f>'2022'!S53</f>
        <v>-36621353.519999847</v>
      </c>
      <c r="H20" s="455">
        <f>G20/'2022'!$T$7</f>
        <v>-6.9013556309361988E-3</v>
      </c>
      <c r="I20" s="135"/>
      <c r="J20" s="135"/>
      <c r="K20" s="136"/>
    </row>
    <row r="21" spans="3:12">
      <c r="C21" s="134"/>
      <c r="D21" s="139" t="s">
        <v>417</v>
      </c>
      <c r="E21" s="139" t="s">
        <v>810</v>
      </c>
      <c r="F21" s="135"/>
      <c r="G21" s="139" t="s">
        <v>417</v>
      </c>
      <c r="H21" s="139" t="s">
        <v>810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ilK4Wt+m2PXcyWlV0H1Ysa0qSbpauwgWUF3ap5RS0ajUyvxqc0zfyqVQW96WShqXDiKNd5u8KjT3r8maKe9ZlA==" saltValue="WVrJmLxiBHpM02dmC0gDCA==" spinCount="100000" sheet="1" objects="1" scenarios="1" selectLockedCells="1" selectUnlockedCells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3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4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zoomScale="85" zoomScaleNormal="85" workbookViewId="0">
      <pane ySplit="5" topLeftCell="A7" activePane="bottomLeft" state="frozen"/>
      <selection activeCell="DK219" sqref="DK219"/>
      <selection pane="bottomLeft" activeCell="H13" sqref="H1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 i socijalnog staranja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4"/>
      <c r="P4" s="484"/>
      <c r="Q4" s="484"/>
    </row>
    <row r="5" spans="1:20" s="1" customFormat="1">
      <c r="B5" s="484"/>
      <c r="G5" s="163"/>
      <c r="H5" s="163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2022-05</v>
      </c>
      <c r="O6" s="143" t="str">
        <f>+CONCATENATE(N6,"p")</f>
        <v>2022-05p</v>
      </c>
      <c r="P6" s="130"/>
      <c r="Q6" s="130"/>
      <c r="R6" s="143" t="str">
        <f>+IF(Master!B3-10&gt;=0,CONCATENATE(Master!B4-1,"-",Master!B3),CONCATENATE(Master!B4-1,"-0",Master!B3))</f>
        <v>2021-05</v>
      </c>
      <c r="S6" s="130"/>
      <c r="T6" s="130"/>
    </row>
    <row r="7" spans="1:20" ht="14.25" customHeight="1">
      <c r="A7" s="144"/>
      <c r="B7" s="507" t="str">
        <f>+Master!G253</f>
        <v>Analitika za period Jan - Maj</v>
      </c>
      <c r="C7" s="508"/>
      <c r="D7" s="508"/>
      <c r="E7" s="508"/>
      <c r="F7" s="508"/>
      <c r="G7" s="516" t="str">
        <f>+Master!G245</f>
        <v>Jan - Maj</v>
      </c>
      <c r="H7" s="517"/>
      <c r="I7" s="517"/>
      <c r="J7" s="517"/>
      <c r="K7" s="517"/>
      <c r="L7" s="517"/>
      <c r="M7" s="518"/>
      <c r="N7" s="519" t="str">
        <f>+Master!G244</f>
        <v>Maj</v>
      </c>
      <c r="O7" s="517"/>
      <c r="P7" s="517"/>
      <c r="Q7" s="517"/>
      <c r="R7" s="517"/>
      <c r="S7" s="517"/>
      <c r="T7" s="520"/>
    </row>
    <row r="8" spans="1:20">
      <c r="A8" s="144"/>
      <c r="B8" s="509"/>
      <c r="C8" s="510"/>
      <c r="D8" s="510"/>
      <c r="E8" s="510"/>
      <c r="F8" s="511"/>
      <c r="G8" s="357" t="str">
        <f>+Master!G25</f>
        <v>Ostvarenje</v>
      </c>
      <c r="H8" s="145" t="str">
        <f>+Master!G24</f>
        <v>Plan</v>
      </c>
      <c r="I8" s="503" t="str">
        <f>+Master!G260</f>
        <v>Odstupanje</v>
      </c>
      <c r="J8" s="503"/>
      <c r="K8" s="145" t="str">
        <f>+CONCATENATE(Master!G245," ",Master!B4-1)</f>
        <v>Jan - Maj 2021</v>
      </c>
      <c r="L8" s="503" t="str">
        <f>+I8</f>
        <v>Odstupanje</v>
      </c>
      <c r="M8" s="515"/>
      <c r="N8" s="146" t="str">
        <f>+G8</f>
        <v>Ostvarenje</v>
      </c>
      <c r="O8" s="145" t="str">
        <f>+H8</f>
        <v>Plan</v>
      </c>
      <c r="P8" s="503" t="str">
        <f>+I8</f>
        <v>Odstupanje</v>
      </c>
      <c r="Q8" s="503"/>
      <c r="R8" s="145" t="str">
        <f>+CONCATENATE(Master!G244," ",Master!B4-1)</f>
        <v>Maj 2021</v>
      </c>
      <c r="S8" s="503" t="str">
        <f>+P8</f>
        <v>Odstupanje</v>
      </c>
      <c r="T8" s="504"/>
    </row>
    <row r="9" spans="1:20" ht="15.75" thickBot="1">
      <c r="A9" s="144"/>
      <c r="B9" s="512"/>
      <c r="C9" s="513"/>
      <c r="D9" s="513"/>
      <c r="E9" s="513"/>
      <c r="F9" s="514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7" t="str">
        <f>+VLOOKUP($A10,Master!$D$29:$G$225,4,FALSE)</f>
        <v>Prihodi budžeta</v>
      </c>
      <c r="C10" s="528"/>
      <c r="D10" s="528"/>
      <c r="E10" s="528"/>
      <c r="F10" s="528"/>
      <c r="G10" s="151">
        <f>'2022'!S10</f>
        <v>753283681.56000006</v>
      </c>
      <c r="H10" s="151">
        <f>SUM('2022'!G84:K84)</f>
        <v>668618847.23855412</v>
      </c>
      <c r="I10" s="152">
        <f>+G10-H10</f>
        <v>84664834.321445942</v>
      </c>
      <c r="J10" s="154">
        <f>IF(+IF(ISERROR(G10/H10),"…",G10/H10-1)&gt;200%,"...",IF(ISERROR(G10/H10),"…",G10/H10-1))</f>
        <v>0.1266264549243834</v>
      </c>
      <c r="K10" s="151">
        <f>SUM('2021'!G10:K10)</f>
        <v>629117063.55999994</v>
      </c>
      <c r="L10" s="152">
        <f>+G10-K10</f>
        <v>124166618.00000012</v>
      </c>
      <c r="M10" s="154">
        <f>IF(+IF(ISERROR(G10/K10),"…",G10/K10-1)&gt;200%,"...",IF(ISERROR(G10/K10),"…",G10/K10-1))</f>
        <v>0.19736647627609316</v>
      </c>
      <c r="N10" s="151">
        <f>'2022'!K10</f>
        <v>154730235.27000001</v>
      </c>
      <c r="O10" s="151">
        <f>'2022'!K84</f>
        <v>140633489.37786841</v>
      </c>
      <c r="P10" s="152">
        <f>+N10-O10</f>
        <v>14096745.892131597</v>
      </c>
      <c r="Q10" s="154">
        <f>IF(+IF(ISERROR(N10/O10),"…",N10/O10-1)&gt;200%,"...",IF(ISERROR(N10/O10),"…",N10/O10-1))</f>
        <v>0.10023747511700454</v>
      </c>
      <c r="R10" s="151">
        <f>'2021'!K10</f>
        <v>136581593.40000001</v>
      </c>
      <c r="S10" s="152">
        <f>+N10-R10</f>
        <v>18148641.870000005</v>
      </c>
      <c r="T10" s="154">
        <f>IF(+IF(ISERROR(N10/R10),"…",N10/R10-1)&gt;200%,"...",IF(ISERROR(N10/R10),"…",N10/R10-1))</f>
        <v>0.13287765516725925</v>
      </c>
    </row>
    <row r="11" spans="1:20">
      <c r="A11" s="150">
        <v>711</v>
      </c>
      <c r="B11" s="551" t="str">
        <f>+VLOOKUP($A11,Master!$D$29:$G$225,4,FALSE)</f>
        <v>Porezi</v>
      </c>
      <c r="C11" s="552"/>
      <c r="D11" s="552"/>
      <c r="E11" s="552"/>
      <c r="F11" s="552"/>
      <c r="G11" s="277">
        <f>'2022'!S11</f>
        <v>546747708.79000008</v>
      </c>
      <c r="H11" s="277">
        <f>SUM('2022'!G85:K85)</f>
        <v>454476417.84623915</v>
      </c>
      <c r="I11" s="158">
        <f t="shared" ref="I11:I57" si="0">+G11-H11</f>
        <v>92271290.943760931</v>
      </c>
      <c r="J11" s="160">
        <f t="shared" ref="J11:J64" si="1">IF(+IF(ISERROR(G11/H11-1),"…",G11/H11-1)&gt;200%,"...",IF(ISERROR(G11/H11-1),"…",G11/H11-1))</f>
        <v>0.20302767606960548</v>
      </c>
      <c r="K11" s="277">
        <f>SUM('2021'!G11:K11)</f>
        <v>404505174.12</v>
      </c>
      <c r="L11" s="158">
        <f>+G11-K11</f>
        <v>142242534.67000008</v>
      </c>
      <c r="M11" s="160">
        <f t="shared" ref="M11:M64" si="2">IF(+IF(ISERROR(G11/K11),"…",G11/K11-1)&gt;200%,"...",IF(ISERROR(G11/K11),"…",G11/K11-1))</f>
        <v>0.35164577308423395</v>
      </c>
      <c r="N11" s="277">
        <f>'2022'!K11</f>
        <v>112630389.3</v>
      </c>
      <c r="O11" s="277">
        <f>'2022'!K85</f>
        <v>93834576.699615017</v>
      </c>
      <c r="P11" s="158">
        <f>+N11-O11</f>
        <v>18795812.60038498</v>
      </c>
      <c r="Q11" s="160">
        <f t="shared" ref="Q11:Q64" si="3">IF(+IF(ISERROR(N11/O11),"…",N11/O11-1)&gt;200%,"...",IF(ISERROR(N11/O11),"…",N11/O11-1))</f>
        <v>0.2003079596187074</v>
      </c>
      <c r="R11" s="277">
        <f>'2021'!K11</f>
        <v>83251772.959999993</v>
      </c>
      <c r="S11" s="158">
        <f t="shared" ref="S11:S57" si="4">+N11-R11</f>
        <v>29378616.340000004</v>
      </c>
      <c r="T11" s="160">
        <f t="shared" ref="T11:T64" si="5">IF(+IF(ISERROR(N11/R11),"…",N11/R11-1)&gt;200%,"...",IF(ISERROR(N11/R11),"…",N11/R11-1))</f>
        <v>0.35288877696473264</v>
      </c>
    </row>
    <row r="12" spans="1:20">
      <c r="A12" s="150">
        <v>7111</v>
      </c>
      <c r="B12" s="537" t="str">
        <f>+VLOOKUP($A12,Master!$D$29:$G$225,4,FALSE)</f>
        <v>Porez na dohodak fizičkih lica</v>
      </c>
      <c r="C12" s="538"/>
      <c r="D12" s="538"/>
      <c r="E12" s="538"/>
      <c r="F12" s="538"/>
      <c r="G12" s="163">
        <f>'2022'!S12</f>
        <v>36703931.18</v>
      </c>
      <c r="H12" s="163">
        <f>SUM('2022'!G86:K86)</f>
        <v>47527498.280674532</v>
      </c>
      <c r="I12" s="164">
        <f t="shared" si="0"/>
        <v>-10823567.100674532</v>
      </c>
      <c r="J12" s="166">
        <f t="shared" si="1"/>
        <v>-0.22773273351683176</v>
      </c>
      <c r="K12" s="163">
        <f>SUM('2021'!G12:K12)</f>
        <v>42105248.439999998</v>
      </c>
      <c r="L12" s="164">
        <f>+G12-K12</f>
        <v>-5401317.2599999979</v>
      </c>
      <c r="M12" s="166">
        <f t="shared" si="2"/>
        <v>-0.12828132976573881</v>
      </c>
      <c r="N12" s="163">
        <f>'2022'!K12</f>
        <v>8176244.7699999996</v>
      </c>
      <c r="O12" s="163">
        <f>'2022'!K86</f>
        <v>11719700.466837784</v>
      </c>
      <c r="P12" s="164">
        <f t="shared" ref="P12:P57" si="6">+N12-O12</f>
        <v>-3543455.6968377847</v>
      </c>
      <c r="Q12" s="166">
        <f t="shared" si="3"/>
        <v>-0.30235036354934097</v>
      </c>
      <c r="R12" s="163">
        <f>'2021'!K12</f>
        <v>10107603.84</v>
      </c>
      <c r="S12" s="164">
        <f t="shared" si="4"/>
        <v>-1931359.0700000003</v>
      </c>
      <c r="T12" s="166">
        <f t="shared" si="5"/>
        <v>-0.19107981481791048</v>
      </c>
    </row>
    <row r="13" spans="1:20">
      <c r="A13" s="150">
        <v>7112</v>
      </c>
      <c r="B13" s="537" t="str">
        <f>+VLOOKUP($A13,Master!$D$29:$G$225,4,FALSE)</f>
        <v>Porez na dobit pravnih lica</v>
      </c>
      <c r="C13" s="538"/>
      <c r="D13" s="538"/>
      <c r="E13" s="538"/>
      <c r="F13" s="538"/>
      <c r="G13" s="163">
        <f>'2022'!S13</f>
        <v>72169459.859999985</v>
      </c>
      <c r="H13" s="163">
        <f>SUM('2022'!G87:K87)</f>
        <v>59732454.255001128</v>
      </c>
      <c r="I13" s="164">
        <f t="shared" si="0"/>
        <v>12437005.604998857</v>
      </c>
      <c r="J13" s="166">
        <f t="shared" si="1"/>
        <v>0.20821186338509712</v>
      </c>
      <c r="K13" s="163">
        <f>SUM('2021'!G13:K13)</f>
        <v>52848820.409999996</v>
      </c>
      <c r="L13" s="164">
        <f t="shared" ref="L13:L57" si="7">+G13-K13</f>
        <v>19320639.449999988</v>
      </c>
      <c r="M13" s="166">
        <f t="shared" si="2"/>
        <v>0.36558317290927</v>
      </c>
      <c r="N13" s="163">
        <f>'2022'!K13</f>
        <v>2149499.0699999998</v>
      </c>
      <c r="O13" s="163">
        <f>'2022'!K87</f>
        <v>5197060.1926962147</v>
      </c>
      <c r="P13" s="164">
        <f t="shared" si="6"/>
        <v>-3047561.1226962148</v>
      </c>
      <c r="Q13" s="166">
        <f t="shared" si="3"/>
        <v>-0.58640096702731315</v>
      </c>
      <c r="R13" s="163">
        <f>'2021'!K13</f>
        <v>4206538.32</v>
      </c>
      <c r="S13" s="164">
        <f t="shared" si="4"/>
        <v>-2057039.2500000005</v>
      </c>
      <c r="T13" s="166">
        <f t="shared" si="5"/>
        <v>-0.48900998719536215</v>
      </c>
    </row>
    <row r="14" spans="1:20">
      <c r="A14" s="150">
        <v>7113</v>
      </c>
      <c r="B14" s="537" t="str">
        <f>+VLOOKUP($A14,Master!$D$29:$G$225,4,FALSE)</f>
        <v>Porez na promet nepokretnosti</v>
      </c>
      <c r="C14" s="538"/>
      <c r="D14" s="538"/>
      <c r="E14" s="538"/>
      <c r="F14" s="538"/>
      <c r="G14" s="163">
        <f>'2022'!S14</f>
        <v>983158.57000000007</v>
      </c>
      <c r="H14" s="163">
        <f>SUM('2022'!G88:K88)</f>
        <v>758798.89922518004</v>
      </c>
      <c r="I14" s="164">
        <f t="shared" si="0"/>
        <v>224359.67077482003</v>
      </c>
      <c r="J14" s="166">
        <f t="shared" si="1"/>
        <v>0.29567738040199676</v>
      </c>
      <c r="K14" s="163">
        <f>SUM('2021'!G14:K14)</f>
        <v>602256.56999999995</v>
      </c>
      <c r="L14" s="164">
        <f t="shared" si="7"/>
        <v>380902.00000000012</v>
      </c>
      <c r="M14" s="166">
        <f t="shared" si="2"/>
        <v>0.6324580236625732</v>
      </c>
      <c r="N14" s="163">
        <f>'2022'!K14</f>
        <v>189584.64000000001</v>
      </c>
      <c r="O14" s="163">
        <f>'2022'!K88</f>
        <v>151756.38063291303</v>
      </c>
      <c r="P14" s="164">
        <f t="shared" si="6"/>
        <v>37828.259367086983</v>
      </c>
      <c r="Q14" s="166">
        <f t="shared" si="3"/>
        <v>0.24926964658303641</v>
      </c>
      <c r="R14" s="163">
        <f>'2021'!K14</f>
        <v>152712.75</v>
      </c>
      <c r="S14" s="164">
        <f t="shared" si="4"/>
        <v>36871.890000000014</v>
      </c>
      <c r="T14" s="166">
        <f t="shared" si="5"/>
        <v>0.24144604821797788</v>
      </c>
    </row>
    <row r="15" spans="1:20">
      <c r="A15" s="150">
        <v>7114</v>
      </c>
      <c r="B15" s="537" t="str">
        <f>+VLOOKUP($A15,Master!$D$29:$G$225,4,FALSE)</f>
        <v>Porez na dodatu vrijednost</v>
      </c>
      <c r="C15" s="538"/>
      <c r="D15" s="538"/>
      <c r="E15" s="538"/>
      <c r="F15" s="538"/>
      <c r="G15" s="163">
        <f>'2022'!S15</f>
        <v>321373330.96000004</v>
      </c>
      <c r="H15" s="163">
        <f>SUM('2022'!G89:K89)</f>
        <v>245027697.89045075</v>
      </c>
      <c r="I15" s="164">
        <f t="shared" si="0"/>
        <v>76345633.069549292</v>
      </c>
      <c r="J15" s="166">
        <f t="shared" si="1"/>
        <v>0.31157960396657924</v>
      </c>
      <c r="K15" s="163">
        <f>SUM('2021'!G15:K15)</f>
        <v>218788973.43000001</v>
      </c>
      <c r="L15" s="164">
        <f t="shared" si="7"/>
        <v>102584357.53000003</v>
      </c>
      <c r="M15" s="166">
        <f t="shared" si="2"/>
        <v>0.4688735264934234</v>
      </c>
      <c r="N15" s="163">
        <f>'2022'!K15</f>
        <v>76474660.090000004</v>
      </c>
      <c r="O15" s="163">
        <f>'2022'!K89</f>
        <v>53019436.722509921</v>
      </c>
      <c r="P15" s="164">
        <f t="shared" si="6"/>
        <v>23455223.367490083</v>
      </c>
      <c r="Q15" s="166">
        <f t="shared" si="3"/>
        <v>0.44238914664915585</v>
      </c>
      <c r="R15" s="163">
        <f>'2021'!K15</f>
        <v>46983393.619999997</v>
      </c>
      <c r="S15" s="164">
        <f t="shared" si="4"/>
        <v>29491266.470000006</v>
      </c>
      <c r="T15" s="166">
        <f t="shared" si="5"/>
        <v>0.6276955366086221</v>
      </c>
    </row>
    <row r="16" spans="1:20">
      <c r="A16" s="150">
        <v>7115</v>
      </c>
      <c r="B16" s="537" t="str">
        <f>+VLOOKUP($A16,Master!$D$29:$G$225,4,FALSE)</f>
        <v>Akcize</v>
      </c>
      <c r="C16" s="538"/>
      <c r="D16" s="538"/>
      <c r="E16" s="538"/>
      <c r="F16" s="538"/>
      <c r="G16" s="163">
        <f>'2022'!S16</f>
        <v>97257463.159999996</v>
      </c>
      <c r="H16" s="163">
        <f>SUM('2022'!G90:K90)</f>
        <v>86017549.246342435</v>
      </c>
      <c r="I16" s="164">
        <f t="shared" si="0"/>
        <v>11239913.913657561</v>
      </c>
      <c r="J16" s="166">
        <f t="shared" si="1"/>
        <v>0.13067000876144452</v>
      </c>
      <c r="K16" s="163">
        <f>SUM('2021'!G16:K16)</f>
        <v>76512499.549999997</v>
      </c>
      <c r="L16" s="164">
        <f t="shared" si="7"/>
        <v>20744963.609999999</v>
      </c>
      <c r="M16" s="166">
        <f t="shared" si="2"/>
        <v>0.27113169393248504</v>
      </c>
      <c r="N16" s="163">
        <f>'2022'!K16</f>
        <v>21309575.899999999</v>
      </c>
      <c r="O16" s="163">
        <f>'2022'!K90</f>
        <v>20215865.486963261</v>
      </c>
      <c r="P16" s="164">
        <f t="shared" si="6"/>
        <v>1093710.4130367376</v>
      </c>
      <c r="Q16" s="166">
        <f t="shared" si="3"/>
        <v>5.4101587376609972E-2</v>
      </c>
      <c r="R16" s="163">
        <f>'2021'!K16</f>
        <v>18572804.940000001</v>
      </c>
      <c r="S16" s="164">
        <f t="shared" si="4"/>
        <v>2736770.9599999972</v>
      </c>
      <c r="T16" s="166">
        <f t="shared" si="5"/>
        <v>0.14735366945602557</v>
      </c>
    </row>
    <row r="17" spans="1:20">
      <c r="A17" s="150">
        <v>7116</v>
      </c>
      <c r="B17" s="537" t="str">
        <f>+VLOOKUP($A17,Master!$D$29:$G$225,4,FALSE)</f>
        <v>Porez na međunarodnu trgovinu i transakcije</v>
      </c>
      <c r="C17" s="538"/>
      <c r="D17" s="538"/>
      <c r="E17" s="538"/>
      <c r="F17" s="538"/>
      <c r="G17" s="163">
        <f>'2022'!S17</f>
        <v>13629064.35</v>
      </c>
      <c r="H17" s="163">
        <f>SUM('2022'!G91:K91)</f>
        <v>10981545.353075057</v>
      </c>
      <c r="I17" s="164">
        <f t="shared" si="0"/>
        <v>2647518.9969249424</v>
      </c>
      <c r="J17" s="166">
        <f t="shared" si="1"/>
        <v>0.24108801737849972</v>
      </c>
      <c r="K17" s="163">
        <f>SUM('2021'!G17:K17)</f>
        <v>9528185.4399999995</v>
      </c>
      <c r="L17" s="164">
        <f t="shared" si="7"/>
        <v>4100878.91</v>
      </c>
      <c r="M17" s="166">
        <f t="shared" si="2"/>
        <v>0.43039453165806574</v>
      </c>
      <c r="N17" s="163">
        <f>'2022'!K17</f>
        <v>3394780.34</v>
      </c>
      <c r="O17" s="163">
        <f>'2022'!K91</f>
        <v>2602607.8746786527</v>
      </c>
      <c r="P17" s="164">
        <f t="shared" si="6"/>
        <v>792172.46532134712</v>
      </c>
      <c r="Q17" s="166">
        <f t="shared" si="3"/>
        <v>0.30437641914041991</v>
      </c>
      <c r="R17" s="163">
        <f>'2021'!K17</f>
        <v>2352710.86</v>
      </c>
      <c r="S17" s="164">
        <f t="shared" si="4"/>
        <v>1042069.48</v>
      </c>
      <c r="T17" s="166">
        <f t="shared" si="5"/>
        <v>0.44292288428506676</v>
      </c>
    </row>
    <row r="18" spans="1:20">
      <c r="A18" s="150">
        <v>7118</v>
      </c>
      <c r="B18" s="537" t="str">
        <f>+VLOOKUP($A18,Master!$D$29:$G$225,4,FALSE)</f>
        <v>Ostali državni porezi</v>
      </c>
      <c r="C18" s="538"/>
      <c r="D18" s="538"/>
      <c r="E18" s="538"/>
      <c r="F18" s="538"/>
      <c r="G18" s="163">
        <f>'2022'!S18</f>
        <v>4631300.71</v>
      </c>
      <c r="H18" s="163">
        <f>SUM('2022'!G92:K92)</f>
        <v>4430873.9214701317</v>
      </c>
      <c r="I18" s="164">
        <f t="shared" si="0"/>
        <v>200426.78852986824</v>
      </c>
      <c r="J18" s="166">
        <f t="shared" si="1"/>
        <v>4.523414389172431E-2</v>
      </c>
      <c r="K18" s="163">
        <f>SUM('2021'!G18:K18)</f>
        <v>4119190.2800000003</v>
      </c>
      <c r="L18" s="164">
        <f t="shared" si="7"/>
        <v>512110.4299999997</v>
      </c>
      <c r="M18" s="166">
        <f t="shared" si="2"/>
        <v>0.12432308176839069</v>
      </c>
      <c r="N18" s="163">
        <f>'2022'!K18</f>
        <v>936044.49</v>
      </c>
      <c r="O18" s="163">
        <f>'2022'!K92</f>
        <v>928149.5752962752</v>
      </c>
      <c r="P18" s="164">
        <f t="shared" si="6"/>
        <v>7894.9147037247894</v>
      </c>
      <c r="Q18" s="166">
        <f t="shared" si="3"/>
        <v>8.506080177006714E-3</v>
      </c>
      <c r="R18" s="163">
        <f>'2021'!K18</f>
        <v>876008.63</v>
      </c>
      <c r="S18" s="164">
        <f t="shared" si="4"/>
        <v>60035.859999999986</v>
      </c>
      <c r="T18" s="166">
        <f t="shared" si="5"/>
        <v>6.8533411594358329E-2</v>
      </c>
    </row>
    <row r="19" spans="1:20">
      <c r="A19" s="150">
        <v>712</v>
      </c>
      <c r="B19" s="539" t="str">
        <f>+VLOOKUP($A19,Master!$D$29:$G$225,4,FALSE)</f>
        <v>Doprinosi</v>
      </c>
      <c r="C19" s="540"/>
      <c r="D19" s="540"/>
      <c r="E19" s="540"/>
      <c r="F19" s="540"/>
      <c r="G19" s="169">
        <f>'2022'!S19</f>
        <v>154828876.61999997</v>
      </c>
      <c r="H19" s="169">
        <f>SUM('2022'!G93:K93)</f>
        <v>163587712.39346775</v>
      </c>
      <c r="I19" s="170">
        <f t="shared" si="0"/>
        <v>-8758835.7734677792</v>
      </c>
      <c r="J19" s="172">
        <f t="shared" si="1"/>
        <v>-5.3542137397218914E-2</v>
      </c>
      <c r="K19" s="169">
        <f>SUM('2021'!G19:K19)</f>
        <v>187861901.63</v>
      </c>
      <c r="L19" s="170">
        <f t="shared" si="7"/>
        <v>-33033025.01000002</v>
      </c>
      <c r="M19" s="172">
        <f t="shared" si="2"/>
        <v>-0.17583674349820866</v>
      </c>
      <c r="N19" s="169">
        <f>'2022'!K19</f>
        <v>33463530.389999997</v>
      </c>
      <c r="O19" s="169">
        <f>'2022'!K93</f>
        <v>35349770.216303565</v>
      </c>
      <c r="P19" s="170">
        <f t="shared" si="6"/>
        <v>-1886239.8263035677</v>
      </c>
      <c r="Q19" s="172">
        <f t="shared" si="3"/>
        <v>-5.3359323547557902E-2</v>
      </c>
      <c r="R19" s="169">
        <f>'2021'!K19</f>
        <v>44073764.859999999</v>
      </c>
      <c r="S19" s="170">
        <f t="shared" si="4"/>
        <v>-10610234.470000003</v>
      </c>
      <c r="T19" s="172">
        <f t="shared" si="5"/>
        <v>-0.24073810131045847</v>
      </c>
    </row>
    <row r="20" spans="1:20">
      <c r="A20" s="150">
        <v>7121</v>
      </c>
      <c r="B20" s="537" t="str">
        <f>+VLOOKUP($A20,Master!$D$29:$G$225,4,FALSE)</f>
        <v>Doprinosi za penzijsko i invalidsko osiguranje</v>
      </c>
      <c r="C20" s="538"/>
      <c r="D20" s="538"/>
      <c r="E20" s="538"/>
      <c r="F20" s="538"/>
      <c r="G20" s="163">
        <f>'2022'!S20</f>
        <v>126395892.09999999</v>
      </c>
      <c r="H20" s="163">
        <f>SUM('2022'!G94:K94)</f>
        <v>141719543.23396137</v>
      </c>
      <c r="I20" s="164">
        <f t="shared" si="0"/>
        <v>-15323651.13396138</v>
      </c>
      <c r="J20" s="166">
        <f t="shared" si="1"/>
        <v>-0.10812659132455671</v>
      </c>
      <c r="K20" s="163">
        <f>SUM('2021'!G20:K20)</f>
        <v>115839239.68000001</v>
      </c>
      <c r="L20" s="164">
        <f t="shared" si="7"/>
        <v>10556652.419999987</v>
      </c>
      <c r="M20" s="166">
        <f t="shared" si="2"/>
        <v>9.1131920834099045E-2</v>
      </c>
      <c r="N20" s="163">
        <f>'2022'!K20</f>
        <v>29598378.829999998</v>
      </c>
      <c r="O20" s="163">
        <f>'2022'!K94</f>
        <v>31487172.281432074</v>
      </c>
      <c r="P20" s="164">
        <f t="shared" si="6"/>
        <v>-1888793.4514320754</v>
      </c>
      <c r="Q20" s="166">
        <f t="shared" si="3"/>
        <v>-5.9986124970195953E-2</v>
      </c>
      <c r="R20" s="163">
        <f>'2021'!K20</f>
        <v>27398377.559999999</v>
      </c>
      <c r="S20" s="164">
        <f t="shared" si="4"/>
        <v>2200001.2699999996</v>
      </c>
      <c r="T20" s="166">
        <f t="shared" si="5"/>
        <v>8.0296771777167875E-2</v>
      </c>
    </row>
    <row r="21" spans="1:20">
      <c r="A21" s="150">
        <v>7122</v>
      </c>
      <c r="B21" s="537" t="str">
        <f>+VLOOKUP($A21,Master!$D$29:$G$225,4,FALSE)</f>
        <v>Doprinosi za zdravstveno osiguranje</v>
      </c>
      <c r="C21" s="538"/>
      <c r="D21" s="538"/>
      <c r="E21" s="538"/>
      <c r="F21" s="538"/>
      <c r="G21" s="163">
        <f>'2022'!S21</f>
        <v>18396799.239999998</v>
      </c>
      <c r="H21" s="163">
        <f>SUM('2022'!G95:K95)</f>
        <v>9766247.4146816991</v>
      </c>
      <c r="I21" s="164">
        <f t="shared" si="0"/>
        <v>8630551.8253182992</v>
      </c>
      <c r="J21" s="166">
        <f t="shared" si="1"/>
        <v>0.88371218328381707</v>
      </c>
      <c r="K21" s="163">
        <f>SUM('2021'!G21:K21)</f>
        <v>61772752.689999998</v>
      </c>
      <c r="L21" s="164">
        <f t="shared" si="7"/>
        <v>-43375953.450000003</v>
      </c>
      <c r="M21" s="166">
        <f t="shared" si="2"/>
        <v>-0.70218585964069979</v>
      </c>
      <c r="N21" s="163">
        <f>'2022'!K21</f>
        <v>1480944.7</v>
      </c>
      <c r="O21" s="163">
        <f>'2022'!K95</f>
        <v>1387272.7272727001</v>
      </c>
      <c r="P21" s="164">
        <f t="shared" si="6"/>
        <v>93671.972727299901</v>
      </c>
      <c r="Q21" s="166">
        <f t="shared" si="3"/>
        <v>6.7522391874201837E-2</v>
      </c>
      <c r="R21" s="163">
        <f>'2021'!K21</f>
        <v>14196669.73</v>
      </c>
      <c r="S21" s="164">
        <f t="shared" si="4"/>
        <v>-12715725.030000001</v>
      </c>
      <c r="T21" s="166">
        <f t="shared" si="5"/>
        <v>-0.89568365481726253</v>
      </c>
    </row>
    <row r="22" spans="1:20">
      <c r="A22" s="150">
        <v>7123</v>
      </c>
      <c r="B22" s="537" t="str">
        <f>+VLOOKUP($A22,Master!$D$29:$G$225,4,FALSE)</f>
        <v>Doprinosi za osiguranje od nezaposlenosti</v>
      </c>
      <c r="C22" s="538"/>
      <c r="D22" s="538"/>
      <c r="E22" s="538"/>
      <c r="F22" s="538"/>
      <c r="G22" s="163">
        <f>'2022'!S22</f>
        <v>5782434.8300000001</v>
      </c>
      <c r="H22" s="163">
        <f>SUM('2022'!G96:K96)</f>
        <v>6681553.9351699203</v>
      </c>
      <c r="I22" s="164">
        <f t="shared" si="0"/>
        <v>-899119.10516992025</v>
      </c>
      <c r="J22" s="166">
        <f t="shared" si="1"/>
        <v>-0.13456736470197406</v>
      </c>
      <c r="K22" s="163">
        <f>SUM('2021'!G22:K22)</f>
        <v>5642617.6400000006</v>
      </c>
      <c r="L22" s="164">
        <f t="shared" si="7"/>
        <v>139817.18999999948</v>
      </c>
      <c r="M22" s="166">
        <f t="shared" si="2"/>
        <v>2.4778781572731168E-2</v>
      </c>
      <c r="N22" s="163">
        <f>'2022'!K22</f>
        <v>1379492.12</v>
      </c>
      <c r="O22" s="163">
        <f>'2022'!K96</f>
        <v>1467152.5454538772</v>
      </c>
      <c r="P22" s="164">
        <f t="shared" si="6"/>
        <v>-87660.425453877077</v>
      </c>
      <c r="Q22" s="166">
        <f t="shared" si="3"/>
        <v>-5.9748678298996216E-2</v>
      </c>
      <c r="R22" s="163">
        <f>'2021'!K22</f>
        <v>1335498.02</v>
      </c>
      <c r="S22" s="164">
        <f t="shared" si="4"/>
        <v>43994.100000000093</v>
      </c>
      <c r="T22" s="166">
        <f t="shared" si="5"/>
        <v>3.2942093017854113E-2</v>
      </c>
    </row>
    <row r="23" spans="1:20">
      <c r="A23" s="150">
        <v>7124</v>
      </c>
      <c r="B23" s="537" t="str">
        <f>+VLOOKUP($A23,Master!$D$29:$G$225,4,FALSE)</f>
        <v>Ostali doprinosi</v>
      </c>
      <c r="C23" s="538"/>
      <c r="D23" s="538"/>
      <c r="E23" s="538"/>
      <c r="F23" s="538"/>
      <c r="G23" s="163">
        <f>'2022'!S23</f>
        <v>4253750.45</v>
      </c>
      <c r="H23" s="163">
        <f>SUM('2022'!G97:K97)</f>
        <v>5420367.8096547425</v>
      </c>
      <c r="I23" s="164">
        <f t="shared" si="0"/>
        <v>-1166617.3596547423</v>
      </c>
      <c r="J23" s="166">
        <f t="shared" si="1"/>
        <v>-0.21522844954852827</v>
      </c>
      <c r="K23" s="163">
        <f>SUM('2021'!G23:K23)</f>
        <v>4607291.62</v>
      </c>
      <c r="L23" s="164">
        <f t="shared" si="7"/>
        <v>-353541.16999999993</v>
      </c>
      <c r="M23" s="166">
        <f t="shared" si="2"/>
        <v>-7.6735140546627667E-2</v>
      </c>
      <c r="N23" s="163">
        <f>'2022'!K23</f>
        <v>1004714.74</v>
      </c>
      <c r="O23" s="163">
        <f>'2022'!K97</f>
        <v>1008172.6621449152</v>
      </c>
      <c r="P23" s="164">
        <f t="shared" si="6"/>
        <v>-3457.9221449152101</v>
      </c>
      <c r="Q23" s="166">
        <f t="shared" si="3"/>
        <v>-3.4298908061625166E-3</v>
      </c>
      <c r="R23" s="163">
        <f>'2021'!K23</f>
        <v>1143219.55</v>
      </c>
      <c r="S23" s="164">
        <f t="shared" si="4"/>
        <v>-138504.81000000006</v>
      </c>
      <c r="T23" s="166">
        <f t="shared" si="5"/>
        <v>-0.12115329028444277</v>
      </c>
    </row>
    <row r="24" spans="1:20">
      <c r="A24" s="150">
        <v>713</v>
      </c>
      <c r="B24" s="539" t="str">
        <f>+VLOOKUP($A24,Master!$D$29:$G$225,4,FALSE)</f>
        <v>Takse</v>
      </c>
      <c r="C24" s="540"/>
      <c r="D24" s="540"/>
      <c r="E24" s="540"/>
      <c r="F24" s="540"/>
      <c r="G24" s="175">
        <f>'2022'!S24</f>
        <v>4318592.34</v>
      </c>
      <c r="H24" s="175">
        <f>SUM('2022'!G98:K98)</f>
        <v>4409601.6150794663</v>
      </c>
      <c r="I24" s="176">
        <f t="shared" si="0"/>
        <v>-91009.275079466403</v>
      </c>
      <c r="J24" s="178">
        <f t="shared" si="1"/>
        <v>-2.0638888276946155E-2</v>
      </c>
      <c r="K24" s="175">
        <f>SUM('2021'!G24:K24)</f>
        <v>3821610.4900000007</v>
      </c>
      <c r="L24" s="176">
        <f t="shared" si="7"/>
        <v>496981.84999999916</v>
      </c>
      <c r="M24" s="178">
        <f t="shared" si="2"/>
        <v>0.13004513445324961</v>
      </c>
      <c r="N24" s="175">
        <f>'2022'!K24</f>
        <v>989967.52</v>
      </c>
      <c r="O24" s="175">
        <f>'2022'!K98</f>
        <v>1030366.1861709147</v>
      </c>
      <c r="P24" s="176">
        <f t="shared" si="6"/>
        <v>-40398.666170914657</v>
      </c>
      <c r="Q24" s="178">
        <f t="shared" si="3"/>
        <v>-3.920806671756738E-2</v>
      </c>
      <c r="R24" s="175">
        <f>'2021'!K24</f>
        <v>950302.02</v>
      </c>
      <c r="S24" s="176">
        <f t="shared" si="4"/>
        <v>39665.5</v>
      </c>
      <c r="T24" s="178">
        <f t="shared" si="5"/>
        <v>4.1739888125250868E-2</v>
      </c>
    </row>
    <row r="25" spans="1:20">
      <c r="A25" s="150">
        <v>714</v>
      </c>
      <c r="B25" s="539" t="str">
        <f>+VLOOKUP($A25,Master!$D$29:$G$225,4,FALSE)</f>
        <v>Naknade</v>
      </c>
      <c r="C25" s="540"/>
      <c r="D25" s="540"/>
      <c r="E25" s="540"/>
      <c r="F25" s="540"/>
      <c r="G25" s="175">
        <f>'2022'!S25</f>
        <v>23092028.649999999</v>
      </c>
      <c r="H25" s="175">
        <f>SUM('2022'!G99:K99)</f>
        <v>23165912.389821965</v>
      </c>
      <c r="I25" s="176">
        <f t="shared" si="0"/>
        <v>-73883.739821966738</v>
      </c>
      <c r="J25" s="178">
        <f t="shared" si="1"/>
        <v>-3.1893300198453378E-3</v>
      </c>
      <c r="K25" s="175">
        <f>SUM('2021'!G25:K25)</f>
        <v>13777655.859999999</v>
      </c>
      <c r="L25" s="176">
        <f t="shared" si="7"/>
        <v>9314372.7899999991</v>
      </c>
      <c r="M25" s="178">
        <f t="shared" si="2"/>
        <v>0.67604916864282893</v>
      </c>
      <c r="N25" s="175">
        <f>'2022'!K25</f>
        <v>2678608.52</v>
      </c>
      <c r="O25" s="175">
        <f>'2022'!K99</f>
        <v>3074367.946991629</v>
      </c>
      <c r="P25" s="176">
        <f t="shared" si="6"/>
        <v>-395759.42699162895</v>
      </c>
      <c r="Q25" s="178">
        <f t="shared" si="3"/>
        <v>-0.12872871231268612</v>
      </c>
      <c r="R25" s="175">
        <f>'2021'!K25</f>
        <v>2612132.1100000003</v>
      </c>
      <c r="S25" s="176">
        <f t="shared" si="4"/>
        <v>66476.409999999683</v>
      </c>
      <c r="T25" s="178">
        <f t="shared" si="5"/>
        <v>2.5449099509748718E-2</v>
      </c>
    </row>
    <row r="26" spans="1:20">
      <c r="A26" s="150">
        <v>715</v>
      </c>
      <c r="B26" s="539" t="str">
        <f>+VLOOKUP($A26,Master!$D$29:$G$225,4,FALSE)</f>
        <v>Ostali prihodi</v>
      </c>
      <c r="C26" s="540"/>
      <c r="D26" s="540"/>
      <c r="E26" s="540"/>
      <c r="F26" s="540"/>
      <c r="G26" s="175">
        <f>'2022'!S26</f>
        <v>11476320.389999999</v>
      </c>
      <c r="H26" s="175">
        <f>SUM('2022'!G100:K100)</f>
        <v>11580287.688422766</v>
      </c>
      <c r="I26" s="176">
        <f t="shared" si="0"/>
        <v>-103967.29842276685</v>
      </c>
      <c r="J26" s="178">
        <f t="shared" si="1"/>
        <v>-8.9779547123606251E-3</v>
      </c>
      <c r="K26" s="175">
        <f>SUM('2021'!G26:K26)</f>
        <v>10124404.710000001</v>
      </c>
      <c r="L26" s="176">
        <f t="shared" si="7"/>
        <v>1351915.6799999978</v>
      </c>
      <c r="M26" s="178">
        <f t="shared" si="2"/>
        <v>0.1335303870917659</v>
      </c>
      <c r="N26" s="175">
        <f>'2022'!K26</f>
        <v>3422423.9499999997</v>
      </c>
      <c r="O26" s="175">
        <f>'2022'!K100</f>
        <v>3659838.2733385107</v>
      </c>
      <c r="P26" s="176">
        <f t="shared" si="6"/>
        <v>-237414.32333851093</v>
      </c>
      <c r="Q26" s="178">
        <f t="shared" si="3"/>
        <v>-6.4870167916447619E-2</v>
      </c>
      <c r="R26" s="175">
        <f>'2021'!K26</f>
        <v>3754382.9</v>
      </c>
      <c r="S26" s="176">
        <f t="shared" si="4"/>
        <v>-331958.95000000019</v>
      </c>
      <c r="T26" s="178">
        <f t="shared" si="5"/>
        <v>-8.8419044844893158E-2</v>
      </c>
    </row>
    <row r="27" spans="1:20">
      <c r="A27" s="150">
        <v>73</v>
      </c>
      <c r="B27" s="539" t="str">
        <f>+VLOOKUP($A27,Master!$D$29:$G$225,4,FALSE)</f>
        <v>Primici od otplate kredita i sredstva prenesena iz prethodne godine</v>
      </c>
      <c r="C27" s="540"/>
      <c r="D27" s="540"/>
      <c r="E27" s="540"/>
      <c r="F27" s="540"/>
      <c r="G27" s="175">
        <f>'2022'!S27</f>
        <v>3016688.11</v>
      </c>
      <c r="H27" s="175">
        <f>SUM('2022'!G101:K101)</f>
        <v>2237937.4200185994</v>
      </c>
      <c r="I27" s="176">
        <f t="shared" si="0"/>
        <v>778750.6899814005</v>
      </c>
      <c r="J27" s="178">
        <f t="shared" si="1"/>
        <v>0.34797697335742672</v>
      </c>
      <c r="K27" s="175">
        <f>SUM('2021'!G27:K27)</f>
        <v>3374713.05</v>
      </c>
      <c r="L27" s="176">
        <f t="shared" si="7"/>
        <v>-358024.93999999994</v>
      </c>
      <c r="M27" s="178">
        <f t="shared" si="2"/>
        <v>-0.10609048375238894</v>
      </c>
      <c r="N27" s="175">
        <f>'2022'!K27</f>
        <v>894295.88</v>
      </c>
      <c r="O27" s="175">
        <f>'2022'!K101</f>
        <v>971629.20596685004</v>
      </c>
      <c r="P27" s="176">
        <f t="shared" si="6"/>
        <v>-77333.32596685004</v>
      </c>
      <c r="Q27" s="178">
        <f t="shared" si="3"/>
        <v>-7.9591397100807648E-2</v>
      </c>
      <c r="R27" s="175">
        <f>'2021'!K27</f>
        <v>917316.42</v>
      </c>
      <c r="S27" s="176">
        <f t="shared" si="4"/>
        <v>-23020.540000000037</v>
      </c>
      <c r="T27" s="178">
        <f t="shared" si="5"/>
        <v>-2.5095528105776199E-2</v>
      </c>
    </row>
    <row r="28" spans="1:20" ht="15.75" thickBot="1">
      <c r="A28" s="150">
        <v>74</v>
      </c>
      <c r="B28" s="541" t="str">
        <f>+VLOOKUP($A28,Master!$D$29:$G$225,4,FALSE)</f>
        <v>Donacije i transferi</v>
      </c>
      <c r="C28" s="542"/>
      <c r="D28" s="542"/>
      <c r="E28" s="542"/>
      <c r="F28" s="542"/>
      <c r="G28" s="175">
        <f>'2022'!S28</f>
        <v>9803466.6599999983</v>
      </c>
      <c r="H28" s="175">
        <f>SUM('2022'!G102:K102)</f>
        <v>9160977.8855043519</v>
      </c>
      <c r="I28" s="176">
        <f t="shared" si="0"/>
        <v>642488.77449564636</v>
      </c>
      <c r="J28" s="178">
        <f t="shared" si="1"/>
        <v>7.013320876063589E-2</v>
      </c>
      <c r="K28" s="175">
        <f>SUM('2021'!G28:K28)</f>
        <v>5651603.7000000002</v>
      </c>
      <c r="L28" s="176">
        <f t="shared" si="7"/>
        <v>4151862.9599999981</v>
      </c>
      <c r="M28" s="178">
        <f t="shared" si="2"/>
        <v>0.73463448259827535</v>
      </c>
      <c r="N28" s="175">
        <f>'2022'!K28</f>
        <v>651019.70999999985</v>
      </c>
      <c r="O28" s="175">
        <f>'2022'!K102</f>
        <v>2712940.849481931</v>
      </c>
      <c r="P28" s="176">
        <f t="shared" si="6"/>
        <v>-2061921.139481931</v>
      </c>
      <c r="Q28" s="178">
        <f t="shared" si="3"/>
        <v>-0.76003173452000627</v>
      </c>
      <c r="R28" s="175">
        <f>'2021'!K28</f>
        <v>1021922.13</v>
      </c>
      <c r="S28" s="176">
        <f t="shared" si="4"/>
        <v>-370902.42000000016</v>
      </c>
      <c r="T28" s="178">
        <f t="shared" si="5"/>
        <v>-0.3629458733807831</v>
      </c>
    </row>
    <row r="29" spans="1:20" ht="15.7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>'2022'!S29</f>
        <v>789905035.07999992</v>
      </c>
      <c r="H29" s="151">
        <f>SUM('2022'!G103:K103)</f>
        <v>861436832.87673807</v>
      </c>
      <c r="I29" s="152">
        <f t="shared" si="0"/>
        <v>-71531797.796738148</v>
      </c>
      <c r="J29" s="154">
        <f t="shared" si="1"/>
        <v>-8.3037774874171855E-2</v>
      </c>
      <c r="K29" s="151">
        <f>SUM('2021'!G29:K29)</f>
        <v>792024843.77999997</v>
      </c>
      <c r="L29" s="152">
        <f t="shared" si="7"/>
        <v>-2119808.7000000477</v>
      </c>
      <c r="M29" s="154">
        <f t="shared" si="2"/>
        <v>-2.6764421806304561E-3</v>
      </c>
      <c r="N29" s="151">
        <f>'2022'!K29</f>
        <v>149139298.72999999</v>
      </c>
      <c r="O29" s="151">
        <f>'2022'!K103</f>
        <v>176553533.49454764</v>
      </c>
      <c r="P29" s="152">
        <f t="shared" si="6"/>
        <v>-27414234.764547646</v>
      </c>
      <c r="Q29" s="154">
        <f t="shared" si="3"/>
        <v>-0.15527434779658067</v>
      </c>
      <c r="R29" s="151">
        <f>'2021'!K29</f>
        <v>156128771.06999999</v>
      </c>
      <c r="S29" s="152">
        <f t="shared" si="4"/>
        <v>-6989472.3400000036</v>
      </c>
      <c r="T29" s="154">
        <f t="shared" si="5"/>
        <v>-4.4767356407783954E-2</v>
      </c>
    </row>
    <row r="30" spans="1:20">
      <c r="A30" s="150">
        <v>41</v>
      </c>
      <c r="B30" s="545" t="str">
        <f>+VLOOKUP($A30,Master!$D$29:$G$225,4,FALSE)</f>
        <v>Tekući izdaci</v>
      </c>
      <c r="C30" s="546"/>
      <c r="D30" s="546"/>
      <c r="E30" s="546"/>
      <c r="F30" s="546"/>
      <c r="G30" s="313">
        <f>'2022'!S30</f>
        <v>330179395.44999993</v>
      </c>
      <c r="H30" s="313">
        <f>SUM('2022'!G104:K104)</f>
        <v>342820296.78733337</v>
      </c>
      <c r="I30" s="188">
        <f t="shared" si="0"/>
        <v>-12640901.337333441</v>
      </c>
      <c r="J30" s="190">
        <f t="shared" si="1"/>
        <v>-3.6873258251611474E-2</v>
      </c>
      <c r="K30" s="313">
        <f>SUM('2021'!G30:K30)</f>
        <v>347689878.75</v>
      </c>
      <c r="L30" s="188">
        <f t="shared" si="7"/>
        <v>-17510483.300000072</v>
      </c>
      <c r="M30" s="190">
        <f t="shared" si="2"/>
        <v>-5.0362361317370041E-2</v>
      </c>
      <c r="N30" s="313">
        <f>'2022'!K30</f>
        <v>61577011.369999997</v>
      </c>
      <c r="O30" s="313">
        <f>'2022'!K104</f>
        <v>68218729.554666668</v>
      </c>
      <c r="P30" s="188">
        <f t="shared" si="6"/>
        <v>-6641718.1846666709</v>
      </c>
      <c r="Q30" s="190">
        <f t="shared" si="3"/>
        <v>-9.7359159691538522E-2</v>
      </c>
      <c r="R30" s="313">
        <f>'2021'!K30</f>
        <v>68092885.25</v>
      </c>
      <c r="S30" s="188">
        <f t="shared" si="4"/>
        <v>-6515873.8800000027</v>
      </c>
      <c r="T30" s="190">
        <f t="shared" si="5"/>
        <v>-9.5690964717932925E-2</v>
      </c>
    </row>
    <row r="31" spans="1:20">
      <c r="A31" s="150">
        <v>411</v>
      </c>
      <c r="B31" s="537" t="str">
        <f>+VLOOKUP($A31,Master!$D$29:$G$225,4,FALSE)</f>
        <v>Bruto zarade i doprinosi na teret poslodavca</v>
      </c>
      <c r="C31" s="538"/>
      <c r="D31" s="538"/>
      <c r="E31" s="538"/>
      <c r="F31" s="538"/>
      <c r="G31" s="163">
        <f>'2022'!S31</f>
        <v>220160300.35999995</v>
      </c>
      <c r="H31" s="163">
        <f>SUM('2022'!G105:K105)</f>
        <v>224083020.91333333</v>
      </c>
      <c r="I31" s="164">
        <f t="shared" si="0"/>
        <v>-3922720.5533333719</v>
      </c>
      <c r="J31" s="166">
        <f t="shared" si="1"/>
        <v>-1.7505657221796089E-2</v>
      </c>
      <c r="K31" s="163">
        <f>SUM('2021'!G31:K31)</f>
        <v>227008817.52000001</v>
      </c>
      <c r="L31" s="164">
        <f t="shared" si="7"/>
        <v>-6848517.160000056</v>
      </c>
      <c r="M31" s="166">
        <f t="shared" si="2"/>
        <v>-3.0168507262484101E-2</v>
      </c>
      <c r="N31" s="163">
        <f>'2022'!K31</f>
        <v>44618163.619999997</v>
      </c>
      <c r="O31" s="163">
        <f>'2022'!K105</f>
        <v>45489920.406666666</v>
      </c>
      <c r="P31" s="164">
        <f>+N31-O31</f>
        <v>-871756.78666666895</v>
      </c>
      <c r="Q31" s="166">
        <f>IF(+IF(ISERROR(N31/O31),"…",N31/O31-1)&gt;200%,"...",IF(ISERROR(N31/O31),"…",N31/O31-1))</f>
        <v>-1.916373514997205E-2</v>
      </c>
      <c r="R31" s="163">
        <f>'2021'!K31</f>
        <v>46327073.869999997</v>
      </c>
      <c r="S31" s="164">
        <f t="shared" si="4"/>
        <v>-1708910.25</v>
      </c>
      <c r="T31" s="166">
        <f t="shared" si="5"/>
        <v>-3.6887938461113046E-2</v>
      </c>
    </row>
    <row r="32" spans="1:20">
      <c r="A32" s="150">
        <v>412</v>
      </c>
      <c r="B32" s="537" t="str">
        <f>+VLOOKUP($A32,Master!$D$29:$G$225,4,FALSE)</f>
        <v>Ostala lična primanja</v>
      </c>
      <c r="C32" s="538"/>
      <c r="D32" s="538"/>
      <c r="E32" s="538"/>
      <c r="F32" s="538"/>
      <c r="G32" s="163">
        <f>'2022'!S32</f>
        <v>4822317.99</v>
      </c>
      <c r="H32" s="163">
        <f>SUM('2022'!G106:K106)</f>
        <v>5681953.3399999999</v>
      </c>
      <c r="I32" s="164">
        <f t="shared" si="0"/>
        <v>-859635.34999999963</v>
      </c>
      <c r="J32" s="166">
        <f t="shared" si="1"/>
        <v>-0.15129222268481346</v>
      </c>
      <c r="K32" s="163">
        <f>SUM('2021'!G32:K32)</f>
        <v>3803969.54</v>
      </c>
      <c r="L32" s="164">
        <f t="shared" si="7"/>
        <v>1018348.4500000002</v>
      </c>
      <c r="M32" s="166">
        <f t="shared" si="2"/>
        <v>0.26770678347755639</v>
      </c>
      <c r="N32" s="163">
        <f>'2022'!K32</f>
        <v>1078145.3399999999</v>
      </c>
      <c r="O32" s="163">
        <f>'2022'!K106</f>
        <v>1113157.98</v>
      </c>
      <c r="P32" s="164">
        <f t="shared" si="6"/>
        <v>-35012.64000000013</v>
      </c>
      <c r="Q32" s="166">
        <f t="shared" si="3"/>
        <v>-3.1453433051793933E-2</v>
      </c>
      <c r="R32" s="163">
        <f>'2021'!K32</f>
        <v>847625.01</v>
      </c>
      <c r="S32" s="164">
        <f t="shared" si="4"/>
        <v>230520.32999999984</v>
      </c>
      <c r="T32" s="166">
        <f t="shared" si="5"/>
        <v>0.27196027403674639</v>
      </c>
    </row>
    <row r="33" spans="1:20">
      <c r="A33" s="150">
        <v>413</v>
      </c>
      <c r="B33" s="537" t="str">
        <f>+VLOOKUP($A33,Master!$D$29:$G$225,4,FALSE)</f>
        <v>Rashodi za materijal</v>
      </c>
      <c r="C33" s="538"/>
      <c r="D33" s="538"/>
      <c r="E33" s="538"/>
      <c r="F33" s="538"/>
      <c r="G33" s="163">
        <f>'2022'!S33</f>
        <v>9309733.0099999998</v>
      </c>
      <c r="H33" s="163">
        <f>SUM('2022'!G107:K107)</f>
        <v>10786686.369999999</v>
      </c>
      <c r="I33" s="164">
        <f t="shared" si="0"/>
        <v>-1476953.3599999994</v>
      </c>
      <c r="J33" s="166">
        <f t="shared" si="1"/>
        <v>-0.13692373258461576</v>
      </c>
      <c r="K33" s="163">
        <f>SUM('2021'!G33:K33)</f>
        <v>10507699.120000001</v>
      </c>
      <c r="L33" s="164">
        <f t="shared" si="7"/>
        <v>-1197966.1100000013</v>
      </c>
      <c r="M33" s="166">
        <f t="shared" si="2"/>
        <v>-0.11400841386101668</v>
      </c>
      <c r="N33" s="163">
        <f>'2022'!K33</f>
        <v>1012773.5900000001</v>
      </c>
      <c r="O33" s="163">
        <f>'2022'!K107</f>
        <v>1959377.06</v>
      </c>
      <c r="P33" s="164">
        <f t="shared" si="6"/>
        <v>-946603.47</v>
      </c>
      <c r="Q33" s="166">
        <f t="shared" si="3"/>
        <v>-0.48311450068727457</v>
      </c>
      <c r="R33" s="163">
        <f>'2021'!K33</f>
        <v>3105673.67</v>
      </c>
      <c r="S33" s="164">
        <f t="shared" si="4"/>
        <v>-2092900.0799999998</v>
      </c>
      <c r="T33" s="166">
        <f t="shared" si="5"/>
        <v>-0.67389568331562666</v>
      </c>
    </row>
    <row r="34" spans="1:20">
      <c r="A34" s="150">
        <v>414</v>
      </c>
      <c r="B34" s="537" t="str">
        <f>+VLOOKUP($A34,Master!$D$29:$G$225,4,FALSE)</f>
        <v>Rashodi za usluge</v>
      </c>
      <c r="C34" s="538"/>
      <c r="D34" s="538"/>
      <c r="E34" s="538"/>
      <c r="F34" s="538"/>
      <c r="G34" s="163">
        <f>'2022'!S34</f>
        <v>17253204.760000002</v>
      </c>
      <c r="H34" s="163">
        <f>SUM('2022'!G108:K108)</f>
        <v>17873929.890000004</v>
      </c>
      <c r="I34" s="164">
        <f t="shared" si="0"/>
        <v>-620725.13000000268</v>
      </c>
      <c r="J34" s="166">
        <f t="shared" si="1"/>
        <v>-3.4727960432880622E-2</v>
      </c>
      <c r="K34" s="163">
        <f>SUM('2021'!G34:K34)</f>
        <v>18188417.800000001</v>
      </c>
      <c r="L34" s="164">
        <f t="shared" si="7"/>
        <v>-935213.03999999911</v>
      </c>
      <c r="M34" s="166">
        <f t="shared" si="2"/>
        <v>-5.1418053526348984E-2</v>
      </c>
      <c r="N34" s="163">
        <f>'2022'!K34</f>
        <v>2627613.7600000007</v>
      </c>
      <c r="O34" s="163">
        <f>'2022'!K108</f>
        <v>3966204.5600000015</v>
      </c>
      <c r="P34" s="164">
        <f t="shared" si="6"/>
        <v>-1338590.8000000007</v>
      </c>
      <c r="Q34" s="166">
        <f t="shared" si="3"/>
        <v>-0.33749918335024054</v>
      </c>
      <c r="R34" s="163">
        <f>'2021'!K34</f>
        <v>5010122.6100000003</v>
      </c>
      <c r="S34" s="164">
        <f t="shared" si="4"/>
        <v>-2382508.8499999996</v>
      </c>
      <c r="T34" s="166">
        <f t="shared" si="5"/>
        <v>-0.47553903077034665</v>
      </c>
    </row>
    <row r="35" spans="1:20">
      <c r="A35" s="150">
        <v>415</v>
      </c>
      <c r="B35" s="537" t="str">
        <f>+VLOOKUP($A35,Master!$D$29:$G$225,4,FALSE)</f>
        <v>Rashodi za tekuće održavanje</v>
      </c>
      <c r="C35" s="538"/>
      <c r="D35" s="538"/>
      <c r="E35" s="538"/>
      <c r="F35" s="538"/>
      <c r="G35" s="163">
        <f>'2022'!S35</f>
        <v>6891360.54</v>
      </c>
      <c r="H35" s="163">
        <f>SUM('2022'!G109:K109)</f>
        <v>8096167.5900000017</v>
      </c>
      <c r="I35" s="164">
        <f t="shared" si="0"/>
        <v>-1204807.0500000017</v>
      </c>
      <c r="J35" s="166">
        <f t="shared" si="1"/>
        <v>-0.14881201958913515</v>
      </c>
      <c r="K35" s="163">
        <f>SUM('2021'!G35:K35)</f>
        <v>6943268.7400000002</v>
      </c>
      <c r="L35" s="164">
        <f t="shared" si="7"/>
        <v>-51908.200000000186</v>
      </c>
      <c r="M35" s="166">
        <f t="shared" si="2"/>
        <v>-7.4760465054388714E-3</v>
      </c>
      <c r="N35" s="163">
        <f>'2022'!K35</f>
        <v>1522624.21</v>
      </c>
      <c r="O35" s="163">
        <f>'2022'!K109</f>
        <v>1756101.9100000004</v>
      </c>
      <c r="P35" s="164">
        <f t="shared" si="6"/>
        <v>-233477.70000000042</v>
      </c>
      <c r="Q35" s="166">
        <f t="shared" si="3"/>
        <v>-0.13295224990672683</v>
      </c>
      <c r="R35" s="163">
        <f>'2021'!K35</f>
        <v>1713753.59</v>
      </c>
      <c r="S35" s="164">
        <f t="shared" si="4"/>
        <v>-191129.38000000012</v>
      </c>
      <c r="T35" s="166">
        <f t="shared" si="5"/>
        <v>-0.11152675688924452</v>
      </c>
    </row>
    <row r="36" spans="1:20">
      <c r="A36" s="150">
        <v>416</v>
      </c>
      <c r="B36" s="537" t="str">
        <f>+VLOOKUP($A36,Master!$D$29:$G$225,4,FALSE)</f>
        <v>Kamate</v>
      </c>
      <c r="C36" s="538"/>
      <c r="D36" s="538"/>
      <c r="E36" s="538"/>
      <c r="F36" s="538"/>
      <c r="G36" s="163">
        <f>'2022'!S36</f>
        <v>37858283.850000001</v>
      </c>
      <c r="H36" s="163">
        <f>SUM('2022'!G110:K110)</f>
        <v>35314309.580000006</v>
      </c>
      <c r="I36" s="164">
        <f t="shared" si="0"/>
        <v>2543974.2699999958</v>
      </c>
      <c r="J36" s="166">
        <f t="shared" si="1"/>
        <v>7.2038057667160427E-2</v>
      </c>
      <c r="K36" s="163">
        <f>SUM('2021'!G36:K36)</f>
        <v>53798470.820000008</v>
      </c>
      <c r="L36" s="164">
        <f t="shared" si="7"/>
        <v>-15940186.970000006</v>
      </c>
      <c r="M36" s="166">
        <f t="shared" si="2"/>
        <v>-0.29629442486075486</v>
      </c>
      <c r="N36" s="163">
        <f>'2022'!K36</f>
        <v>4588473.78</v>
      </c>
      <c r="O36" s="163">
        <f>'2022'!K110</f>
        <v>6067854.2499999991</v>
      </c>
      <c r="P36" s="164">
        <f t="shared" si="6"/>
        <v>-1479380.4699999988</v>
      </c>
      <c r="Q36" s="166">
        <f t="shared" si="3"/>
        <v>-0.24380619722367247</v>
      </c>
      <c r="R36" s="163">
        <f>'2021'!K36</f>
        <v>6700300.8399999999</v>
      </c>
      <c r="S36" s="164">
        <f t="shared" si="4"/>
        <v>-2111827.0599999996</v>
      </c>
      <c r="T36" s="166">
        <f t="shared" si="5"/>
        <v>-0.31518391642844501</v>
      </c>
    </row>
    <row r="37" spans="1:20">
      <c r="A37" s="150">
        <v>417</v>
      </c>
      <c r="B37" s="537" t="str">
        <f>+VLOOKUP($A37,Master!$D$29:$G$225,4,FALSE)</f>
        <v>Renta</v>
      </c>
      <c r="C37" s="538"/>
      <c r="D37" s="538"/>
      <c r="E37" s="538"/>
      <c r="F37" s="538"/>
      <c r="G37" s="163">
        <f>'2022'!S37</f>
        <v>3533343.0500000007</v>
      </c>
      <c r="H37" s="163">
        <f>SUM('2022'!G111:K111)</f>
        <v>4965319.9999999991</v>
      </c>
      <c r="I37" s="164">
        <f t="shared" si="0"/>
        <v>-1431976.9499999983</v>
      </c>
      <c r="J37" s="166">
        <f t="shared" si="1"/>
        <v>-0.28839570259318603</v>
      </c>
      <c r="K37" s="163">
        <f>SUM('2021'!G37:K37)</f>
        <v>3228460.96</v>
      </c>
      <c r="L37" s="164">
        <f t="shared" si="7"/>
        <v>304882.09000000078</v>
      </c>
      <c r="M37" s="166">
        <f t="shared" si="2"/>
        <v>9.4435736958702776E-2</v>
      </c>
      <c r="N37" s="163">
        <f>'2022'!K37</f>
        <v>498993.7</v>
      </c>
      <c r="O37" s="163">
        <f>'2022'!K111</f>
        <v>962625.18999999983</v>
      </c>
      <c r="P37" s="164">
        <f t="shared" si="6"/>
        <v>-463631.48999999982</v>
      </c>
      <c r="Q37" s="166">
        <f t="shared" si="3"/>
        <v>-0.48163240980635458</v>
      </c>
      <c r="R37" s="163">
        <f>'2021'!K37</f>
        <v>630121.34</v>
      </c>
      <c r="S37" s="164">
        <f t="shared" si="4"/>
        <v>-131127.63999999996</v>
      </c>
      <c r="T37" s="166">
        <f t="shared" si="5"/>
        <v>-0.20809903057719004</v>
      </c>
    </row>
    <row r="38" spans="1:20">
      <c r="A38" s="150">
        <v>418</v>
      </c>
      <c r="B38" s="537" t="str">
        <f>+VLOOKUP($A38,Master!$D$29:$G$225,4,FALSE)</f>
        <v>Subvencije</v>
      </c>
      <c r="C38" s="538"/>
      <c r="D38" s="538"/>
      <c r="E38" s="538"/>
      <c r="F38" s="538"/>
      <c r="G38" s="163">
        <f>'2022'!S38</f>
        <v>17548186.420000002</v>
      </c>
      <c r="H38" s="163">
        <f>SUM('2022'!G112:K112)</f>
        <v>18273194.149999999</v>
      </c>
      <c r="I38" s="164">
        <f t="shared" si="0"/>
        <v>-725007.72999999672</v>
      </c>
      <c r="J38" s="166">
        <f t="shared" si="1"/>
        <v>-3.9676026208039672E-2</v>
      </c>
      <c r="K38" s="163">
        <f>SUM('2021'!G38:K38)</f>
        <v>12387268.859999999</v>
      </c>
      <c r="L38" s="164">
        <f t="shared" si="7"/>
        <v>5160917.5600000024</v>
      </c>
      <c r="M38" s="166">
        <f t="shared" si="2"/>
        <v>0.41663078587607272</v>
      </c>
      <c r="N38" s="163">
        <f>'2022'!K38</f>
        <v>2647649.44</v>
      </c>
      <c r="O38" s="163">
        <f>'2022'!K112</f>
        <v>3444638.83</v>
      </c>
      <c r="P38" s="164">
        <f t="shared" si="6"/>
        <v>-796989.39000000013</v>
      </c>
      <c r="Q38" s="166">
        <f t="shared" si="3"/>
        <v>-0.23137095914348738</v>
      </c>
      <c r="R38" s="163">
        <f>'2021'!K38</f>
        <v>1176181.68</v>
      </c>
      <c r="S38" s="164">
        <f t="shared" si="4"/>
        <v>1471467.76</v>
      </c>
      <c r="T38" s="166">
        <f t="shared" si="5"/>
        <v>1.2510548200342657</v>
      </c>
    </row>
    <row r="39" spans="1:20">
      <c r="A39" s="150">
        <v>419</v>
      </c>
      <c r="B39" s="537" t="str">
        <f>+VLOOKUP($A39,Master!$D$29:$G$225,4,FALSE)</f>
        <v>Ostali izdaci</v>
      </c>
      <c r="C39" s="538"/>
      <c r="D39" s="538"/>
      <c r="E39" s="538"/>
      <c r="F39" s="538"/>
      <c r="G39" s="163">
        <f>'2022'!S39</f>
        <v>12802665.469999999</v>
      </c>
      <c r="H39" s="163">
        <f>SUM('2022'!G113:K113)</f>
        <v>17745714.953999996</v>
      </c>
      <c r="I39" s="164">
        <f t="shared" si="0"/>
        <v>-4943049.4839999974</v>
      </c>
      <c r="J39" s="166">
        <f t="shared" si="1"/>
        <v>-0.27854890585210279</v>
      </c>
      <c r="K39" s="163">
        <f>SUM('2021'!G39:K39)</f>
        <v>11823505.390000001</v>
      </c>
      <c r="L39" s="164">
        <f t="shared" si="7"/>
        <v>979160.07999999821</v>
      </c>
      <c r="M39" s="166">
        <f t="shared" si="2"/>
        <v>8.2814702383283478E-2</v>
      </c>
      <c r="N39" s="163">
        <f>'2022'!K39</f>
        <v>2982573.9299999988</v>
      </c>
      <c r="O39" s="163">
        <f>'2022'!K113</f>
        <v>3458849.3679999984</v>
      </c>
      <c r="P39" s="164">
        <f t="shared" si="6"/>
        <v>-476275.43799999962</v>
      </c>
      <c r="Q39" s="166">
        <f t="shared" si="3"/>
        <v>-0.13769765240612231</v>
      </c>
      <c r="R39" s="163">
        <f>'2021'!K39</f>
        <v>2582032.64</v>
      </c>
      <c r="S39" s="164">
        <f t="shared" si="4"/>
        <v>400541.28999999864</v>
      </c>
      <c r="T39" s="166">
        <f t="shared" si="5"/>
        <v>0.15512634650505364</v>
      </c>
    </row>
    <row r="40" spans="1:20">
      <c r="A40" s="150">
        <v>42</v>
      </c>
      <c r="B40" s="533" t="str">
        <f>+VLOOKUP($A40,Master!$D$29:$G$225,4,FALSE)</f>
        <v>Transferi za socijalnu zaštitu</v>
      </c>
      <c r="C40" s="534"/>
      <c r="D40" s="534"/>
      <c r="E40" s="534"/>
      <c r="F40" s="534"/>
      <c r="G40" s="193">
        <f>'2022'!S40</f>
        <v>243057265.39999998</v>
      </c>
      <c r="H40" s="193">
        <f>SUM('2022'!G114:K114)</f>
        <v>261466560.4894048</v>
      </c>
      <c r="I40" s="194">
        <f t="shared" si="0"/>
        <v>-18409295.089404821</v>
      </c>
      <c r="J40" s="196">
        <f t="shared" si="1"/>
        <v>-7.0407837449450117E-2</v>
      </c>
      <c r="K40" s="193">
        <f>SUM('2021'!G40:K40)</f>
        <v>232261081.12999997</v>
      </c>
      <c r="L40" s="194">
        <f t="shared" si="7"/>
        <v>10796184.270000011</v>
      </c>
      <c r="M40" s="196">
        <f t="shared" si="2"/>
        <v>4.6482967432486921E-2</v>
      </c>
      <c r="N40" s="193">
        <f>'2022'!K40</f>
        <v>51083547.040000007</v>
      </c>
      <c r="O40" s="193">
        <f>'2022'!K114</f>
        <v>55008848.149880961</v>
      </c>
      <c r="P40" s="194">
        <f t="shared" si="6"/>
        <v>-3925301.109880954</v>
      </c>
      <c r="Q40" s="196">
        <f t="shared" si="3"/>
        <v>-7.1357631397512722E-2</v>
      </c>
      <c r="R40" s="193">
        <f>'2021'!K40</f>
        <v>47582478.649999999</v>
      </c>
      <c r="S40" s="194">
        <f t="shared" si="4"/>
        <v>3501068.390000008</v>
      </c>
      <c r="T40" s="196">
        <f t="shared" si="5"/>
        <v>7.357894101634832E-2</v>
      </c>
    </row>
    <row r="41" spans="1:20">
      <c r="A41" s="150">
        <v>421</v>
      </c>
      <c r="B41" s="537" t="str">
        <f>+VLOOKUP($A41,Master!$D$29:$G$225,4,FALSE)</f>
        <v>Prava iz oblasti socijalne zaštite</v>
      </c>
      <c r="C41" s="538"/>
      <c r="D41" s="538"/>
      <c r="E41" s="538"/>
      <c r="F41" s="538"/>
      <c r="G41" s="163">
        <f>'2022'!S41</f>
        <v>45429269.710000001</v>
      </c>
      <c r="H41" s="163">
        <f>SUM('2022'!G115:K115)</f>
        <v>49120238.161904767</v>
      </c>
      <c r="I41" s="164">
        <f t="shared" si="0"/>
        <v>-3690968.4519047663</v>
      </c>
      <c r="J41" s="166">
        <f t="shared" si="1"/>
        <v>-7.5141501548485978E-2</v>
      </c>
      <c r="K41" s="163">
        <f>SUM('2021'!G41:K41)</f>
        <v>33041116.32</v>
      </c>
      <c r="L41" s="164">
        <f t="shared" si="7"/>
        <v>12388153.390000001</v>
      </c>
      <c r="M41" s="166">
        <f t="shared" si="2"/>
        <v>0.37493144208633677</v>
      </c>
      <c r="N41" s="163">
        <f>'2022'!K41</f>
        <v>11845768.039999999</v>
      </c>
      <c r="O41" s="163">
        <f>'2022'!K115</f>
        <v>12324047.632380953</v>
      </c>
      <c r="P41" s="164">
        <f t="shared" si="6"/>
        <v>-478279.59238095395</v>
      </c>
      <c r="Q41" s="166">
        <f t="shared" si="3"/>
        <v>-3.8808645231481642E-2</v>
      </c>
      <c r="R41" s="163">
        <f>'2021'!K41</f>
        <v>6484537.2599999998</v>
      </c>
      <c r="S41" s="164">
        <f t="shared" si="4"/>
        <v>5361230.7799999993</v>
      </c>
      <c r="T41" s="166">
        <f t="shared" si="5"/>
        <v>0.82677152818148802</v>
      </c>
    </row>
    <row r="42" spans="1:20">
      <c r="A42" s="150">
        <v>422</v>
      </c>
      <c r="B42" s="537" t="str">
        <f>+VLOOKUP($A42,Master!$D$29:$G$225,4,FALSE)</f>
        <v>Sredstva za tehnološke viškove</v>
      </c>
      <c r="C42" s="538"/>
      <c r="D42" s="538"/>
      <c r="E42" s="538"/>
      <c r="F42" s="538"/>
      <c r="G42" s="163">
        <f>'2022'!S42</f>
        <v>9668386.6899999995</v>
      </c>
      <c r="H42" s="163">
        <f>SUM('2022'!G116:K116)</f>
        <v>12060653.07</v>
      </c>
      <c r="I42" s="164">
        <f t="shared" si="0"/>
        <v>-2392266.3800000008</v>
      </c>
      <c r="J42" s="166">
        <f t="shared" si="1"/>
        <v>-0.19835297194233947</v>
      </c>
      <c r="K42" s="163">
        <f>SUM('2021'!G42:K42)</f>
        <v>7756649.2899999991</v>
      </c>
      <c r="L42" s="164">
        <f t="shared" si="7"/>
        <v>1911737.4000000004</v>
      </c>
      <c r="M42" s="166">
        <f t="shared" si="2"/>
        <v>0.24646433382835076</v>
      </c>
      <c r="N42" s="163">
        <f>'2022'!K42</f>
        <v>2318949.15</v>
      </c>
      <c r="O42" s="163">
        <f>'2022'!K116</f>
        <v>2291666.67</v>
      </c>
      <c r="P42" s="164">
        <f t="shared" si="6"/>
        <v>27282.479999999981</v>
      </c>
      <c r="Q42" s="166">
        <f t="shared" si="3"/>
        <v>1.1905082164501701E-2</v>
      </c>
      <c r="R42" s="163">
        <f>'2021'!K42</f>
        <v>2473730.75</v>
      </c>
      <c r="S42" s="164">
        <f t="shared" si="4"/>
        <v>-154781.60000000009</v>
      </c>
      <c r="T42" s="166">
        <f t="shared" si="5"/>
        <v>-6.2570107923022755E-2</v>
      </c>
    </row>
    <row r="43" spans="1:20">
      <c r="A43" s="150">
        <v>423</v>
      </c>
      <c r="B43" s="537" t="str">
        <f>+VLOOKUP($A43,Master!$D$29:$G$225,4,FALSE)</f>
        <v>Prava iz oblasti penzijskog i invalidskog osiguranja</v>
      </c>
      <c r="C43" s="538"/>
      <c r="D43" s="538"/>
      <c r="E43" s="538"/>
      <c r="F43" s="538"/>
      <c r="G43" s="163">
        <f>'2022'!S43</f>
        <v>178923408.81999993</v>
      </c>
      <c r="H43" s="163">
        <f>SUM('2022'!G117:K117)</f>
        <v>190145669.23750001</v>
      </c>
      <c r="I43" s="164">
        <f t="shared" si="0"/>
        <v>-11222260.417500079</v>
      </c>
      <c r="J43" s="166">
        <f t="shared" si="1"/>
        <v>-5.9019279600225905E-2</v>
      </c>
      <c r="K43" s="163">
        <f>SUM('2021'!G43:K43)</f>
        <v>180606532.31</v>
      </c>
      <c r="L43" s="164">
        <f t="shared" si="7"/>
        <v>-1683123.4900000691</v>
      </c>
      <c r="M43" s="166">
        <f t="shared" si="2"/>
        <v>-9.3192835744783098E-3</v>
      </c>
      <c r="N43" s="163">
        <f>'2022'!K43</f>
        <v>35168591.790000007</v>
      </c>
      <c r="O43" s="163">
        <f>'2022'!K117</f>
        <v>38029133.847500004</v>
      </c>
      <c r="P43" s="164">
        <f t="shared" si="6"/>
        <v>-2860542.0574999973</v>
      </c>
      <c r="Q43" s="166">
        <f t="shared" si="3"/>
        <v>-7.5219753070659201E-2</v>
      </c>
      <c r="R43" s="163">
        <f>'2021'!K43</f>
        <v>36021435.969999999</v>
      </c>
      <c r="S43" s="164">
        <f t="shared" si="4"/>
        <v>-852844.17999999225</v>
      </c>
      <c r="T43" s="166">
        <f t="shared" si="5"/>
        <v>-2.3676018377231656E-2</v>
      </c>
    </row>
    <row r="44" spans="1:20">
      <c r="A44" s="150">
        <v>424</v>
      </c>
      <c r="B44" s="537" t="str">
        <f>+VLOOKUP($A44,Master!$D$29:$G$225,4,FALSE)</f>
        <v>Ostala prava iz oblasti zdravstvene zaštite</v>
      </c>
      <c r="C44" s="538"/>
      <c r="D44" s="538"/>
      <c r="E44" s="538"/>
      <c r="F44" s="538"/>
      <c r="G44" s="163">
        <f>'2022'!S44</f>
        <v>4844702.42</v>
      </c>
      <c r="H44" s="163">
        <f>SUM('2022'!G118:K118)</f>
        <v>5538000</v>
      </c>
      <c r="I44" s="164">
        <f t="shared" si="0"/>
        <v>-693297.58000000007</v>
      </c>
      <c r="J44" s="166">
        <f t="shared" si="1"/>
        <v>-0.12518916215240161</v>
      </c>
      <c r="K44" s="163">
        <f>SUM('2021'!G44:K44)</f>
        <v>6827299.2199999997</v>
      </c>
      <c r="L44" s="164">
        <f t="shared" si="7"/>
        <v>-1982596.7999999998</v>
      </c>
      <c r="M44" s="166">
        <f t="shared" si="2"/>
        <v>-0.29039254558993821</v>
      </c>
      <c r="N44" s="163">
        <f>'2022'!K44</f>
        <v>659345.03</v>
      </c>
      <c r="O44" s="163">
        <f>'2022'!K118</f>
        <v>1420000</v>
      </c>
      <c r="P44" s="164">
        <f t="shared" si="6"/>
        <v>-760654.97</v>
      </c>
      <c r="Q44" s="166">
        <f t="shared" si="3"/>
        <v>-0.535672514084507</v>
      </c>
      <c r="R44" s="163">
        <f>'2021'!K44</f>
        <v>1665470.72</v>
      </c>
      <c r="S44" s="164">
        <f t="shared" si="4"/>
        <v>-1006125.69</v>
      </c>
      <c r="T44" s="166">
        <f t="shared" si="5"/>
        <v>-0.60410890321746391</v>
      </c>
    </row>
    <row r="45" spans="1:20">
      <c r="A45" s="150">
        <v>425</v>
      </c>
      <c r="B45" s="537" t="str">
        <f>+VLOOKUP($A45,Master!$D$29:$G$225,4,FALSE)</f>
        <v>Ostala prava iz zdravstvenog osiguranja</v>
      </c>
      <c r="C45" s="538"/>
      <c r="D45" s="538"/>
      <c r="E45" s="538"/>
      <c r="F45" s="538"/>
      <c r="G45" s="163">
        <f>'2022'!S45</f>
        <v>4191497.7600000007</v>
      </c>
      <c r="H45" s="163">
        <f>SUM('2022'!G119:K119)</f>
        <v>4602000.0199999996</v>
      </c>
      <c r="I45" s="164">
        <f t="shared" si="0"/>
        <v>-410502.25999999885</v>
      </c>
      <c r="J45" s="166">
        <f t="shared" si="1"/>
        <v>-8.9200838378092562E-2</v>
      </c>
      <c r="K45" s="163">
        <f>SUM('2021'!G45:K45)</f>
        <v>4029483.99</v>
      </c>
      <c r="L45" s="164">
        <f t="shared" si="7"/>
        <v>162013.77000000048</v>
      </c>
      <c r="M45" s="166">
        <f t="shared" si="2"/>
        <v>4.0207076241541406E-2</v>
      </c>
      <c r="N45" s="163">
        <f>'2022'!K45</f>
        <v>1090893.03</v>
      </c>
      <c r="O45" s="163">
        <f>'2022'!K119</f>
        <v>944000</v>
      </c>
      <c r="P45" s="164">
        <f t="shared" si="6"/>
        <v>146893.03000000003</v>
      </c>
      <c r="Q45" s="166">
        <f t="shared" si="3"/>
        <v>0.1556070233050848</v>
      </c>
      <c r="R45" s="163">
        <f>'2021'!K45</f>
        <v>937303.95</v>
      </c>
      <c r="S45" s="164">
        <f t="shared" si="4"/>
        <v>153589.08000000007</v>
      </c>
      <c r="T45" s="166">
        <f t="shared" si="5"/>
        <v>0.16386261895087517</v>
      </c>
    </row>
    <row r="46" spans="1:20">
      <c r="A46" s="150">
        <v>43</v>
      </c>
      <c r="B46" s="535" t="str">
        <f>+VLOOKUP($A46,Master!$D$29:$G$225,4,FALSE)</f>
        <v xml:space="preserve">Transferi institucijama, pojedincima, nevladinom i javnom sektoru </v>
      </c>
      <c r="C46" s="536"/>
      <c r="D46" s="536"/>
      <c r="E46" s="536"/>
      <c r="F46" s="536"/>
      <c r="G46" s="175">
        <f>'2022'!S46</f>
        <v>106962619.25</v>
      </c>
      <c r="H46" s="175">
        <f>SUM('2022'!G120:K120)</f>
        <v>114921233.68000001</v>
      </c>
      <c r="I46" s="176">
        <f t="shared" si="0"/>
        <v>-7958614.4300000072</v>
      </c>
      <c r="J46" s="178">
        <f t="shared" si="1"/>
        <v>-6.9252775793904986E-2</v>
      </c>
      <c r="K46" s="175">
        <f>SUM('2021'!G46:K46)</f>
        <v>94307534.920000002</v>
      </c>
      <c r="L46" s="176">
        <f t="shared" si="7"/>
        <v>12655084.329999998</v>
      </c>
      <c r="M46" s="178">
        <f t="shared" si="2"/>
        <v>0.13418953576440273</v>
      </c>
      <c r="N46" s="175">
        <f>'2022'!K46</f>
        <v>16386723.549999999</v>
      </c>
      <c r="O46" s="175">
        <f>'2022'!K120</f>
        <v>20912992.140000004</v>
      </c>
      <c r="P46" s="176">
        <f t="shared" si="6"/>
        <v>-4526268.5900000054</v>
      </c>
      <c r="Q46" s="178">
        <f t="shared" si="3"/>
        <v>-0.21643333291091671</v>
      </c>
      <c r="R46" s="175">
        <f>'2021'!K46</f>
        <v>19594755.170000002</v>
      </c>
      <c r="S46" s="176">
        <f t="shared" si="4"/>
        <v>-3208031.6200000029</v>
      </c>
      <c r="T46" s="178">
        <f t="shared" si="5"/>
        <v>-0.16371889274286877</v>
      </c>
    </row>
    <row r="47" spans="1:20">
      <c r="A47" s="150">
        <v>44</v>
      </c>
      <c r="B47" s="535" t="str">
        <f>+VLOOKUP($A47,Master!$D$29:$G$225,4,FALSE)</f>
        <v>Kapitalni izdaci</v>
      </c>
      <c r="C47" s="536"/>
      <c r="D47" s="536"/>
      <c r="E47" s="536"/>
      <c r="F47" s="536"/>
      <c r="G47" s="175">
        <f>'2022'!S47</f>
        <v>79924030.179999992</v>
      </c>
      <c r="H47" s="175">
        <f>SUM('2022'!G121:K121)</f>
        <v>100112830.50000001</v>
      </c>
      <c r="I47" s="176">
        <f t="shared" si="0"/>
        <v>-20188800.320000023</v>
      </c>
      <c r="J47" s="178">
        <f t="shared" si="1"/>
        <v>-0.20166046868488074</v>
      </c>
      <c r="K47" s="175">
        <f>SUM('2021'!G47:K47)</f>
        <v>50556344.120000005</v>
      </c>
      <c r="L47" s="176">
        <f t="shared" si="7"/>
        <v>29367686.059999987</v>
      </c>
      <c r="M47" s="178">
        <f t="shared" si="2"/>
        <v>0.58089022399034951</v>
      </c>
      <c r="N47" s="175">
        <f>'2022'!K47</f>
        <v>18640717.440000001</v>
      </c>
      <c r="O47" s="175">
        <f>'2022'!K121</f>
        <v>27382772.230000004</v>
      </c>
      <c r="P47" s="176">
        <f t="shared" si="6"/>
        <v>-8742054.7900000028</v>
      </c>
      <c r="Q47" s="178">
        <f t="shared" si="3"/>
        <v>-0.31925382560142634</v>
      </c>
      <c r="R47" s="175">
        <f>'2021'!K47</f>
        <v>6491669.8099999996</v>
      </c>
      <c r="S47" s="176">
        <f t="shared" si="4"/>
        <v>12149047.630000003</v>
      </c>
      <c r="T47" s="178">
        <f t="shared" si="5"/>
        <v>1.8714826825118518</v>
      </c>
    </row>
    <row r="48" spans="1:20">
      <c r="A48" s="150">
        <v>451</v>
      </c>
      <c r="B48" s="505" t="str">
        <f>+VLOOKUP($A48,Master!$D$29:$G$225,4,FALSE)</f>
        <v>Pozajmice i krediti</v>
      </c>
      <c r="C48" s="506"/>
      <c r="D48" s="506"/>
      <c r="E48" s="506"/>
      <c r="F48" s="506"/>
      <c r="G48" s="163">
        <f>'2022'!S48</f>
        <v>813054</v>
      </c>
      <c r="H48" s="163">
        <f>SUM('2022'!G122:K122)</f>
        <v>493333.72</v>
      </c>
      <c r="I48" s="164">
        <f>G48-H48</f>
        <v>319720.28000000003</v>
      </c>
      <c r="J48" s="282">
        <f t="shared" si="1"/>
        <v>0.64808114069316014</v>
      </c>
      <c r="K48" s="163">
        <f>SUM('2021'!G48:K48)</f>
        <v>552118</v>
      </c>
      <c r="L48" s="279">
        <f t="shared" si="7"/>
        <v>260936</v>
      </c>
      <c r="M48" s="282">
        <f t="shared" si="2"/>
        <v>0.47260911616719614</v>
      </c>
      <c r="N48" s="163">
        <f>'2022'!K48</f>
        <v>260378</v>
      </c>
      <c r="O48" s="163">
        <f>'2022'!K122</f>
        <v>2000.08</v>
      </c>
      <c r="P48" s="164">
        <f t="shared" si="6"/>
        <v>258377.92</v>
      </c>
      <c r="Q48" s="282" t="str">
        <f t="shared" si="3"/>
        <v>...</v>
      </c>
      <c r="R48" s="163">
        <f>'2021'!K48</f>
        <v>0</v>
      </c>
      <c r="S48" s="279">
        <f>+N48-R48-S58</f>
        <v>260378</v>
      </c>
      <c r="T48" s="282" t="str">
        <f t="shared" si="5"/>
        <v>...</v>
      </c>
    </row>
    <row r="49" spans="1:23">
      <c r="A49" s="150">
        <v>47</v>
      </c>
      <c r="B49" s="505" t="str">
        <f>+VLOOKUP($A49,Master!$D$29:$G$225,4,FALSE)</f>
        <v>Rezerve</v>
      </c>
      <c r="C49" s="506"/>
      <c r="D49" s="506"/>
      <c r="E49" s="506"/>
      <c r="F49" s="506"/>
      <c r="G49" s="163">
        <f>'2022'!S49</f>
        <v>2310174.2599999998</v>
      </c>
      <c r="H49" s="163">
        <f>SUM('2022'!G123:K123)</f>
        <v>16860588.400000002</v>
      </c>
      <c r="I49" s="164">
        <f t="shared" ref="I49:I50" si="8">G49-H49</f>
        <v>-14550414.140000002</v>
      </c>
      <c r="J49" s="283">
        <f t="shared" si="1"/>
        <v>-0.86298376989026082</v>
      </c>
      <c r="K49" s="163">
        <f>SUM('2021'!G49:K49)</f>
        <v>46271892.199999996</v>
      </c>
      <c r="L49" s="280">
        <f t="shared" si="7"/>
        <v>-43961717.939999998</v>
      </c>
      <c r="M49" s="283">
        <f t="shared" si="2"/>
        <v>-0.95007391852455947</v>
      </c>
      <c r="N49" s="163">
        <f>'2022'!K49</f>
        <v>45800</v>
      </c>
      <c r="O49" s="163">
        <f>'2022'!K123</f>
        <v>3372117.68</v>
      </c>
      <c r="P49" s="164">
        <f t="shared" si="6"/>
        <v>-3326317.68</v>
      </c>
      <c r="Q49" s="283">
        <f t="shared" si="3"/>
        <v>-0.98641803034584485</v>
      </c>
      <c r="R49" s="163">
        <f>'2021'!K49</f>
        <v>3333407.5</v>
      </c>
      <c r="S49" s="280">
        <f t="shared" si="4"/>
        <v>-3287607.5</v>
      </c>
      <c r="T49" s="283">
        <f t="shared" si="5"/>
        <v>-0.986260305708198</v>
      </c>
      <c r="W49" s="344"/>
    </row>
    <row r="50" spans="1:23" ht="15.75" thickBot="1">
      <c r="A50" s="150">
        <v>462</v>
      </c>
      <c r="B50" s="523" t="str">
        <f>+VLOOKUP($A50,Master!$D$29:$G$225,4,FALSE)</f>
        <v>Otplata garancija</v>
      </c>
      <c r="C50" s="524"/>
      <c r="D50" s="524"/>
      <c r="E50" s="524"/>
      <c r="F50" s="524"/>
      <c r="G50" s="163">
        <f>'2022'!S50</f>
        <v>500000</v>
      </c>
      <c r="H50" s="163">
        <f>SUM('2022'!G124:K124)</f>
        <v>0</v>
      </c>
      <c r="I50" s="164">
        <f t="shared" si="8"/>
        <v>500000</v>
      </c>
      <c r="J50" s="284" t="str">
        <f t="shared" si="1"/>
        <v>...</v>
      </c>
      <c r="K50" s="163">
        <f>SUM('2021'!G50:K50)</f>
        <v>3831496.4</v>
      </c>
      <c r="L50" s="280">
        <f t="shared" si="7"/>
        <v>-3331496.4</v>
      </c>
      <c r="M50" s="284">
        <f t="shared" si="2"/>
        <v>-0.86950268307703482</v>
      </c>
      <c r="N50" s="163">
        <f>'2022'!K50</f>
        <v>0</v>
      </c>
      <c r="O50" s="163">
        <f>'2022'!K124</f>
        <v>0</v>
      </c>
      <c r="P50" s="164">
        <f t="shared" si="6"/>
        <v>0</v>
      </c>
      <c r="Q50" s="284" t="str">
        <f t="shared" si="3"/>
        <v>...</v>
      </c>
      <c r="R50" s="163">
        <f>'2021'!K50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3" t="str">
        <f>+VLOOKUP($A51,Master!$D$29:$G$225,4,FALSE)</f>
        <v>Otplata obaveza iz prethodnog perioda</v>
      </c>
      <c r="C51" s="524"/>
      <c r="D51" s="524"/>
      <c r="E51" s="524"/>
      <c r="F51" s="524"/>
      <c r="G51" s="314">
        <f>'2022'!S51</f>
        <v>26158496.539999999</v>
      </c>
      <c r="H51" s="314">
        <f>SUM('2022'!G125:K125)</f>
        <v>24761989.300000016</v>
      </c>
      <c r="I51" s="281">
        <f>G51-H51</f>
        <v>1396507.2399999835</v>
      </c>
      <c r="J51" s="285">
        <f t="shared" si="1"/>
        <v>5.6397215226968056E-2</v>
      </c>
      <c r="K51" s="314">
        <f>SUM('2021'!G51:K51)</f>
        <v>16554498.26</v>
      </c>
      <c r="L51" s="287">
        <f t="shared" si="7"/>
        <v>9603998.2799999993</v>
      </c>
      <c r="M51" s="285">
        <f t="shared" si="2"/>
        <v>0.58014432869921362</v>
      </c>
      <c r="N51" s="314">
        <f>'2022'!K51</f>
        <v>1145121.3300000003</v>
      </c>
      <c r="O51" s="314">
        <f>'2022'!K125</f>
        <v>1656073.6600000036</v>
      </c>
      <c r="P51" s="281">
        <f>N51-O51</f>
        <v>-510952.33000000333</v>
      </c>
      <c r="Q51" s="285">
        <f t="shared" si="3"/>
        <v>-0.30853236926671623</v>
      </c>
      <c r="R51" s="314">
        <f>'2021'!K51</f>
        <v>11033574.689999999</v>
      </c>
      <c r="S51" s="287">
        <f>+N51-R51</f>
        <v>-9888453.3599999994</v>
      </c>
      <c r="T51" s="285">
        <f t="shared" si="5"/>
        <v>-0.89621483860186746</v>
      </c>
    </row>
    <row r="52" spans="1:23" ht="15.75" thickBot="1">
      <c r="A52" s="144">
        <v>1005</v>
      </c>
      <c r="B52" s="523" t="str">
        <f>+VLOOKUP($A52,Master!$D$29:$G$227,4,FALSE)</f>
        <v>Neto povećanje obaveza</v>
      </c>
      <c r="C52" s="524"/>
      <c r="D52" s="524"/>
      <c r="E52" s="524"/>
      <c r="F52" s="524"/>
      <c r="G52" s="163">
        <f>'2022'!S52</f>
        <v>0</v>
      </c>
      <c r="H52" s="163">
        <f>SUM('2022'!G126:K126)</f>
        <v>0</v>
      </c>
      <c r="I52" s="281">
        <f>G52-H52</f>
        <v>0</v>
      </c>
      <c r="J52" s="285" t="str">
        <f t="shared" si="1"/>
        <v>...</v>
      </c>
      <c r="K52" s="163">
        <f>SUM('2021'!G52:K52)</f>
        <v>0</v>
      </c>
      <c r="L52" s="287">
        <f t="shared" si="7"/>
        <v>0</v>
      </c>
      <c r="M52" s="285" t="str">
        <f t="shared" si="2"/>
        <v>...</v>
      </c>
      <c r="N52" s="163">
        <f>'2022'!K52</f>
        <v>0</v>
      </c>
      <c r="O52" s="163">
        <f>'2022'!K126</f>
        <v>0</v>
      </c>
      <c r="P52" s="281">
        <f>N52-O52</f>
        <v>0</v>
      </c>
      <c r="Q52" s="285" t="str">
        <f t="shared" si="3"/>
        <v>...</v>
      </c>
      <c r="R52" s="163">
        <f>'2021'!K52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>'2022'!S53</f>
        <v>-36621353.519999847</v>
      </c>
      <c r="H53" s="151">
        <f>SUM('2022'!G127:K127)</f>
        <v>-192817985.6381841</v>
      </c>
      <c r="I53" s="320">
        <f>+G53-H53</f>
        <v>156196632.11818427</v>
      </c>
      <c r="J53" s="286">
        <f t="shared" si="1"/>
        <v>-0.81007293796379309</v>
      </c>
      <c r="K53" s="151">
        <f>SUM('2021'!G53:K53)</f>
        <v>-162907780.22</v>
      </c>
      <c r="L53" s="288">
        <f t="shared" si="7"/>
        <v>126286426.70000015</v>
      </c>
      <c r="M53" s="286">
        <f t="shared" si="2"/>
        <v>-0.77520193651559022</v>
      </c>
      <c r="N53" s="151">
        <f>'2022'!K53</f>
        <v>5590936.5400000215</v>
      </c>
      <c r="O53" s="151">
        <f>'2022'!K127</f>
        <v>-35920044.116679221</v>
      </c>
      <c r="P53" s="320">
        <f>N53-O53</f>
        <v>41510980.656679243</v>
      </c>
      <c r="Q53" s="286">
        <f t="shared" si="3"/>
        <v>-1.1556494897901284</v>
      </c>
      <c r="R53" s="151">
        <f>'2021'!K53</f>
        <v>-19547177.669999987</v>
      </c>
      <c r="S53" s="288">
        <f t="shared" si="4"/>
        <v>25138114.210000008</v>
      </c>
      <c r="T53" s="286">
        <f t="shared" si="5"/>
        <v>-1.2860227002786548</v>
      </c>
    </row>
    <row r="54" spans="1:23" ht="15.7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151">
        <f>'2022'!S54</f>
        <v>1236930.3300001509</v>
      </c>
      <c r="H54" s="151">
        <f>SUM('2022'!G128:K128)</f>
        <v>-157503676.05818409</v>
      </c>
      <c r="I54" s="206">
        <f t="shared" si="0"/>
        <v>158740606.38818425</v>
      </c>
      <c r="J54" s="208">
        <f t="shared" si="1"/>
        <v>-1.0078533426073384</v>
      </c>
      <c r="K54" s="151">
        <f>SUM('2021'!G54:K54)</f>
        <v>-109109309.39999998</v>
      </c>
      <c r="L54" s="206">
        <f t="shared" si="7"/>
        <v>110346239.73000012</v>
      </c>
      <c r="M54" s="208">
        <f t="shared" si="2"/>
        <v>-1.0113366158836685</v>
      </c>
      <c r="N54" s="151">
        <f>'2022'!K54</f>
        <v>10179410.320000023</v>
      </c>
      <c r="O54" s="151">
        <f>'2022'!K128</f>
        <v>-29852189.866679221</v>
      </c>
      <c r="P54" s="206">
        <f t="shared" si="6"/>
        <v>40031600.186679244</v>
      </c>
      <c r="Q54" s="208">
        <f t="shared" si="3"/>
        <v>-1.3409937550799984</v>
      </c>
      <c r="R54" s="151">
        <f>'2021'!K54</f>
        <v>-12846876.829999987</v>
      </c>
      <c r="S54" s="206">
        <f t="shared" si="4"/>
        <v>23026287.15000001</v>
      </c>
      <c r="T54" s="208">
        <f t="shared" si="5"/>
        <v>-1.7923645921652409</v>
      </c>
    </row>
    <row r="55" spans="1:23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491">
        <f>'2022'!S55</f>
        <v>150868154.87</v>
      </c>
      <c r="H55" s="491">
        <f>SUM('2022'!G129:K129)</f>
        <v>124050169.67</v>
      </c>
      <c r="I55" s="492">
        <f t="shared" si="0"/>
        <v>26817985.200000003</v>
      </c>
      <c r="J55" s="493">
        <f t="shared" si="1"/>
        <v>0.21618660636532439</v>
      </c>
      <c r="K55" s="491">
        <f>SUM('2021'!G55:K55)</f>
        <v>335505852.59000003</v>
      </c>
      <c r="L55" s="492">
        <f t="shared" si="7"/>
        <v>-184637697.72000003</v>
      </c>
      <c r="M55" s="493">
        <f t="shared" si="2"/>
        <v>-0.55032630964454077</v>
      </c>
      <c r="N55" s="491">
        <f>'2022'!K55</f>
        <v>39081986.149999999</v>
      </c>
      <c r="O55" s="491">
        <f>'2022'!K129</f>
        <v>33612405.640000001</v>
      </c>
      <c r="P55" s="492">
        <f t="shared" si="6"/>
        <v>5469580.5099999979</v>
      </c>
      <c r="Q55" s="493">
        <f t="shared" si="3"/>
        <v>0.16272505361803069</v>
      </c>
      <c r="R55" s="491">
        <f>'2021'!K55</f>
        <v>16282827.92</v>
      </c>
      <c r="S55" s="492">
        <f t="shared" si="4"/>
        <v>22799158.229999997</v>
      </c>
      <c r="T55" s="493">
        <f t="shared" si="5"/>
        <v>1.40019647336542</v>
      </c>
    </row>
    <row r="56" spans="1:23">
      <c r="A56" s="144">
        <v>4611</v>
      </c>
      <c r="B56" s="505" t="str">
        <f>+VLOOKUP($A56,Master!$D$29:$G$225,4,FALSE)</f>
        <v>Otplata hartija od vrijednosti i kredita rezidentima</v>
      </c>
      <c r="C56" s="506"/>
      <c r="D56" s="506"/>
      <c r="E56" s="506"/>
      <c r="F56" s="506"/>
      <c r="G56" s="163">
        <f>'2022'!S56</f>
        <v>21269109.979999997</v>
      </c>
      <c r="H56" s="163">
        <f>SUM('2022'!G130:K130)</f>
        <v>19485239.439999998</v>
      </c>
      <c r="I56" s="212">
        <f t="shared" si="0"/>
        <v>1783870.5399999991</v>
      </c>
      <c r="J56" s="214">
        <f t="shared" si="1"/>
        <v>9.1549839328020077E-2</v>
      </c>
      <c r="K56" s="163">
        <f>SUM('2021'!G56:K56)</f>
        <v>62615970.520000003</v>
      </c>
      <c r="L56" s="212">
        <f t="shared" si="7"/>
        <v>-41346860.540000007</v>
      </c>
      <c r="M56" s="214">
        <f t="shared" si="2"/>
        <v>-0.66032451779683776</v>
      </c>
      <c r="N56" s="163">
        <f>'2022'!K56</f>
        <v>8572190.1199999992</v>
      </c>
      <c r="O56" s="163">
        <f>'2022'!K130</f>
        <v>9184956.459999999</v>
      </c>
      <c r="P56" s="212">
        <f t="shared" si="6"/>
        <v>-612766.33999999985</v>
      </c>
      <c r="Q56" s="214">
        <f t="shared" si="3"/>
        <v>-6.6714125719437578E-2</v>
      </c>
      <c r="R56" s="163">
        <f>'2021'!K56</f>
        <v>7620463.75</v>
      </c>
      <c r="S56" s="212">
        <f t="shared" si="4"/>
        <v>951726.36999999918</v>
      </c>
      <c r="T56" s="214">
        <f t="shared" si="5"/>
        <v>0.12489087294720069</v>
      </c>
    </row>
    <row r="57" spans="1:23">
      <c r="A57" s="144">
        <v>4612</v>
      </c>
      <c r="B57" s="505" t="str">
        <f>+VLOOKUP($A57,Master!$D$29:$G$225,4,FALSE)</f>
        <v>Otplata hartija od vrijednosti i kredita nerezidentima</v>
      </c>
      <c r="C57" s="506"/>
      <c r="D57" s="506"/>
      <c r="E57" s="506"/>
      <c r="F57" s="506"/>
      <c r="G57" s="163">
        <f>'2022'!S57</f>
        <v>129599044.89</v>
      </c>
      <c r="H57" s="163">
        <f>SUM('2022'!G131:K131)</f>
        <v>104564930.22999999</v>
      </c>
      <c r="I57" s="212">
        <f t="shared" si="0"/>
        <v>25034114.660000011</v>
      </c>
      <c r="J57" s="214">
        <f t="shared" si="1"/>
        <v>0.23941214903443453</v>
      </c>
      <c r="K57" s="163">
        <f>SUM('2021'!G57:K57)</f>
        <v>272889882.06999999</v>
      </c>
      <c r="L57" s="212">
        <f t="shared" si="7"/>
        <v>-143290837.18000001</v>
      </c>
      <c r="M57" s="214">
        <f t="shared" si="2"/>
        <v>-0.5250866616712595</v>
      </c>
      <c r="N57" s="163">
        <f>'2022'!K57</f>
        <v>30509796.030000001</v>
      </c>
      <c r="O57" s="163">
        <f>'2022'!K131</f>
        <v>24427449.18</v>
      </c>
      <c r="P57" s="212">
        <f t="shared" si="6"/>
        <v>6082346.8500000015</v>
      </c>
      <c r="Q57" s="214">
        <f t="shared" si="3"/>
        <v>0.24899639766643866</v>
      </c>
      <c r="R57" s="163">
        <f>'2021'!K57</f>
        <v>8662364.1699999999</v>
      </c>
      <c r="S57" s="212">
        <f t="shared" si="4"/>
        <v>21847431.859999999</v>
      </c>
      <c r="T57" s="214" t="str">
        <f t="shared" si="5"/>
        <v>...</v>
      </c>
    </row>
    <row r="58" spans="1:23" ht="15.75" thickBot="1">
      <c r="A58" s="144">
        <v>4418</v>
      </c>
      <c r="B58" s="533" t="str">
        <f>+VLOOKUP($A58,Master!$D$29:$G$225,4,FALSE)</f>
        <v>Izdaci za kupovinu hartija od vrijednosti</v>
      </c>
      <c r="C58" s="534"/>
      <c r="D58" s="534"/>
      <c r="E58" s="534"/>
      <c r="F58" s="534"/>
      <c r="G58" s="335">
        <f>'2022'!S58</f>
        <v>0</v>
      </c>
      <c r="H58" s="335">
        <f>SUM('2022'!G132:K132)</f>
        <v>237423.34999999998</v>
      </c>
      <c r="I58" s="336">
        <f t="shared" ref="I58:I64" si="9">+G58-H58</f>
        <v>-237423.34999999998</v>
      </c>
      <c r="J58" s="337">
        <f t="shared" si="1"/>
        <v>-1</v>
      </c>
      <c r="K58" s="335">
        <f>SUM('2021'!G58:K58)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'2022'!K58</f>
        <v>0</v>
      </c>
      <c r="O58" s="335">
        <f>'2022'!K132</f>
        <v>48116.67</v>
      </c>
      <c r="P58" s="336">
        <f t="shared" ref="P58:P64" si="11">+N58-O58</f>
        <v>-48116.67</v>
      </c>
      <c r="Q58" s="337">
        <f t="shared" si="3"/>
        <v>-1</v>
      </c>
      <c r="R58" s="335">
        <f>'2021'!K58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25" t="str">
        <f>+VLOOKUP($A59,Master!$D$29:$G$225,4,FALSE)</f>
        <v>Nedostajuća sredstva</v>
      </c>
      <c r="C59" s="526"/>
      <c r="D59" s="526"/>
      <c r="E59" s="526"/>
      <c r="F59" s="526"/>
      <c r="G59" s="319">
        <f>'2022'!S59</f>
        <v>-187489508.38999987</v>
      </c>
      <c r="H59" s="319">
        <f>SUM('2022'!G133:K133)</f>
        <v>-317105578.65818405</v>
      </c>
      <c r="I59" s="321">
        <f t="shared" si="9"/>
        <v>129616070.26818419</v>
      </c>
      <c r="J59" s="322">
        <f t="shared" si="1"/>
        <v>-0.40874736678127177</v>
      </c>
      <c r="K59" s="319">
        <f>SUM('2021'!G59:K59)</f>
        <v>-498413632.81</v>
      </c>
      <c r="L59" s="321">
        <f t="shared" si="10"/>
        <v>310924124.42000014</v>
      </c>
      <c r="M59" s="322">
        <f t="shared" si="2"/>
        <v>-0.62382748775759778</v>
      </c>
      <c r="N59" s="319">
        <f>'2022'!K59</f>
        <v>-33491049.609999977</v>
      </c>
      <c r="O59" s="319">
        <f>'2022'!K133</f>
        <v>-69580566.426679224</v>
      </c>
      <c r="P59" s="321">
        <f t="shared" si="11"/>
        <v>36089516.816679247</v>
      </c>
      <c r="Q59" s="322">
        <f t="shared" si="3"/>
        <v>-0.51867236313329967</v>
      </c>
      <c r="R59" s="319">
        <f>'2021'!K59</f>
        <v>-35830005.589999989</v>
      </c>
      <c r="S59" s="321">
        <f t="shared" si="12"/>
        <v>2338955.9800000116</v>
      </c>
      <c r="T59" s="322">
        <f t="shared" si="5"/>
        <v>-6.5279252444571334E-2</v>
      </c>
    </row>
    <row r="60" spans="1:23" ht="15.7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'2022'!S60</f>
        <v>187489508.38999987</v>
      </c>
      <c r="H60" s="151">
        <f>SUM('2022'!G134:K134)</f>
        <v>317105578.65818405</v>
      </c>
      <c r="I60" s="320">
        <f t="shared" si="9"/>
        <v>-129616070.26818419</v>
      </c>
      <c r="J60" s="323">
        <f t="shared" si="1"/>
        <v>-0.40874736678127177</v>
      </c>
      <c r="K60" s="151">
        <f>SUM('2021'!G60:K60)</f>
        <v>498413632.81</v>
      </c>
      <c r="L60" s="320">
        <f t="shared" si="10"/>
        <v>-310924124.42000014</v>
      </c>
      <c r="M60" s="323">
        <f t="shared" si="2"/>
        <v>-0.62382748775759778</v>
      </c>
      <c r="N60" s="151">
        <f>'2022'!K60</f>
        <v>33491049.609999977</v>
      </c>
      <c r="O60" s="151">
        <f>'2022'!K134</f>
        <v>69580566.426679224</v>
      </c>
      <c r="P60" s="320">
        <f t="shared" si="11"/>
        <v>-36089516.816679247</v>
      </c>
      <c r="Q60" s="323">
        <f t="shared" si="3"/>
        <v>-0.51867236313329967</v>
      </c>
      <c r="R60" s="151">
        <f>'2021'!K60</f>
        <v>35830005.589999989</v>
      </c>
      <c r="S60" s="320">
        <f t="shared" si="12"/>
        <v>-2338955.9800000116</v>
      </c>
      <c r="T60" s="323">
        <f t="shared" si="5"/>
        <v>-6.5279252444571334E-2</v>
      </c>
    </row>
    <row r="61" spans="1:23">
      <c r="A61" s="144">
        <v>7511</v>
      </c>
      <c r="B61" s="521" t="str">
        <f>+VLOOKUP($A61,Master!$D$29:$G$225,4,FALSE)</f>
        <v>Pozajmice i krediti od domaćih izvora</v>
      </c>
      <c r="C61" s="522"/>
      <c r="D61" s="522"/>
      <c r="E61" s="522"/>
      <c r="F61" s="522"/>
      <c r="G61" s="483">
        <f>'2022'!S61</f>
        <v>0</v>
      </c>
      <c r="H61" s="483">
        <f>SUM('2022'!G135:K135)</f>
        <v>0</v>
      </c>
      <c r="I61" s="212">
        <f t="shared" si="9"/>
        <v>0</v>
      </c>
      <c r="J61" s="214" t="str">
        <f t="shared" si="1"/>
        <v>...</v>
      </c>
      <c r="K61" s="483">
        <f>SUM('2021'!G61:K61)</f>
        <v>0</v>
      </c>
      <c r="L61" s="212">
        <f t="shared" si="10"/>
        <v>0</v>
      </c>
      <c r="M61" s="214" t="str">
        <f t="shared" si="2"/>
        <v>...</v>
      </c>
      <c r="N61" s="483">
        <f>'2022'!K61</f>
        <v>0</v>
      </c>
      <c r="O61" s="483">
        <f>'2022'!K135</f>
        <v>0</v>
      </c>
      <c r="P61" s="212">
        <f t="shared" si="11"/>
        <v>0</v>
      </c>
      <c r="Q61" s="214" t="str">
        <f t="shared" si="3"/>
        <v>...</v>
      </c>
      <c r="R61" s="483">
        <f>'2021'!K61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5" t="str">
        <f>+VLOOKUP($A62,Master!$D$29:$G$225,4,FALSE)</f>
        <v>Pozajmice i krediti od inostranih izvora</v>
      </c>
      <c r="C62" s="506"/>
      <c r="D62" s="506"/>
      <c r="E62" s="506"/>
      <c r="F62" s="506"/>
      <c r="G62" s="163">
        <f>'2022'!S62</f>
        <v>40864696.890000001</v>
      </c>
      <c r="H62" s="163">
        <f>SUM('2022'!G136:K136)</f>
        <v>61785322.359999999</v>
      </c>
      <c r="I62" s="212">
        <f t="shared" si="9"/>
        <v>-20920625.469999999</v>
      </c>
      <c r="J62" s="214">
        <f t="shared" si="1"/>
        <v>-0.3386018664449677</v>
      </c>
      <c r="K62" s="163">
        <f>SUM('2021'!G62:K62)</f>
        <v>32365511.120000005</v>
      </c>
      <c r="L62" s="212">
        <f t="shared" si="10"/>
        <v>8499185.7699999958</v>
      </c>
      <c r="M62" s="214">
        <f t="shared" si="2"/>
        <v>0.26260007878411029</v>
      </c>
      <c r="N62" s="163">
        <f>'2022'!K62</f>
        <v>8324660.8200000003</v>
      </c>
      <c r="O62" s="163">
        <f>'2022'!K136</f>
        <v>15687704.471999999</v>
      </c>
      <c r="P62" s="212">
        <f t="shared" si="11"/>
        <v>-7363043.6519999988</v>
      </c>
      <c r="Q62" s="214">
        <f t="shared" si="3"/>
        <v>-0.46935124671310802</v>
      </c>
      <c r="R62" s="163">
        <f>'2021'!K62</f>
        <v>3053139.49</v>
      </c>
      <c r="S62" s="212">
        <f t="shared" si="12"/>
        <v>5271521.33</v>
      </c>
      <c r="T62" s="214">
        <f t="shared" si="5"/>
        <v>1.7265903989208171</v>
      </c>
    </row>
    <row r="63" spans="1:23">
      <c r="A63" s="144">
        <v>72</v>
      </c>
      <c r="B63" s="505" t="str">
        <f>+VLOOKUP($A63,Master!$D$29:$G$225,4,FALSE)</f>
        <v>Primici od prodaje imovine</v>
      </c>
      <c r="C63" s="506"/>
      <c r="D63" s="506"/>
      <c r="E63" s="506"/>
      <c r="F63" s="506"/>
      <c r="G63" s="163">
        <f>'2022'!S63</f>
        <v>1940172.66</v>
      </c>
      <c r="H63" s="163">
        <f>SUM('2022'!G137:K137)</f>
        <v>2500000</v>
      </c>
      <c r="I63" s="212">
        <f t="shared" si="9"/>
        <v>-559827.34000000008</v>
      </c>
      <c r="J63" s="214">
        <f t="shared" si="1"/>
        <v>-0.22393093600000002</v>
      </c>
      <c r="K63" s="163">
        <f>SUM('2021'!G63:K63)</f>
        <v>452884.87</v>
      </c>
      <c r="L63" s="212">
        <f t="shared" si="10"/>
        <v>1487287.79</v>
      </c>
      <c r="M63" s="214" t="str">
        <f t="shared" si="2"/>
        <v>...</v>
      </c>
      <c r="N63" s="163">
        <f>'2022'!K63</f>
        <v>26413.63</v>
      </c>
      <c r="O63" s="163">
        <f>'2022'!K137</f>
        <v>500000</v>
      </c>
      <c r="P63" s="212">
        <f t="shared" si="11"/>
        <v>-473586.37</v>
      </c>
      <c r="Q63" s="214">
        <f t="shared" si="3"/>
        <v>-0.94717273999999996</v>
      </c>
      <c r="R63" s="163">
        <f>'2021'!K63</f>
        <v>297151.57</v>
      </c>
      <c r="S63" s="212">
        <f t="shared" si="12"/>
        <v>-270737.94</v>
      </c>
      <c r="T63" s="214">
        <f t="shared" si="5"/>
        <v>-0.91111058238729814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144684638.83999985</v>
      </c>
      <c r="H64" s="317">
        <f>SUM('2022'!G138:K138)</f>
        <v>252820256.29818413</v>
      </c>
      <c r="I64" s="226">
        <f t="shared" si="9"/>
        <v>-108135617.45818427</v>
      </c>
      <c r="J64" s="228">
        <f t="shared" si="1"/>
        <v>-0.42771737930146603</v>
      </c>
      <c r="K64" s="317">
        <f>SUM('2021'!G64:K64)</f>
        <v>465595236.81999999</v>
      </c>
      <c r="L64" s="226">
        <f t="shared" si="10"/>
        <v>-320910597.98000014</v>
      </c>
      <c r="M64" s="228">
        <f t="shared" si="2"/>
        <v>-0.68924802618645509</v>
      </c>
      <c r="N64" s="317">
        <f>'2022'!K64</f>
        <v>25139975.159999978</v>
      </c>
      <c r="O64" s="317">
        <f>'2022'!K138</f>
        <v>53392861.954679221</v>
      </c>
      <c r="P64" s="226">
        <f t="shared" si="11"/>
        <v>-28252886.794679243</v>
      </c>
      <c r="Q64" s="228">
        <f t="shared" si="3"/>
        <v>-0.52915100933643111</v>
      </c>
      <c r="R64" s="317">
        <f>'2021'!K64</f>
        <v>32479714.52999999</v>
      </c>
      <c r="S64" s="226">
        <f t="shared" si="12"/>
        <v>-7339739.3700000122</v>
      </c>
      <c r="T64" s="228">
        <f t="shared" si="5"/>
        <v>-0.22597918350608159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jvf0TREo8LO/q+uEorD2D1IJtTgUKhVvwh8gzTIlHhbyRTxSmajsf44dcNL47to246m3+wnqfnG8lejfaHTwnA==" saltValue="G22OgCKA72HGcPZNaATEr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40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tabSelected="1" zoomScale="85" zoomScaleNormal="85" workbookViewId="0">
      <pane ySplit="1" topLeftCell="A2" activePane="bottomLeft" state="frozen"/>
      <selection pane="bottomLeft" activeCell="K13" sqref="K1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08" t="str">
        <f>+Master!G251</f>
        <v>Ostvarenje budžeta</v>
      </c>
      <c r="C7" s="508"/>
      <c r="D7" s="508"/>
      <c r="E7" s="508"/>
      <c r="F7" s="508"/>
      <c r="G7" s="516">
        <v>2022</v>
      </c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20"/>
      <c r="S7" s="235" t="str">
        <f>+Master!G248</f>
        <v>BDP</v>
      </c>
      <c r="T7" s="236">
        <v>5306400000</v>
      </c>
    </row>
    <row r="8" spans="1:20" ht="16.5" customHeight="1">
      <c r="A8" s="144"/>
      <c r="B8" s="509"/>
      <c r="C8" s="510"/>
      <c r="D8" s="510"/>
      <c r="E8" s="510"/>
      <c r="F8" s="51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6" t="str">
        <f>+Master!G246</f>
        <v>Jan - Dec</v>
      </c>
      <c r="T8" s="520"/>
    </row>
    <row r="9" spans="1:20" ht="13.5" thickBot="1">
      <c r="A9" s="144"/>
      <c r="B9" s="512"/>
      <c r="C9" s="513"/>
      <c r="D9" s="513"/>
      <c r="E9" s="513"/>
      <c r="F9" s="51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9" t="str">
        <f>+VLOOKUP($A10,Master!$D$29:$G$225,4,FALSE)</f>
        <v>Prihodi budžeta</v>
      </c>
      <c r="C10" s="550"/>
      <c r="D10" s="550"/>
      <c r="E10" s="550"/>
      <c r="F10" s="550"/>
      <c r="G10" s="151">
        <f>+G11+G19+SUM(G24:G28)</f>
        <v>107803954.11</v>
      </c>
      <c r="H10" s="151">
        <f t="shared" ref="H10:R10" si="1">+H11+H19+SUM(H24:H28)</f>
        <v>124618414.24000001</v>
      </c>
      <c r="I10" s="151">
        <f t="shared" si="1"/>
        <v>184136926.66000003</v>
      </c>
      <c r="J10" s="151">
        <f t="shared" si="1"/>
        <v>181994151.28</v>
      </c>
      <c r="K10" s="151">
        <f t="shared" si="1"/>
        <v>154730235.27000001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753283681.56000006</v>
      </c>
      <c r="T10" s="462">
        <f>+S10/$T$7*100</f>
        <v>14.195757605156039</v>
      </c>
    </row>
    <row r="11" spans="1:20">
      <c r="A11" s="150">
        <v>711</v>
      </c>
      <c r="B11" s="551" t="str">
        <f>+VLOOKUP($A11,Master!$D$29:$G$225,4,FALSE)</f>
        <v>Porezi</v>
      </c>
      <c r="C11" s="552"/>
      <c r="D11" s="552"/>
      <c r="E11" s="552"/>
      <c r="F11" s="552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546747708.79000008</v>
      </c>
      <c r="T11" s="463">
        <f t="shared" ref="T11:T64" si="3">+S11/$T$7*100</f>
        <v>10.303552479835671</v>
      </c>
    </row>
    <row r="12" spans="1:20">
      <c r="A12" s="150">
        <v>7111</v>
      </c>
      <c r="B12" s="537" t="str">
        <f>+VLOOKUP($A12,Master!$D$29:$G$225,4,FALSE)</f>
        <v>Porez na dohodak fizičkih lica</v>
      </c>
      <c r="C12" s="538"/>
      <c r="D12" s="538"/>
      <c r="E12" s="538"/>
      <c r="F12" s="538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36703931.18</v>
      </c>
      <c r="T12" s="464">
        <f t="shared" si="3"/>
        <v>0.6916917529775366</v>
      </c>
    </row>
    <row r="13" spans="1:20">
      <c r="A13" s="150">
        <v>7112</v>
      </c>
      <c r="B13" s="537" t="str">
        <f>+VLOOKUP($A13,Master!$D$29:$G$225,4,FALSE)</f>
        <v>Porez na dobit pravnih lica</v>
      </c>
      <c r="C13" s="538"/>
      <c r="D13" s="538"/>
      <c r="E13" s="538"/>
      <c r="F13" s="538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72169459.859999985</v>
      </c>
      <c r="T13" s="464">
        <f t="shared" si="3"/>
        <v>1.3600456026684755</v>
      </c>
    </row>
    <row r="14" spans="1:20">
      <c r="A14" s="150">
        <v>7113</v>
      </c>
      <c r="B14" s="537" t="str">
        <f>+VLOOKUP($A14,Master!$D$29:$G$225,4,FALSE)</f>
        <v>Porez na promet nepokretnosti</v>
      </c>
      <c r="C14" s="538"/>
      <c r="D14" s="538"/>
      <c r="E14" s="538"/>
      <c r="F14" s="538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983158.57000000007</v>
      </c>
      <c r="T14" s="464">
        <f t="shared" si="3"/>
        <v>1.8527788519523594E-2</v>
      </c>
    </row>
    <row r="15" spans="1:20">
      <c r="A15" s="150">
        <v>7114</v>
      </c>
      <c r="B15" s="537" t="str">
        <f>+VLOOKUP($A15,Master!$D$29:$G$225,4,FALSE)</f>
        <v>Porez na dodatu vrijednost</v>
      </c>
      <c r="C15" s="538"/>
      <c r="D15" s="538"/>
      <c r="E15" s="538"/>
      <c r="F15" s="538"/>
      <c r="G15" s="163">
        <v>50270008.859999999</v>
      </c>
      <c r="H15" s="163">
        <v>54121445.459999993</v>
      </c>
      <c r="I15" s="163">
        <v>67019753.909999996</v>
      </c>
      <c r="J15" s="163">
        <v>73487462.640000001</v>
      </c>
      <c r="K15" s="163">
        <v>76474660.090000004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321373330.96000004</v>
      </c>
      <c r="T15" s="464">
        <f t="shared" si="3"/>
        <v>6.0563344444444454</v>
      </c>
    </row>
    <row r="16" spans="1:20">
      <c r="A16" s="150">
        <v>7115</v>
      </c>
      <c r="B16" s="537" t="str">
        <f>+VLOOKUP($A16,Master!$D$29:$G$225,4,FALSE)</f>
        <v>Akcize</v>
      </c>
      <c r="C16" s="538"/>
      <c r="D16" s="538"/>
      <c r="E16" s="538"/>
      <c r="F16" s="538"/>
      <c r="G16" s="163">
        <v>21096875.200000003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97257463.159999996</v>
      </c>
      <c r="T16" s="464">
        <f t="shared" si="3"/>
        <v>1.8328332421227198</v>
      </c>
    </row>
    <row r="17" spans="1:23">
      <c r="A17" s="150">
        <v>7116</v>
      </c>
      <c r="B17" s="537" t="str">
        <f>+VLOOKUP($A17,Master!$D$29:$G$225,4,FALSE)</f>
        <v>Porez na međunarodnu trgovinu i transakcije</v>
      </c>
      <c r="C17" s="538"/>
      <c r="D17" s="538"/>
      <c r="E17" s="538"/>
      <c r="F17" s="538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13629064.35</v>
      </c>
      <c r="T17" s="464">
        <f t="shared" si="3"/>
        <v>0.25684200870646767</v>
      </c>
    </row>
    <row r="18" spans="1:23">
      <c r="A18" s="150">
        <v>7118</v>
      </c>
      <c r="B18" s="537" t="str">
        <f>+VLOOKUP($A18,Master!$D$29:$G$225,4,FALSE)</f>
        <v>Ostali državni porezi</v>
      </c>
      <c r="C18" s="538"/>
      <c r="D18" s="538"/>
      <c r="E18" s="538"/>
      <c r="F18" s="538"/>
      <c r="G18" s="163">
        <v>821034.23</v>
      </c>
      <c r="H18" s="163">
        <v>868952.95</v>
      </c>
      <c r="I18" s="163">
        <v>953225.39999999991</v>
      </c>
      <c r="J18" s="163">
        <v>1052043.6399999999</v>
      </c>
      <c r="K18" s="163">
        <v>936044.49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4631300.71</v>
      </c>
      <c r="T18" s="464">
        <f t="shared" si="3"/>
        <v>8.7277640396502335E-2</v>
      </c>
    </row>
    <row r="19" spans="1:23">
      <c r="A19" s="150">
        <v>712</v>
      </c>
      <c r="B19" s="547" t="str">
        <f>+VLOOKUP($A19,Master!$D$29:$G$225,4,FALSE)</f>
        <v>Doprinosi</v>
      </c>
      <c r="C19" s="548"/>
      <c r="D19" s="548"/>
      <c r="E19" s="548"/>
      <c r="F19" s="548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154828876.61999997</v>
      </c>
      <c r="T19" s="465">
        <f t="shared" si="3"/>
        <v>2.9177762064676611</v>
      </c>
    </row>
    <row r="20" spans="1:23">
      <c r="A20" s="150">
        <v>7121</v>
      </c>
      <c r="B20" s="537" t="str">
        <f>+VLOOKUP($A20,Master!$D$29:$G$225,4,FALSE)</f>
        <v>Doprinosi za penzijsko i invalidsko osiguranje</v>
      </c>
      <c r="C20" s="538"/>
      <c r="D20" s="538"/>
      <c r="E20" s="538"/>
      <c r="F20" s="538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126395892.09999999</v>
      </c>
      <c r="T20" s="464">
        <f t="shared" si="3"/>
        <v>2.3819518336348557</v>
      </c>
    </row>
    <row r="21" spans="1:23">
      <c r="A21" s="150">
        <v>7122</v>
      </c>
      <c r="B21" s="537" t="str">
        <f>+VLOOKUP($A21,Master!$D$29:$G$225,4,FALSE)</f>
        <v>Doprinosi za zdravstveno osiguranje</v>
      </c>
      <c r="C21" s="538"/>
      <c r="D21" s="538"/>
      <c r="E21" s="538"/>
      <c r="F21" s="538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18396799.239999998</v>
      </c>
      <c r="T21" s="464">
        <f t="shared" si="3"/>
        <v>0.3466907741595055</v>
      </c>
    </row>
    <row r="22" spans="1:23">
      <c r="A22" s="150">
        <v>7123</v>
      </c>
      <c r="B22" s="537" t="str">
        <f>+VLOOKUP($A22,Master!$D$29:$G$225,4,FALSE)</f>
        <v>Doprinosi za osiguranje od nezaposlenosti</v>
      </c>
      <c r="C22" s="538"/>
      <c r="D22" s="538"/>
      <c r="E22" s="538"/>
      <c r="F22" s="538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5782434.8300000001</v>
      </c>
      <c r="T22" s="464">
        <f t="shared" si="3"/>
        <v>0.10897095639228102</v>
      </c>
    </row>
    <row r="23" spans="1:23">
      <c r="A23" s="150">
        <v>7124</v>
      </c>
      <c r="B23" s="537" t="str">
        <f>+VLOOKUP($A23,Master!$D$29:$G$225,4,FALSE)</f>
        <v>Ostali doprinosi</v>
      </c>
      <c r="C23" s="538"/>
      <c r="D23" s="538"/>
      <c r="E23" s="538"/>
      <c r="F23" s="538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4253750.45</v>
      </c>
      <c r="T23" s="464">
        <f t="shared" si="3"/>
        <v>8.0162642281019159E-2</v>
      </c>
      <c r="W23" s="305"/>
    </row>
    <row r="24" spans="1:23">
      <c r="A24" s="150">
        <v>713</v>
      </c>
      <c r="B24" s="539" t="str">
        <f>+VLOOKUP($A24,Master!$D$29:$G$225,4,FALSE)</f>
        <v>Takse</v>
      </c>
      <c r="C24" s="540"/>
      <c r="D24" s="540"/>
      <c r="E24" s="540"/>
      <c r="F24" s="540"/>
      <c r="G24" s="175">
        <v>606952.54999999993</v>
      </c>
      <c r="H24" s="175">
        <v>773951.60000000009</v>
      </c>
      <c r="I24" s="175">
        <v>932834.7</v>
      </c>
      <c r="J24" s="175">
        <v>1014885.97</v>
      </c>
      <c r="K24" s="175">
        <v>989967.52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4318592.34</v>
      </c>
      <c r="T24" s="465">
        <f t="shared" si="3"/>
        <v>8.1384598597919494E-2</v>
      </c>
      <c r="W24" s="305"/>
    </row>
    <row r="25" spans="1:23">
      <c r="A25" s="150">
        <v>714</v>
      </c>
      <c r="B25" s="539" t="str">
        <f>+VLOOKUP($A25,Master!$D$29:$G$225,4,FALSE)</f>
        <v>Naknade</v>
      </c>
      <c r="C25" s="540"/>
      <c r="D25" s="540"/>
      <c r="E25" s="540"/>
      <c r="F25" s="540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23092028.649999999</v>
      </c>
      <c r="T25" s="465">
        <f t="shared" si="3"/>
        <v>0.43517316165385189</v>
      </c>
    </row>
    <row r="26" spans="1:23">
      <c r="A26" s="150">
        <v>715</v>
      </c>
      <c r="B26" s="539" t="str">
        <f>+VLOOKUP($A26,Master!$D$29:$G$225,4,FALSE)</f>
        <v>Ostali prihodi</v>
      </c>
      <c r="C26" s="540"/>
      <c r="D26" s="540"/>
      <c r="E26" s="540"/>
      <c r="F26" s="540"/>
      <c r="G26" s="175">
        <v>1297684</v>
      </c>
      <c r="H26" s="175">
        <v>1589565.7000000002</v>
      </c>
      <c r="I26" s="175">
        <v>1733963.4699999997</v>
      </c>
      <c r="J26" s="175">
        <v>3432683.2699999996</v>
      </c>
      <c r="K26" s="175">
        <v>3422423.9499999997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11476320.389999999</v>
      </c>
      <c r="T26" s="465">
        <f t="shared" si="3"/>
        <v>0.21627318690637717</v>
      </c>
    </row>
    <row r="27" spans="1:23">
      <c r="A27" s="150">
        <v>73</v>
      </c>
      <c r="B27" s="539" t="str">
        <f>+VLOOKUP($A27,Master!$D$29:$G$225,4,FALSE)</f>
        <v>Primici od otplate kredita i sredstva prenesena iz prethodne godine</v>
      </c>
      <c r="C27" s="540"/>
      <c r="D27" s="540"/>
      <c r="E27" s="540"/>
      <c r="F27" s="540"/>
      <c r="G27" s="175">
        <v>124509.95</v>
      </c>
      <c r="H27" s="175">
        <v>574574.7300000001</v>
      </c>
      <c r="I27" s="175">
        <v>672855.19000000006</v>
      </c>
      <c r="J27" s="175">
        <v>750452.36</v>
      </c>
      <c r="K27" s="175">
        <v>894295.88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3016688.11</v>
      </c>
      <c r="T27" s="465">
        <f t="shared" si="3"/>
        <v>5.6849994534901249E-2</v>
      </c>
    </row>
    <row r="28" spans="1:23" ht="13.5" thickBot="1">
      <c r="A28" s="150">
        <v>74</v>
      </c>
      <c r="B28" s="541" t="str">
        <f>+VLOOKUP($A28,Master!$D$29:$G$225,4,FALSE)</f>
        <v>Donacije i transferi</v>
      </c>
      <c r="C28" s="542"/>
      <c r="D28" s="542"/>
      <c r="E28" s="542"/>
      <c r="F28" s="542"/>
      <c r="G28" s="175">
        <v>944706.60000000009</v>
      </c>
      <c r="H28" s="175">
        <v>1121297.3199999998</v>
      </c>
      <c r="I28" s="175">
        <v>4945090.66</v>
      </c>
      <c r="J28" s="175">
        <v>2141352.37</v>
      </c>
      <c r="K28" s="175">
        <v>651019.70999999985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9803466.6599999983</v>
      </c>
      <c r="T28" s="466">
        <f t="shared" si="3"/>
        <v>0.18474797715965621</v>
      </c>
    </row>
    <row r="29" spans="1:23" ht="13.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>+G30+G40+G46+SUM(G47:G51)</f>
        <v>134963640.85999998</v>
      </c>
      <c r="H29" s="151">
        <f t="shared" ref="H29:R29" si="6">+H30+H40+H46+SUM(H47:H51)</f>
        <v>150853540.77000001</v>
      </c>
      <c r="I29" s="151">
        <f t="shared" si="6"/>
        <v>155436273.13</v>
      </c>
      <c r="J29" s="151">
        <f t="shared" si="6"/>
        <v>199512281.58999991</v>
      </c>
      <c r="K29" s="151">
        <f t="shared" si="6"/>
        <v>149139298.72999999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789905035.07999992</v>
      </c>
      <c r="T29" s="467">
        <f t="shared" si="3"/>
        <v>14.885893168249659</v>
      </c>
    </row>
    <row r="30" spans="1:23">
      <c r="A30" s="150">
        <v>41</v>
      </c>
      <c r="B30" s="545" t="str">
        <f>+VLOOKUP($A30,Master!$D$29:$G$225,4,FALSE)</f>
        <v>Tekući izdaci</v>
      </c>
      <c r="C30" s="546"/>
      <c r="D30" s="546"/>
      <c r="E30" s="546"/>
      <c r="F30" s="546"/>
      <c r="G30" s="187">
        <f t="shared" ref="G30:R30" si="7">+SUM(G31:G39)</f>
        <v>50337217.809999995</v>
      </c>
      <c r="H30" s="187">
        <f t="shared" si="7"/>
        <v>61693468.01000002</v>
      </c>
      <c r="I30" s="187">
        <f t="shared" si="7"/>
        <v>63017676.439999983</v>
      </c>
      <c r="J30" s="187">
        <f t="shared" si="7"/>
        <v>93554021.819999963</v>
      </c>
      <c r="K30" s="187">
        <f t="shared" si="7"/>
        <v>61577011.369999997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330179395.44999993</v>
      </c>
      <c r="T30" s="463">
        <f t="shared" si="3"/>
        <v>6.2222862100482423</v>
      </c>
      <c r="U30" s="242"/>
    </row>
    <row r="31" spans="1:23">
      <c r="A31" s="150">
        <v>411</v>
      </c>
      <c r="B31" s="537" t="str">
        <f>+VLOOKUP($A31,Master!$D$29:$G$225,4,FALSE)</f>
        <v>Bruto zarade i doprinosi na teret poslodavca</v>
      </c>
      <c r="C31" s="538"/>
      <c r="D31" s="538"/>
      <c r="E31" s="538"/>
      <c r="F31" s="538"/>
      <c r="G31" s="163">
        <v>43678720.069999993</v>
      </c>
      <c r="H31" s="163">
        <v>44569710.890000015</v>
      </c>
      <c r="I31" s="163">
        <v>43579004.269999988</v>
      </c>
      <c r="J31" s="163">
        <v>43714701.509999961</v>
      </c>
      <c r="K31" s="163">
        <v>44618163.619999997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220160300.35999995</v>
      </c>
      <c r="T31" s="464">
        <f t="shared" si="3"/>
        <v>4.1489578689883908</v>
      </c>
      <c r="U31" s="242"/>
    </row>
    <row r="32" spans="1:23">
      <c r="A32" s="150">
        <v>412</v>
      </c>
      <c r="B32" s="537" t="str">
        <f>+VLOOKUP($A32,Master!$D$29:$G$225,4,FALSE)</f>
        <v>Ostala lična primanja</v>
      </c>
      <c r="C32" s="538"/>
      <c r="D32" s="538"/>
      <c r="E32" s="538"/>
      <c r="F32" s="538"/>
      <c r="G32" s="163">
        <v>137001.32999999999</v>
      </c>
      <c r="H32" s="163">
        <v>1212395.8599999999</v>
      </c>
      <c r="I32" s="163">
        <v>946225.55000000028</v>
      </c>
      <c r="J32" s="163">
        <v>1448549.91</v>
      </c>
      <c r="K32" s="163">
        <v>1078145.3399999999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4822317.99</v>
      </c>
      <c r="T32" s="464">
        <f t="shared" si="3"/>
        <v>9.0877393147896876E-2</v>
      </c>
      <c r="U32" s="457"/>
    </row>
    <row r="33" spans="1:21">
      <c r="A33" s="150">
        <v>413</v>
      </c>
      <c r="B33" s="537" t="str">
        <f>+VLOOKUP($A33,Master!$D$29:$G$225,4,FALSE)</f>
        <v>Rashodi za materijal</v>
      </c>
      <c r="C33" s="538"/>
      <c r="D33" s="538"/>
      <c r="E33" s="538"/>
      <c r="F33" s="538"/>
      <c r="G33" s="163">
        <v>140825.03</v>
      </c>
      <c r="H33" s="163">
        <v>3489117.8199999994</v>
      </c>
      <c r="I33" s="163">
        <v>2628375.6700000009</v>
      </c>
      <c r="J33" s="163">
        <v>2038640.9</v>
      </c>
      <c r="K33" s="163">
        <v>1012773.5900000001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9309733.0099999998</v>
      </c>
      <c r="T33" s="464">
        <f t="shared" si="3"/>
        <v>0.1754434835293231</v>
      </c>
      <c r="U33" s="457"/>
    </row>
    <row r="34" spans="1:21" s="361" customFormat="1">
      <c r="A34" s="360">
        <v>414</v>
      </c>
      <c r="B34" s="606" t="str">
        <f>+VLOOKUP($A34,Master!$D$29:$G$225,4,FALSE)</f>
        <v>Rashodi za usluge</v>
      </c>
      <c r="C34" s="607"/>
      <c r="D34" s="607"/>
      <c r="E34" s="607"/>
      <c r="F34" s="607"/>
      <c r="G34" s="163">
        <v>1088181.68</v>
      </c>
      <c r="H34" s="163">
        <v>2912682.95</v>
      </c>
      <c r="I34" s="163">
        <v>4471821.08</v>
      </c>
      <c r="J34" s="163">
        <v>6152905.290000001</v>
      </c>
      <c r="K34" s="163">
        <v>2627613.7600000007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17253204.760000002</v>
      </c>
      <c r="T34" s="464">
        <f t="shared" si="3"/>
        <v>0.32513954394693206</v>
      </c>
      <c r="U34" s="457"/>
    </row>
    <row r="35" spans="1:21">
      <c r="A35" s="150">
        <v>415</v>
      </c>
      <c r="B35" s="537" t="str">
        <f>+VLOOKUP($A35,Master!$D$29:$G$225,4,FALSE)</f>
        <v>Rashodi za tekuće održavanje</v>
      </c>
      <c r="C35" s="538"/>
      <c r="D35" s="538"/>
      <c r="E35" s="538"/>
      <c r="F35" s="538"/>
      <c r="G35" s="163">
        <v>51153.01999999999</v>
      </c>
      <c r="H35" s="163">
        <v>1786959.03</v>
      </c>
      <c r="I35" s="163">
        <v>1812618.69</v>
      </c>
      <c r="J35" s="163">
        <v>1718005.5900000003</v>
      </c>
      <c r="K35" s="163">
        <v>1522624.21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6891360.54</v>
      </c>
      <c r="T35" s="464">
        <f t="shared" si="3"/>
        <v>0.12986884780642244</v>
      </c>
      <c r="U35" s="457"/>
    </row>
    <row r="36" spans="1:21">
      <c r="A36" s="150">
        <v>416</v>
      </c>
      <c r="B36" s="537" t="str">
        <f>+VLOOKUP($A36,Master!$D$29:$G$225,4,FALSE)</f>
        <v>Kamate</v>
      </c>
      <c r="C36" s="538"/>
      <c r="D36" s="538"/>
      <c r="E36" s="538"/>
      <c r="F36" s="538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37858283.850000001</v>
      </c>
      <c r="T36" s="464">
        <f t="shared" si="3"/>
        <v>0.71344572308910004</v>
      </c>
      <c r="U36" s="457"/>
    </row>
    <row r="37" spans="1:21">
      <c r="A37" s="150">
        <v>417</v>
      </c>
      <c r="B37" s="537" t="str">
        <f>+VLOOKUP($A37,Master!$D$29:$G$225,4,FALSE)</f>
        <v>Renta</v>
      </c>
      <c r="C37" s="538"/>
      <c r="D37" s="538"/>
      <c r="E37" s="538"/>
      <c r="F37" s="538"/>
      <c r="G37" s="163">
        <v>222069.03999999998</v>
      </c>
      <c r="H37" s="163">
        <v>743329.49000000022</v>
      </c>
      <c r="I37" s="163">
        <v>821318.40000000014</v>
      </c>
      <c r="J37" s="163">
        <v>1247632.42</v>
      </c>
      <c r="K37" s="163">
        <v>498993.7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3533343.0500000007</v>
      </c>
      <c r="T37" s="464">
        <f t="shared" si="3"/>
        <v>6.6586443728328074E-2</v>
      </c>
      <c r="U37" s="457"/>
    </row>
    <row r="38" spans="1:21">
      <c r="A38" s="150">
        <v>418</v>
      </c>
      <c r="B38" s="537" t="str">
        <f>+VLOOKUP($A38,Master!$D$29:$G$225,4,FALSE)</f>
        <v>Subvencije</v>
      </c>
      <c r="C38" s="538"/>
      <c r="D38" s="538"/>
      <c r="E38" s="538"/>
      <c r="F38" s="538"/>
      <c r="G38" s="163">
        <v>511006.04000000004</v>
      </c>
      <c r="H38" s="163">
        <v>2686343.5</v>
      </c>
      <c r="I38" s="163">
        <v>4730535.6000000006</v>
      </c>
      <c r="J38" s="163">
        <v>6972651.8400000008</v>
      </c>
      <c r="K38" s="163">
        <v>2647649.44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17548186.420000002</v>
      </c>
      <c r="T38" s="464">
        <f t="shared" si="3"/>
        <v>0.33069852291572444</v>
      </c>
      <c r="U38" s="457"/>
    </row>
    <row r="39" spans="1:21" s="361" customFormat="1">
      <c r="A39" s="360">
        <v>419</v>
      </c>
      <c r="B39" s="606" t="str">
        <f>+VLOOKUP($A39,Master!$D$29:$G$225,4,FALSE)</f>
        <v>Ostali izdaci</v>
      </c>
      <c r="C39" s="607"/>
      <c r="D39" s="607"/>
      <c r="E39" s="607"/>
      <c r="F39" s="607"/>
      <c r="G39" s="163">
        <v>653499.35000000009</v>
      </c>
      <c r="H39" s="163">
        <v>3022584.2800000003</v>
      </c>
      <c r="I39" s="163">
        <v>3078694.62</v>
      </c>
      <c r="J39" s="163">
        <v>3065313.290000001</v>
      </c>
      <c r="K39" s="163">
        <v>2982573.9299999988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12802665.469999999</v>
      </c>
      <c r="T39" s="464">
        <f t="shared" si="3"/>
        <v>0.2412683828961254</v>
      </c>
      <c r="U39" s="457"/>
    </row>
    <row r="40" spans="1:21">
      <c r="A40" s="150">
        <v>42</v>
      </c>
      <c r="B40" s="533" t="str">
        <f>+VLOOKUP($A40,Master!$D$29:$G$225,4,FALSE)</f>
        <v>Transferi za socijalnu zaštitu</v>
      </c>
      <c r="C40" s="534"/>
      <c r="D40" s="534"/>
      <c r="E40" s="534"/>
      <c r="F40" s="534"/>
      <c r="G40" s="193">
        <f>+SUM(G41:G45)</f>
        <v>43461857.61999999</v>
      </c>
      <c r="H40" s="193">
        <f t="shared" ref="H40:R40" si="8">+SUM(H41:H45)</f>
        <v>49030666.979999997</v>
      </c>
      <c r="I40" s="193">
        <f t="shared" si="8"/>
        <v>50290726.349999994</v>
      </c>
      <c r="J40" s="193">
        <f t="shared" si="8"/>
        <v>49190467.409999959</v>
      </c>
      <c r="K40" s="193">
        <f t="shared" si="8"/>
        <v>51083547.040000007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243057265.39999998</v>
      </c>
      <c r="T40" s="490">
        <f t="shared" si="3"/>
        <v>4.5804550241218145</v>
      </c>
      <c r="U40" s="242"/>
    </row>
    <row r="41" spans="1:21">
      <c r="A41" s="150">
        <v>421</v>
      </c>
      <c r="B41" s="537" t="str">
        <f>+VLOOKUP($A41,Master!$D$29:$G$225,4,FALSE)</f>
        <v>Prava iz oblasti socijalne zaštite</v>
      </c>
      <c r="C41" s="538"/>
      <c r="D41" s="538"/>
      <c r="E41" s="538"/>
      <c r="F41" s="538"/>
      <c r="G41" s="163">
        <v>8200110.4000000004</v>
      </c>
      <c r="H41" s="163">
        <v>8172331.5999999987</v>
      </c>
      <c r="I41" s="163">
        <v>8605052.6899999995</v>
      </c>
      <c r="J41" s="163">
        <v>8606006.9800000004</v>
      </c>
      <c r="K41" s="163">
        <v>11845768.039999999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45429269.710000001</v>
      </c>
      <c r="T41" s="464">
        <f t="shared" si="3"/>
        <v>0.85612222429519069</v>
      </c>
      <c r="U41" s="457"/>
    </row>
    <row r="42" spans="1:21">
      <c r="A42" s="150">
        <v>422</v>
      </c>
      <c r="B42" s="537" t="str">
        <f>+VLOOKUP($A42,Master!$D$29:$G$225,4,FALSE)</f>
        <v>Sredstva za tehnološke viškove</v>
      </c>
      <c r="C42" s="538"/>
      <c r="D42" s="538"/>
      <c r="E42" s="538"/>
      <c r="F42" s="538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9668386.6899999995</v>
      </c>
      <c r="T42" s="464">
        <f t="shared" si="3"/>
        <v>0.18220237241821197</v>
      </c>
      <c r="U42" s="457"/>
    </row>
    <row r="43" spans="1:21">
      <c r="A43" s="150">
        <v>423</v>
      </c>
      <c r="B43" s="537" t="str">
        <f>+VLOOKUP($A43,Master!$D$29:$G$225,4,FALSE)</f>
        <v>Prava iz oblasti penzijskog i invalidskog osiguranja</v>
      </c>
      <c r="C43" s="538"/>
      <c r="D43" s="538"/>
      <c r="E43" s="538"/>
      <c r="F43" s="538"/>
      <c r="G43" s="163">
        <v>35149513.419999994</v>
      </c>
      <c r="H43" s="163">
        <v>36354430.68999999</v>
      </c>
      <c r="I43" s="163">
        <v>36069832.589999996</v>
      </c>
      <c r="J43" s="502">
        <v>36181040.329999961</v>
      </c>
      <c r="K43" s="163">
        <v>35168591.790000007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178923408.81999993</v>
      </c>
      <c r="T43" s="464">
        <f t="shared" si="3"/>
        <v>3.3718417160410059</v>
      </c>
      <c r="U43" s="457"/>
    </row>
    <row r="44" spans="1:21">
      <c r="A44" s="150">
        <v>424</v>
      </c>
      <c r="B44" s="537" t="str">
        <f>+VLOOKUP($A44,Master!$D$29:$G$225,4,FALSE)</f>
        <v>Ostala prava iz oblasti zdravstvene zaštite</v>
      </c>
      <c r="C44" s="538"/>
      <c r="D44" s="538"/>
      <c r="E44" s="538"/>
      <c r="F44" s="538"/>
      <c r="G44" s="163">
        <v>103430</v>
      </c>
      <c r="H44" s="163">
        <v>1069904.71</v>
      </c>
      <c r="I44" s="163">
        <v>1609138.94</v>
      </c>
      <c r="J44" s="163">
        <v>1402883.74</v>
      </c>
      <c r="K44" s="163">
        <v>659345.03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4844702.42</v>
      </c>
      <c r="T44" s="464">
        <f t="shared" si="3"/>
        <v>9.1299231494044925E-2</v>
      </c>
      <c r="U44" s="457"/>
    </row>
    <row r="45" spans="1:21" s="361" customFormat="1">
      <c r="A45" s="360">
        <v>425</v>
      </c>
      <c r="B45" s="602" t="str">
        <f>+VLOOKUP($A45,Master!$D$29:$G$225,4,FALSE)</f>
        <v>Ostala prava iz zdravstvenog osiguranja</v>
      </c>
      <c r="C45" s="603"/>
      <c r="D45" s="603"/>
      <c r="E45" s="603"/>
      <c r="F45" s="603"/>
      <c r="G45" s="163">
        <v>8803.7999999999993</v>
      </c>
      <c r="H45" s="163">
        <v>935570.06</v>
      </c>
      <c r="I45" s="163">
        <v>1565923.96</v>
      </c>
      <c r="J45" s="163">
        <v>590306.91</v>
      </c>
      <c r="K45" s="163">
        <v>1090893.03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4191497.7600000007</v>
      </c>
      <c r="T45" s="464">
        <f t="shared" si="3"/>
        <v>7.8989479873360482E-2</v>
      </c>
      <c r="U45" s="457"/>
    </row>
    <row r="46" spans="1:21">
      <c r="A46" s="150">
        <v>43</v>
      </c>
      <c r="B46" s="535" t="str">
        <f>+VLOOKUP($A46,Master!$D$29:$G$225,4,FALSE)</f>
        <v xml:space="preserve">Transferi institucijama, pojedincima, nevladinom i javnom sektoru </v>
      </c>
      <c r="C46" s="536"/>
      <c r="D46" s="536"/>
      <c r="E46" s="536"/>
      <c r="F46" s="536"/>
      <c r="G46" s="175">
        <v>7351440.8700000001</v>
      </c>
      <c r="H46" s="175">
        <v>23788257.169999998</v>
      </c>
      <c r="I46" s="175">
        <v>30704364.970000006</v>
      </c>
      <c r="J46" s="175">
        <v>28731832.689999998</v>
      </c>
      <c r="K46" s="175">
        <v>16386723.549999999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106962619.25</v>
      </c>
      <c r="T46" s="465">
        <f t="shared" si="3"/>
        <v>2.0157285400648277</v>
      </c>
      <c r="U46" s="481"/>
    </row>
    <row r="47" spans="1:21">
      <c r="A47" s="150">
        <v>44</v>
      </c>
      <c r="B47" s="535" t="str">
        <f>+VLOOKUP($A47,Master!$D$29:$G$225,4,FALSE)</f>
        <v>Kapitalni izdaci</v>
      </c>
      <c r="C47" s="536"/>
      <c r="D47" s="536"/>
      <c r="E47" s="536"/>
      <c r="F47" s="536"/>
      <c r="G47" s="175">
        <v>16016474.34</v>
      </c>
      <c r="H47" s="175">
        <v>11650538.710000003</v>
      </c>
      <c r="I47" s="175">
        <v>7995861.7599999998</v>
      </c>
      <c r="J47" s="175">
        <v>25620437.929999996</v>
      </c>
      <c r="K47" s="175">
        <v>18640717.440000001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79924030.179999992</v>
      </c>
      <c r="T47" s="465">
        <f t="shared" si="3"/>
        <v>1.506181783883612</v>
      </c>
      <c r="U47" s="481"/>
    </row>
    <row r="48" spans="1:21">
      <c r="A48" s="150">
        <v>451</v>
      </c>
      <c r="B48" s="604" t="str">
        <f>+VLOOKUP($A48,Master!$D$29:$G$225,4,FALSE)</f>
        <v>Pozajmice i krediti</v>
      </c>
      <c r="C48" s="605"/>
      <c r="D48" s="605"/>
      <c r="E48" s="605"/>
      <c r="F48" s="605"/>
      <c r="G48" s="163">
        <v>0</v>
      </c>
      <c r="H48" s="163">
        <v>248510</v>
      </c>
      <c r="I48" s="163">
        <v>1730</v>
      </c>
      <c r="J48" s="163">
        <v>302436</v>
      </c>
      <c r="K48" s="163">
        <v>260378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813054</v>
      </c>
      <c r="T48" s="464">
        <f t="shared" si="3"/>
        <v>1.5322139303482587E-2</v>
      </c>
      <c r="U48" s="481"/>
    </row>
    <row r="49" spans="1:21" s="361" customFormat="1">
      <c r="A49" s="360">
        <v>47</v>
      </c>
      <c r="B49" s="596" t="str">
        <f>+VLOOKUP($A49,Master!$D$29:$G$225,4,FALSE)</f>
        <v>Rezerve</v>
      </c>
      <c r="C49" s="597"/>
      <c r="D49" s="597"/>
      <c r="E49" s="597"/>
      <c r="F49" s="597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2310174.2599999998</v>
      </c>
      <c r="T49" s="464">
        <f t="shared" si="3"/>
        <v>4.353562226745062E-2</v>
      </c>
      <c r="U49" s="481"/>
    </row>
    <row r="50" spans="1:21" ht="13.5" thickBot="1">
      <c r="A50" s="150">
        <v>462</v>
      </c>
      <c r="B50" s="523" t="str">
        <f>+VLOOKUP($A50,Master!$D$29:$G$225,4,FALSE)</f>
        <v>Otplata garancija</v>
      </c>
      <c r="C50" s="524"/>
      <c r="D50" s="524"/>
      <c r="E50" s="524"/>
      <c r="F50" s="524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4">
        <f t="shared" si="3"/>
        <v>9.4225840494497216E-3</v>
      </c>
      <c r="U50" s="481"/>
    </row>
    <row r="51" spans="1:21" ht="13.5" thickBot="1">
      <c r="A51" s="144">
        <v>4630</v>
      </c>
      <c r="B51" s="598" t="str">
        <f>+VLOOKUP($A51,Master!$D$29:$G$225,4,TRUE)</f>
        <v>Otplata obaveza iz prethodnog perioda</v>
      </c>
      <c r="C51" s="599"/>
      <c r="D51" s="599"/>
      <c r="E51" s="599"/>
      <c r="F51" s="599"/>
      <c r="G51" s="458">
        <v>17530850.219999999</v>
      </c>
      <c r="H51" s="458">
        <v>3946389.9</v>
      </c>
      <c r="I51" s="458">
        <v>2324249.35</v>
      </c>
      <c r="J51" s="458">
        <v>1211885.74</v>
      </c>
      <c r="K51" s="458">
        <v>1145121.3300000003</v>
      </c>
      <c r="L51" s="458">
        <v>0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26158496.539999999</v>
      </c>
      <c r="T51" s="468">
        <f t="shared" si="3"/>
        <v>0.49296126451077943</v>
      </c>
      <c r="U51" s="481"/>
    </row>
    <row r="52" spans="1:21" ht="13.5" thickBot="1">
      <c r="A52" s="70">
        <v>1005</v>
      </c>
      <c r="B52" s="600" t="str">
        <f>+VLOOKUP($A52,Master!$D$29:$G$227,4,FALSE)</f>
        <v>Neto povećanje obaveza</v>
      </c>
      <c r="C52" s="601"/>
      <c r="D52" s="601"/>
      <c r="E52" s="601"/>
      <c r="F52" s="601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 t="shared" ref="G53:R53" si="9">+G10-G29</f>
        <v>-27159686.749999985</v>
      </c>
      <c r="H53" s="151">
        <f t="shared" si="9"/>
        <v>-26235126.530000001</v>
      </c>
      <c r="I53" s="151">
        <f t="shared" si="9"/>
        <v>28700653.530000031</v>
      </c>
      <c r="J53" s="151">
        <f t="shared" si="9"/>
        <v>-17518130.309999913</v>
      </c>
      <c r="K53" s="151">
        <f t="shared" si="9"/>
        <v>5590936.5400000215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-36621353.519999847</v>
      </c>
      <c r="T53" s="470">
        <f t="shared" si="3"/>
        <v>-0.6901355630936199</v>
      </c>
    </row>
    <row r="54" spans="1:21" ht="13.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205">
        <f t="shared" ref="G54:R54" si="10">+G53+G36</f>
        <v>-23304924.499999985</v>
      </c>
      <c r="H54" s="205">
        <f t="shared" si="10"/>
        <v>-24964782.34</v>
      </c>
      <c r="I54" s="205">
        <f t="shared" si="10"/>
        <v>29649736.09000003</v>
      </c>
      <c r="J54" s="205">
        <f t="shared" si="10"/>
        <v>9677490.7600000873</v>
      </c>
      <c r="K54" s="205">
        <f t="shared" si="10"/>
        <v>10179410.320000023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1236930.3300001509</v>
      </c>
      <c r="T54" s="470">
        <f t="shared" si="3"/>
        <v>2.3310159995480004E-2</v>
      </c>
    </row>
    <row r="55" spans="1:21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150868154.87</v>
      </c>
      <c r="T55" s="471">
        <f t="shared" si="3"/>
        <v>2.8431357392959447</v>
      </c>
    </row>
    <row r="56" spans="1:21">
      <c r="A56" s="144">
        <v>4611</v>
      </c>
      <c r="B56" s="521" t="str">
        <f>+VLOOKUP($A56,Master!$D$29:$G$225,4,FALSE)</f>
        <v>Otplata hartija od vrijednosti i kredita rezidentima</v>
      </c>
      <c r="C56" s="522"/>
      <c r="D56" s="522"/>
      <c r="E56" s="522"/>
      <c r="F56" s="522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21269109.979999997</v>
      </c>
      <c r="T56" s="472">
        <f t="shared" si="3"/>
        <v>0.40081995288707967</v>
      </c>
    </row>
    <row r="57" spans="1:21" ht="13.5" thickBot="1">
      <c r="A57" s="144">
        <v>4612</v>
      </c>
      <c r="B57" s="505" t="str">
        <f>+VLOOKUP($A57,Master!$D$29:$G$225,4,FALSE)</f>
        <v>Otplata hartija od vrijednosti i kredita nerezidentima</v>
      </c>
      <c r="C57" s="506"/>
      <c r="D57" s="506"/>
      <c r="E57" s="506"/>
      <c r="F57" s="506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129599044.89</v>
      </c>
      <c r="T57" s="472">
        <f t="shared" si="3"/>
        <v>2.4423157864088649</v>
      </c>
    </row>
    <row r="58" spans="1:21" ht="13.5" thickBot="1">
      <c r="A58" s="144">
        <v>4418</v>
      </c>
      <c r="B58" s="543" t="str">
        <f>+VLOOKUP($A58,Master!$D$29:$G$225,4,FALSE)</f>
        <v>Izdaci za kupovinu hartija od vrijednosti</v>
      </c>
      <c r="C58" s="544"/>
      <c r="D58" s="544"/>
      <c r="E58" s="544"/>
      <c r="F58" s="544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25" t="str">
        <f>+VLOOKUP($A59,Master!$D$29:$G$225,4,FALSE)</f>
        <v>Nedostajuća sredstva</v>
      </c>
      <c r="C59" s="526"/>
      <c r="D59" s="526"/>
      <c r="E59" s="526"/>
      <c r="F59" s="526"/>
      <c r="G59" s="217">
        <f>+G53-G55-G58</f>
        <v>-55590945.719999984</v>
      </c>
      <c r="H59" s="217">
        <f t="shared" ref="H59:R59" si="12">+H53-H55-H58</f>
        <v>-40444127.660000004</v>
      </c>
      <c r="I59" s="217">
        <f t="shared" si="12"/>
        <v>17028970.540000029</v>
      </c>
      <c r="J59" s="217">
        <f t="shared" si="12"/>
        <v>-74992355.939999908</v>
      </c>
      <c r="K59" s="217">
        <f t="shared" si="12"/>
        <v>-33491049.609999977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-187489508.38999987</v>
      </c>
      <c r="T59" s="474">
        <f t="shared" si="3"/>
        <v>-3.533271302389565</v>
      </c>
    </row>
    <row r="60" spans="1:21" ht="13.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+SUM(G61:G64)</f>
        <v>55590945.719999984</v>
      </c>
      <c r="H60" s="151">
        <f t="shared" ref="H60:R60" si="13">+SUM(H61:H64)</f>
        <v>40444127.660000004</v>
      </c>
      <c r="I60" s="151">
        <f t="shared" si="13"/>
        <v>-17028970.540000029</v>
      </c>
      <c r="J60" s="151">
        <f t="shared" si="13"/>
        <v>74992355.939999908</v>
      </c>
      <c r="K60" s="151">
        <f t="shared" si="13"/>
        <v>33491049.609999977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187489508.38999987</v>
      </c>
      <c r="T60" s="475">
        <f t="shared" si="3"/>
        <v>3.533271302389565</v>
      </c>
    </row>
    <row r="61" spans="1:21">
      <c r="A61" s="144">
        <v>7511</v>
      </c>
      <c r="B61" s="521" t="str">
        <f>+VLOOKUP($A61,Master!$D$29:$G$225,4,FALSE)</f>
        <v>Pozajmice i krediti od domaćih izvora</v>
      </c>
      <c r="C61" s="522"/>
      <c r="D61" s="522"/>
      <c r="E61" s="522"/>
      <c r="F61" s="522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5" t="str">
        <f>+VLOOKUP($A62,Master!$D$29:$G$225,4,FALSE)</f>
        <v>Pozajmice i krediti od inostranih izvora</v>
      </c>
      <c r="C62" s="506"/>
      <c r="D62" s="506"/>
      <c r="E62" s="506"/>
      <c r="F62" s="506"/>
      <c r="G62" s="211">
        <v>12789994.92</v>
      </c>
      <c r="H62" s="211">
        <v>10460525.210000001</v>
      </c>
      <c r="I62" s="211">
        <v>1259301.6500000001</v>
      </c>
      <c r="J62" s="211">
        <v>8030214.29</v>
      </c>
      <c r="K62" s="211">
        <v>8324660.8200000003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40864696.890000001</v>
      </c>
      <c r="T62" s="472">
        <f t="shared" si="3"/>
        <v>0.77010208220262333</v>
      </c>
    </row>
    <row r="63" spans="1:21">
      <c r="A63" s="144">
        <v>72</v>
      </c>
      <c r="B63" s="505" t="str">
        <f>+VLOOKUP($A63,Master!$D$29:$G$225,4,FALSE)</f>
        <v>Primici od prodaje imovine</v>
      </c>
      <c r="C63" s="506"/>
      <c r="D63" s="506"/>
      <c r="E63" s="506"/>
      <c r="F63" s="506"/>
      <c r="G63" s="211">
        <v>693159.59000000008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1940172.66</v>
      </c>
      <c r="T63" s="472">
        <f t="shared" si="3"/>
        <v>3.6562879918588878E-2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42107791.209999986</v>
      </c>
      <c r="H64" s="225">
        <f t="shared" ref="H64:R64" si="14">-H59-SUM(H61:H63)</f>
        <v>29913063.230000004</v>
      </c>
      <c r="I64" s="225">
        <f t="shared" si="14"/>
        <v>-18672064.670000028</v>
      </c>
      <c r="J64" s="225">
        <f t="shared" si="14"/>
        <v>66195873.909999907</v>
      </c>
      <c r="K64" s="225">
        <f t="shared" si="14"/>
        <v>25139975.159999978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144684638.83999985</v>
      </c>
      <c r="T64" s="476">
        <f t="shared" si="3"/>
        <v>2.7266063402683525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85" t="str">
        <f>+Master!G252</f>
        <v>Plan ostvarenja budžeta</v>
      </c>
      <c r="C81" s="586"/>
      <c r="D81" s="586"/>
      <c r="E81" s="586"/>
      <c r="F81" s="586"/>
      <c r="G81" s="593">
        <v>2022</v>
      </c>
      <c r="H81" s="594"/>
      <c r="I81" s="594"/>
      <c r="J81" s="594"/>
      <c r="K81" s="594"/>
      <c r="L81" s="594"/>
      <c r="M81" s="594"/>
      <c r="N81" s="594"/>
      <c r="O81" s="594"/>
      <c r="P81" s="594"/>
      <c r="Q81" s="594"/>
      <c r="R81" s="595"/>
      <c r="S81" s="107" t="str">
        <f>+S7</f>
        <v>BDP</v>
      </c>
      <c r="T81" s="108">
        <v>5306400000</v>
      </c>
    </row>
    <row r="82" spans="1:21" ht="15.75" customHeight="1">
      <c r="B82" s="587"/>
      <c r="C82" s="588"/>
      <c r="D82" s="588"/>
      <c r="E82" s="588"/>
      <c r="F82" s="58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3" t="str">
        <f>+Master!G246</f>
        <v>Jan - Dec</v>
      </c>
      <c r="T82" s="595">
        <f>+T8</f>
        <v>0</v>
      </c>
    </row>
    <row r="83" spans="1:21" ht="13.5" thickBot="1">
      <c r="B83" s="590"/>
      <c r="C83" s="591"/>
      <c r="D83" s="591"/>
      <c r="E83" s="591"/>
      <c r="F83" s="59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7">+CONCATENATE(A10,"p")</f>
        <v>7p</v>
      </c>
      <c r="B84" s="581" t="str">
        <f>+VLOOKUP(LEFT($A84,LEN(A84)-1)*1,Master!$D$29:$G$225,4,FALSE)</f>
        <v>Prihodi budžeta</v>
      </c>
      <c r="C84" s="582"/>
      <c r="D84" s="582"/>
      <c r="E84" s="582"/>
      <c r="F84" s="582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83" t="str">
        <f>+VLOOKUP(LEFT($A85,LEN(A85)-1)*1,Master!$D$29:$G$225,4,FALSE)</f>
        <v>Porezi</v>
      </c>
      <c r="C85" s="584"/>
      <c r="D85" s="584"/>
      <c r="E85" s="584"/>
      <c r="F85" s="584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1" t="str">
        <f>+VLOOKUP(LEFT($A86,LEN(A86)-1)*1,Master!$D$29:$G$228,4,FALSE)</f>
        <v>Porez na dohodak fizičkih lica</v>
      </c>
      <c r="C86" s="572"/>
      <c r="D86" s="572"/>
      <c r="E86" s="572"/>
      <c r="F86" s="572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1" t="str">
        <f>+VLOOKUP(LEFT($A87,LEN(A87)-1)*1,Master!$D$29:$G$228,4,FALSE)</f>
        <v>Porez na dobit pravnih lica</v>
      </c>
      <c r="C87" s="572"/>
      <c r="D87" s="572"/>
      <c r="E87" s="572"/>
      <c r="F87" s="572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1" t="str">
        <f>+VLOOKUP(LEFT($A88,LEN(A88)-1)*1,Master!$D$29:$G$228,4,FALSE)</f>
        <v>Porez na promet nepokretnosti</v>
      </c>
      <c r="C88" s="572"/>
      <c r="D88" s="572"/>
      <c r="E88" s="572"/>
      <c r="F88" s="572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1" t="str">
        <f>+VLOOKUP(LEFT($A89,LEN(A89)-1)*1,Master!$D$29:$G$228,4,FALSE)</f>
        <v>Porez na dodatu vrijednost</v>
      </c>
      <c r="C89" s="572"/>
      <c r="D89" s="572"/>
      <c r="E89" s="572"/>
      <c r="F89" s="572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1" t="str">
        <f>+VLOOKUP(LEFT($A90,LEN(A90)-1)*1,Master!$D$29:$G$228,4,FALSE)</f>
        <v>Akcize</v>
      </c>
      <c r="C90" s="572"/>
      <c r="D90" s="572"/>
      <c r="E90" s="572"/>
      <c r="F90" s="572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1" t="str">
        <f>+VLOOKUP(LEFT($A91,LEN(A91)-1)*1,Master!$D$29:$G$228,4,FALSE)</f>
        <v>Porez na međunarodnu trgovinu i transakcije</v>
      </c>
      <c r="C91" s="572"/>
      <c r="D91" s="572"/>
      <c r="E91" s="572"/>
      <c r="F91" s="572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1" t="str">
        <f>+VLOOKUP(LEFT($A92,LEN(A92)-1)*1,Master!$D$29:$G$228,4,FALSE)</f>
        <v>Ostali državni porezi</v>
      </c>
      <c r="C92" s="572"/>
      <c r="D92" s="572"/>
      <c r="E92" s="572"/>
      <c r="F92" s="572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79" t="str">
        <f>+VLOOKUP(LEFT($A93,LEN(A93)-1)*1,Master!$D$29:$G$228,4,FALSE)</f>
        <v>Doprinosi</v>
      </c>
      <c r="C93" s="580"/>
      <c r="D93" s="580"/>
      <c r="E93" s="580"/>
      <c r="F93" s="580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1" t="str">
        <f>+VLOOKUP(LEFT($A94,LEN(A94)-1)*1,Master!$D$29:$G$228,4,FALSE)</f>
        <v>Doprinosi za penzijsko i invalidsko osiguranje</v>
      </c>
      <c r="C94" s="572"/>
      <c r="D94" s="572"/>
      <c r="E94" s="572"/>
      <c r="F94" s="572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1" t="str">
        <f>+VLOOKUP(LEFT($A95,LEN(A95)-1)*1,Master!$D$29:$G$228,4,FALSE)</f>
        <v>Doprinosi za zdravstveno osiguranje</v>
      </c>
      <c r="C95" s="572"/>
      <c r="D95" s="572"/>
      <c r="E95" s="572"/>
      <c r="F95" s="572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1" t="str">
        <f>+VLOOKUP(LEFT($A96,LEN(A96)-1)*1,Master!$D$29:$G$228,4,FALSE)</f>
        <v>Doprinosi za osiguranje od nezaposlenosti</v>
      </c>
      <c r="C96" s="572"/>
      <c r="D96" s="572"/>
      <c r="E96" s="572"/>
      <c r="F96" s="572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1" t="str">
        <f>+VLOOKUP(LEFT($A97,LEN(A97)-1)*1,Master!$D$29:$G$228,4,FALSE)</f>
        <v>Ostali doprinosi</v>
      </c>
      <c r="C97" s="572"/>
      <c r="D97" s="572"/>
      <c r="E97" s="572"/>
      <c r="F97" s="572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77" t="str">
        <f>+VLOOKUP(LEFT($A98,LEN(A98)-1)*1,Master!$D$29:$G$228,4,FALSE)</f>
        <v>Takse</v>
      </c>
      <c r="C98" s="578"/>
      <c r="D98" s="578"/>
      <c r="E98" s="578"/>
      <c r="F98" s="578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77" t="str">
        <f>+VLOOKUP(LEFT($A99,LEN(A99)-1)*1,Master!$D$29:$G$228,4,FALSE)</f>
        <v>Naknade</v>
      </c>
      <c r="C99" s="578"/>
      <c r="D99" s="578"/>
      <c r="E99" s="578"/>
      <c r="F99" s="578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77" t="str">
        <f>+VLOOKUP(LEFT($A100,LEN(A100)-1)*1,Master!$D$29:$G$228,4,FALSE)</f>
        <v>Ostali prihodi</v>
      </c>
      <c r="C100" s="578"/>
      <c r="D100" s="578"/>
      <c r="E100" s="578"/>
      <c r="F100" s="578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77" t="str">
        <f>+VLOOKUP(LEFT($A101,LEN(A101)-1)*1,Master!$D$29:$G$228,4,FALSE)</f>
        <v>Primici od otplate kredita i sredstva prenesena iz prethodne godine</v>
      </c>
      <c r="C101" s="578"/>
      <c r="D101" s="578"/>
      <c r="E101" s="578"/>
      <c r="F101" s="578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73" t="str">
        <f>+VLOOKUP(LEFT($A102,LEN(A102)-1)*1,Master!$D$29:$G$228,4,FALSE)</f>
        <v>Donacije i transferi</v>
      </c>
      <c r="C102" s="574"/>
      <c r="D102" s="574"/>
      <c r="E102" s="574"/>
      <c r="F102" s="574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55" t="str">
        <f>+VLOOKUP(LEFT($A103,LEN(A103)-1)*1,Master!$D$29:$G$228,4,FALSE)</f>
        <v>Izdaci budžeta</v>
      </c>
      <c r="C103" s="556"/>
      <c r="D103" s="556"/>
      <c r="E103" s="556"/>
      <c r="F103" s="556"/>
      <c r="G103" s="623">
        <f t="shared" ref="G103:R103" si="23">+G104+G114+G120+SUM(G121:G125)</f>
        <v>177831446.59654763</v>
      </c>
      <c r="H103" s="623">
        <f t="shared" si="23"/>
        <v>159637648.93654764</v>
      </c>
      <c r="I103" s="623">
        <f t="shared" si="23"/>
        <v>165757927.57454765</v>
      </c>
      <c r="J103" s="623">
        <f t="shared" si="23"/>
        <v>181656276.27454761</v>
      </c>
      <c r="K103" s="623">
        <f t="shared" si="23"/>
        <v>176553533.49454764</v>
      </c>
      <c r="L103" s="623">
        <f t="shared" si="23"/>
        <v>176451567.45454761</v>
      </c>
      <c r="M103" s="623">
        <f t="shared" si="23"/>
        <v>175218266.98454764</v>
      </c>
      <c r="N103" s="623">
        <f t="shared" si="23"/>
        <v>168803890.89883336</v>
      </c>
      <c r="O103" s="623">
        <f t="shared" si="23"/>
        <v>183880560.57883337</v>
      </c>
      <c r="P103" s="623">
        <f t="shared" si="23"/>
        <v>204140909.79883331</v>
      </c>
      <c r="Q103" s="623">
        <f t="shared" si="23"/>
        <v>199230681.58883333</v>
      </c>
      <c r="R103" s="62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75" t="str">
        <f>+VLOOKUP(LEFT($A104,LEN(A104)-1)*1,Master!$D$29:$G$228,4,FALSE)</f>
        <v>Tekući izdaci</v>
      </c>
      <c r="C104" s="576"/>
      <c r="D104" s="576"/>
      <c r="E104" s="576"/>
      <c r="F104" s="576"/>
      <c r="G104" s="624">
        <f t="shared" ref="G104:R104" si="24">+SUM(G105:G113)</f>
        <v>62550652.746666655</v>
      </c>
      <c r="H104" s="624">
        <f t="shared" si="24"/>
        <v>64156007.386666663</v>
      </c>
      <c r="I104" s="624">
        <f t="shared" si="24"/>
        <v>63034205.774666667</v>
      </c>
      <c r="J104" s="624">
        <f t="shared" si="24"/>
        <v>84860701.324666679</v>
      </c>
      <c r="K104" s="624">
        <f t="shared" si="24"/>
        <v>68218729.554666668</v>
      </c>
      <c r="L104" s="624">
        <f t="shared" si="24"/>
        <v>67573285.934666663</v>
      </c>
      <c r="M104" s="624">
        <f t="shared" si="24"/>
        <v>77752915.334666669</v>
      </c>
      <c r="N104" s="624">
        <f t="shared" si="24"/>
        <v>64588135.274666667</v>
      </c>
      <c r="O104" s="624">
        <f t="shared" si="24"/>
        <v>73749748.834666669</v>
      </c>
      <c r="P104" s="624">
        <f t="shared" si="24"/>
        <v>94904927.814666644</v>
      </c>
      <c r="Q104" s="624">
        <f t="shared" si="24"/>
        <v>86693469.254666656</v>
      </c>
      <c r="R104" s="625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1" t="str">
        <f>+VLOOKUP(LEFT($A105,LEN(A105)-1)*1,Master!$D$29:$G$228,4,FALSE)</f>
        <v>Bruto zarade i doprinosi na teret poslodavca</v>
      </c>
      <c r="C105" s="572"/>
      <c r="D105" s="572"/>
      <c r="E105" s="572"/>
      <c r="F105" s="572"/>
      <c r="G105" s="626">
        <v>42116720.066666663</v>
      </c>
      <c r="H105" s="626">
        <v>45499255.106666669</v>
      </c>
      <c r="I105" s="626">
        <v>45488297.416666664</v>
      </c>
      <c r="J105" s="626">
        <v>45488827.916666664</v>
      </c>
      <c r="K105" s="626">
        <v>45489920.406666666</v>
      </c>
      <c r="L105" s="626">
        <v>45490305.276666664</v>
      </c>
      <c r="M105" s="626">
        <v>45491132.876666665</v>
      </c>
      <c r="N105" s="626">
        <v>45491395.996666662</v>
      </c>
      <c r="O105" s="626">
        <v>45493143.776666671</v>
      </c>
      <c r="P105" s="626">
        <v>45484722.336666659</v>
      </c>
      <c r="Q105" s="626">
        <v>45482593.13666667</v>
      </c>
      <c r="R105" s="626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1" t="str">
        <f>+VLOOKUP(LEFT($A106,LEN(A106)-1)*1,Master!$D$29:$G$228,4,FALSE)</f>
        <v>Ostala lična primanja</v>
      </c>
      <c r="C106" s="572"/>
      <c r="D106" s="572"/>
      <c r="E106" s="572"/>
      <c r="F106" s="572"/>
      <c r="G106" s="626">
        <v>1113156.94</v>
      </c>
      <c r="H106" s="626">
        <v>1189148.69</v>
      </c>
      <c r="I106" s="626">
        <v>1150630.3799999999</v>
      </c>
      <c r="J106" s="626">
        <v>1115859.3500000001</v>
      </c>
      <c r="K106" s="626">
        <v>1113157.98</v>
      </c>
      <c r="L106" s="626">
        <v>1112991.68</v>
      </c>
      <c r="M106" s="626">
        <v>1113353.42</v>
      </c>
      <c r="N106" s="626">
        <v>1112760.3500000001</v>
      </c>
      <c r="O106" s="626">
        <v>1144213.94</v>
      </c>
      <c r="P106" s="626">
        <v>1112009.69</v>
      </c>
      <c r="Q106" s="626">
        <v>1111152.95</v>
      </c>
      <c r="R106" s="626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1" t="str">
        <f>+VLOOKUP(LEFT($A107,LEN(A107)-1)*1,Master!$D$29:$G$228,4,FALSE)</f>
        <v>Rashodi za materijal</v>
      </c>
      <c r="C107" s="572"/>
      <c r="D107" s="572"/>
      <c r="E107" s="572"/>
      <c r="F107" s="572"/>
      <c r="G107" s="626">
        <v>2009465.7299999995</v>
      </c>
      <c r="H107" s="626">
        <v>2874795.7299999991</v>
      </c>
      <c r="I107" s="626">
        <v>1986301.3299999996</v>
      </c>
      <c r="J107" s="626">
        <v>1956746.52</v>
      </c>
      <c r="K107" s="626">
        <v>1959377.06</v>
      </c>
      <c r="L107" s="626">
        <v>1959339.96</v>
      </c>
      <c r="M107" s="626">
        <v>4223114</v>
      </c>
      <c r="N107" s="626">
        <v>2325347.7000000002</v>
      </c>
      <c r="O107" s="626">
        <v>4227180.45</v>
      </c>
      <c r="P107" s="626">
        <v>5830846.0499999989</v>
      </c>
      <c r="Q107" s="626">
        <v>5816682.6699999999</v>
      </c>
      <c r="R107" s="626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1" t="str">
        <f>+VLOOKUP(LEFT($A108,LEN(A108)-1)*1,Master!$D$29:$G$228,4,FALSE)</f>
        <v>Rashodi za usluge</v>
      </c>
      <c r="C108" s="572"/>
      <c r="D108" s="572"/>
      <c r="E108" s="572"/>
      <c r="F108" s="572"/>
      <c r="G108" s="626">
        <v>3521944.0499999989</v>
      </c>
      <c r="H108" s="626">
        <v>3202572.2000000016</v>
      </c>
      <c r="I108" s="626">
        <v>3202153.21</v>
      </c>
      <c r="J108" s="626">
        <v>3981055.8700000015</v>
      </c>
      <c r="K108" s="626">
        <v>3966204.5600000015</v>
      </c>
      <c r="L108" s="626">
        <v>4355673.6900000004</v>
      </c>
      <c r="M108" s="626">
        <v>7092836.1399999987</v>
      </c>
      <c r="N108" s="626">
        <v>4331849.03</v>
      </c>
      <c r="O108" s="626">
        <v>6165776.4499999974</v>
      </c>
      <c r="P108" s="626">
        <v>7804737.9599999953</v>
      </c>
      <c r="Q108" s="626">
        <v>7600289.8199999947</v>
      </c>
      <c r="R108" s="626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1" t="str">
        <f>+VLOOKUP(LEFT($A109,LEN(A109)-1)*1,Master!$D$29:$G$228,4,FALSE)</f>
        <v>Rashodi za tekuće održavanje</v>
      </c>
      <c r="C109" s="572"/>
      <c r="D109" s="572"/>
      <c r="E109" s="572"/>
      <c r="F109" s="572"/>
      <c r="G109" s="626">
        <v>1482084.5400000005</v>
      </c>
      <c r="H109" s="626">
        <v>1461485.3000000003</v>
      </c>
      <c r="I109" s="626">
        <v>1646265.1700000002</v>
      </c>
      <c r="J109" s="626">
        <v>1750230.6700000004</v>
      </c>
      <c r="K109" s="626">
        <v>1756101.9100000004</v>
      </c>
      <c r="L109" s="626">
        <v>1756101.9100000004</v>
      </c>
      <c r="M109" s="626">
        <v>2627886.0200000009</v>
      </c>
      <c r="N109" s="626">
        <v>1747230.6700000004</v>
      </c>
      <c r="O109" s="626">
        <v>2627886.0200000009</v>
      </c>
      <c r="P109" s="626">
        <v>3499649.6000000006</v>
      </c>
      <c r="Q109" s="626">
        <v>3488586.12</v>
      </c>
      <c r="R109" s="626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1" t="str">
        <f>+VLOOKUP(LEFT($A110,LEN(A110)-1)*1,Master!$D$29:$G$228,4,FALSE)</f>
        <v>Kamate</v>
      </c>
      <c r="C110" s="572"/>
      <c r="D110" s="572"/>
      <c r="E110" s="572"/>
      <c r="F110" s="572"/>
      <c r="G110" s="626">
        <v>4229041.6800000006</v>
      </c>
      <c r="H110" s="626">
        <v>1039259.3500000003</v>
      </c>
      <c r="I110" s="626">
        <v>1331158.92</v>
      </c>
      <c r="J110" s="626">
        <v>22646995.380000003</v>
      </c>
      <c r="K110" s="626">
        <v>6067854.2499999991</v>
      </c>
      <c r="L110" s="626">
        <v>5081336.79</v>
      </c>
      <c r="M110" s="626">
        <v>4060077.8100000005</v>
      </c>
      <c r="N110" s="626">
        <v>1150681.1799999997</v>
      </c>
      <c r="O110" s="626">
        <v>1101986.1700000002</v>
      </c>
      <c r="P110" s="626">
        <v>13628170.610000001</v>
      </c>
      <c r="Q110" s="626">
        <v>5965119.169999999</v>
      </c>
      <c r="R110" s="626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1" t="str">
        <f>+VLOOKUP(LEFT($A111,LEN(A111)-1)*1,Master!$D$29:$G$228,4,FALSE)</f>
        <v>Renta</v>
      </c>
      <c r="C111" s="572"/>
      <c r="D111" s="572"/>
      <c r="E111" s="572"/>
      <c r="F111" s="572"/>
      <c r="G111" s="626">
        <v>1114759.2699999998</v>
      </c>
      <c r="H111" s="626">
        <v>962655.17999999982</v>
      </c>
      <c r="I111" s="626">
        <v>962640.17999999982</v>
      </c>
      <c r="J111" s="626">
        <v>962640.17999999982</v>
      </c>
      <c r="K111" s="626">
        <v>962625.18999999983</v>
      </c>
      <c r="L111" s="626">
        <v>962625.17999999982</v>
      </c>
      <c r="M111" s="626">
        <v>962625.18999999983</v>
      </c>
      <c r="N111" s="626">
        <v>962625.17999999982</v>
      </c>
      <c r="O111" s="626">
        <v>962625.17999999982</v>
      </c>
      <c r="P111" s="626">
        <v>961836.57999999984</v>
      </c>
      <c r="Q111" s="626">
        <v>789373.07</v>
      </c>
      <c r="R111" s="626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1" t="str">
        <f>+VLOOKUP(LEFT($A112,LEN(A112)-1)*1,Master!$D$29:$G$228,4,FALSE)</f>
        <v>Subvencije</v>
      </c>
      <c r="C112" s="572"/>
      <c r="D112" s="572"/>
      <c r="E112" s="572"/>
      <c r="F112" s="572"/>
      <c r="G112" s="626">
        <v>3647138.83</v>
      </c>
      <c r="H112" s="626">
        <v>3917138.83</v>
      </c>
      <c r="I112" s="626">
        <v>3632138.83</v>
      </c>
      <c r="J112" s="626">
        <v>3632138.83</v>
      </c>
      <c r="K112" s="626">
        <v>3444638.83</v>
      </c>
      <c r="L112" s="626">
        <v>3444638.83</v>
      </c>
      <c r="M112" s="626">
        <v>6055944.3200000003</v>
      </c>
      <c r="N112" s="626">
        <v>3444638.83</v>
      </c>
      <c r="O112" s="626">
        <v>6055944.3200000003</v>
      </c>
      <c r="P112" s="626">
        <v>8667249.7999999989</v>
      </c>
      <c r="Q112" s="626">
        <v>8667249.7999999989</v>
      </c>
      <c r="R112" s="626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1" t="str">
        <f>+VLOOKUP(LEFT($A113,LEN(A113)-1)*1,Master!$D$29:$G$228,4,FALSE)</f>
        <v>Ostali izdaci</v>
      </c>
      <c r="C113" s="572"/>
      <c r="D113" s="572"/>
      <c r="E113" s="572"/>
      <c r="F113" s="572"/>
      <c r="G113" s="626">
        <v>3316341.6399999992</v>
      </c>
      <c r="H113" s="626">
        <v>4009697</v>
      </c>
      <c r="I113" s="626">
        <v>3634620.3380000009</v>
      </c>
      <c r="J113" s="626">
        <v>3326206.6079999981</v>
      </c>
      <c r="K113" s="626">
        <v>3458849.3679999984</v>
      </c>
      <c r="L113" s="626">
        <v>3410272.6179999989</v>
      </c>
      <c r="M113" s="626">
        <v>6125945.5580000011</v>
      </c>
      <c r="N113" s="626">
        <v>4021606.3380000009</v>
      </c>
      <c r="O113" s="626">
        <v>5970992.5280000009</v>
      </c>
      <c r="P113" s="626">
        <v>7915705.1879999992</v>
      </c>
      <c r="Q113" s="626">
        <v>7772422.5180000002</v>
      </c>
      <c r="R113" s="626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67" t="str">
        <f>+VLOOKUP(LEFT($A114,LEN(A114)-1)*1,Master!$D$29:$G$228,4,FALSE)</f>
        <v>Transferi za socijalnu zaštitu</v>
      </c>
      <c r="C114" s="568"/>
      <c r="D114" s="568"/>
      <c r="E114" s="568"/>
      <c r="F114" s="568"/>
      <c r="G114" s="627">
        <f t="shared" ref="G114:R114" si="25">+SUM(G115:G119)</f>
        <v>51655501.199880958</v>
      </c>
      <c r="H114" s="627">
        <f t="shared" si="25"/>
        <v>50843848.149880961</v>
      </c>
      <c r="I114" s="627">
        <f t="shared" si="25"/>
        <v>52476514.839880966</v>
      </c>
      <c r="J114" s="627">
        <f t="shared" si="25"/>
        <v>51481848.149880961</v>
      </c>
      <c r="K114" s="627">
        <f t="shared" si="25"/>
        <v>55008848.149880961</v>
      </c>
      <c r="L114" s="627">
        <f t="shared" si="25"/>
        <v>55102848.149880961</v>
      </c>
      <c r="M114" s="627">
        <f t="shared" si="25"/>
        <v>54796848.149880961</v>
      </c>
      <c r="N114" s="627">
        <f t="shared" si="25"/>
        <v>55319453.584166676</v>
      </c>
      <c r="O114" s="627">
        <f t="shared" si="25"/>
        <v>54859133.86416667</v>
      </c>
      <c r="P114" s="627">
        <f t="shared" si="25"/>
        <v>55191133.86416667</v>
      </c>
      <c r="Q114" s="627">
        <f t="shared" si="25"/>
        <v>56919133.86416667</v>
      </c>
      <c r="R114" s="627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1" t="str">
        <f>+VLOOKUP(LEFT($A115,LEN(A115)-1)*1,Master!$D$29:$G$228,4,FALSE)</f>
        <v>Prava iz oblasti socijalne zaštite</v>
      </c>
      <c r="C115" s="572"/>
      <c r="D115" s="572"/>
      <c r="E115" s="572"/>
      <c r="F115" s="572"/>
      <c r="G115" s="626">
        <v>9199047.6323809531</v>
      </c>
      <c r="H115" s="626">
        <v>9199047.6323809531</v>
      </c>
      <c r="I115" s="626">
        <v>9199047.6323809531</v>
      </c>
      <c r="J115" s="626">
        <v>9199047.6323809531</v>
      </c>
      <c r="K115" s="626">
        <v>12324047.632380953</v>
      </c>
      <c r="L115" s="626">
        <v>12324047.632380953</v>
      </c>
      <c r="M115" s="626">
        <v>12324047.632380953</v>
      </c>
      <c r="N115" s="626">
        <v>11938333.346666668</v>
      </c>
      <c r="O115" s="626">
        <v>11938333.346666668</v>
      </c>
      <c r="P115" s="626">
        <v>11938333.346666668</v>
      </c>
      <c r="Q115" s="626">
        <v>14138333.346666666</v>
      </c>
      <c r="R115" s="626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1" t="str">
        <f>+VLOOKUP(LEFT($A116,LEN(A116)-1)*1,Master!$D$29:$G$228,4,FALSE)</f>
        <v>Sredstva za tehnološke viškove</v>
      </c>
      <c r="C116" s="572"/>
      <c r="D116" s="572"/>
      <c r="E116" s="572"/>
      <c r="F116" s="572"/>
      <c r="G116" s="626">
        <v>2893986.39</v>
      </c>
      <c r="H116" s="626">
        <v>2291666.67</v>
      </c>
      <c r="I116" s="626">
        <v>2291666.67</v>
      </c>
      <c r="J116" s="626">
        <v>2291666.67</v>
      </c>
      <c r="K116" s="626">
        <v>2291666.67</v>
      </c>
      <c r="L116" s="626">
        <v>2291666.67</v>
      </c>
      <c r="M116" s="626">
        <v>2291666.67</v>
      </c>
      <c r="N116" s="626">
        <v>2893986.39</v>
      </c>
      <c r="O116" s="626">
        <v>2291666.67</v>
      </c>
      <c r="P116" s="626">
        <v>2291666.67</v>
      </c>
      <c r="Q116" s="626">
        <v>2291666.67</v>
      </c>
      <c r="R116" s="626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1" t="str">
        <f>+VLOOKUP(LEFT($A117,LEN(A117)-1)*1,Master!$D$29:$G$228,4,FALSE)</f>
        <v>Prava iz oblasti penzijskog i invalidskog osiguranja</v>
      </c>
      <c r="C117" s="572"/>
      <c r="D117" s="572"/>
      <c r="E117" s="572"/>
      <c r="F117" s="572"/>
      <c r="G117" s="626">
        <v>38029133.847500004</v>
      </c>
      <c r="H117" s="626">
        <v>38029133.847500004</v>
      </c>
      <c r="I117" s="626">
        <v>38029133.847500004</v>
      </c>
      <c r="J117" s="626">
        <v>38029133.847500004</v>
      </c>
      <c r="K117" s="626">
        <v>38029133.847500004</v>
      </c>
      <c r="L117" s="626">
        <v>38029133.847500004</v>
      </c>
      <c r="M117" s="626">
        <v>38029133.847500004</v>
      </c>
      <c r="N117" s="626">
        <v>38029133.847500004</v>
      </c>
      <c r="O117" s="626">
        <v>38029133.847500004</v>
      </c>
      <c r="P117" s="626">
        <v>38929133.847500004</v>
      </c>
      <c r="Q117" s="626">
        <v>38929133.847500004</v>
      </c>
      <c r="R117" s="626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1" t="str">
        <f>+VLOOKUP(LEFT($A118,LEN(A118)-1)*1,Master!$D$29:$G$228,4,FALSE)</f>
        <v>Ostala prava iz oblasti zdravstvene zaštite</v>
      </c>
      <c r="C118" s="572"/>
      <c r="D118" s="572"/>
      <c r="E118" s="572"/>
      <c r="F118" s="572"/>
      <c r="G118" s="626">
        <v>943333.33</v>
      </c>
      <c r="H118" s="626">
        <v>852000</v>
      </c>
      <c r="I118" s="626">
        <v>1186666.67</v>
      </c>
      <c r="J118" s="626">
        <v>1136000</v>
      </c>
      <c r="K118" s="626">
        <v>1420000</v>
      </c>
      <c r="L118" s="626">
        <v>1278000</v>
      </c>
      <c r="M118" s="626">
        <v>1562000</v>
      </c>
      <c r="N118" s="626">
        <v>1278000</v>
      </c>
      <c r="O118" s="626">
        <v>1420000</v>
      </c>
      <c r="P118" s="626">
        <v>852000</v>
      </c>
      <c r="Q118" s="626">
        <v>852000</v>
      </c>
      <c r="R118" s="626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1" t="str">
        <f>+VLOOKUP(LEFT($A119,LEN(A119)-1)*1,Master!$D$29:$G$228,4,FALSE)</f>
        <v>Ostala prava iz zdravstvenog osiguranja</v>
      </c>
      <c r="C119" s="572"/>
      <c r="D119" s="572"/>
      <c r="E119" s="572"/>
      <c r="F119" s="572"/>
      <c r="G119" s="626">
        <v>590000</v>
      </c>
      <c r="H119" s="626">
        <v>472000</v>
      </c>
      <c r="I119" s="626">
        <v>1770000.02</v>
      </c>
      <c r="J119" s="626">
        <v>826000</v>
      </c>
      <c r="K119" s="626">
        <v>944000</v>
      </c>
      <c r="L119" s="626">
        <v>1180000</v>
      </c>
      <c r="M119" s="626">
        <v>590000</v>
      </c>
      <c r="N119" s="626">
        <v>1180000</v>
      </c>
      <c r="O119" s="626">
        <v>1180000</v>
      </c>
      <c r="P119" s="626">
        <v>1180000</v>
      </c>
      <c r="Q119" s="626">
        <v>708000</v>
      </c>
      <c r="R119" s="626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69" t="str">
        <f>+VLOOKUP(LEFT($A120,LEN(A120)-1)*1,Master!$D$29:$G$228,4,FALSE)</f>
        <v xml:space="preserve">Transferi institucijama, pojedincima, nevladinom i javnom sektoru </v>
      </c>
      <c r="C120" s="570"/>
      <c r="D120" s="570"/>
      <c r="E120" s="570"/>
      <c r="F120" s="570"/>
      <c r="G120" s="628">
        <v>22444871.560000002</v>
      </c>
      <c r="H120" s="628">
        <v>23941685.57</v>
      </c>
      <c r="I120" s="628">
        <v>26995988.960000001</v>
      </c>
      <c r="J120" s="628">
        <v>20625695.450000003</v>
      </c>
      <c r="K120" s="628">
        <v>20912992.140000004</v>
      </c>
      <c r="L120" s="628">
        <v>21015003.09</v>
      </c>
      <c r="M120" s="628">
        <v>20912172.160000004</v>
      </c>
      <c r="N120" s="628">
        <v>22653446.830000002</v>
      </c>
      <c r="O120" s="628">
        <v>24411188.830000002</v>
      </c>
      <c r="P120" s="628">
        <v>21012710.830000002</v>
      </c>
      <c r="Q120" s="628">
        <v>20910855.890000001</v>
      </c>
      <c r="R120" s="628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69" t="str">
        <f>+VLOOKUP(LEFT($A121,LEN(A121)-1)*1,Master!$D$29:$G$228,4,FALSE)</f>
        <v>Kapitalni izdaci</v>
      </c>
      <c r="C121" s="570"/>
      <c r="D121" s="570"/>
      <c r="E121" s="570"/>
      <c r="F121" s="570"/>
      <c r="G121" s="628">
        <v>19668608.670000002</v>
      </c>
      <c r="H121" s="628">
        <v>15424249.750000004</v>
      </c>
      <c r="I121" s="628">
        <v>18221026.579999998</v>
      </c>
      <c r="J121" s="628">
        <v>19416173.270000003</v>
      </c>
      <c r="K121" s="628">
        <v>27382772.230000004</v>
      </c>
      <c r="L121" s="628">
        <v>27488572.200000007</v>
      </c>
      <c r="M121" s="628">
        <v>20098257.600000001</v>
      </c>
      <c r="N121" s="628">
        <v>17598879.450000007</v>
      </c>
      <c r="O121" s="628">
        <v>22458179.949999999</v>
      </c>
      <c r="P121" s="628">
        <v>24388161.529999994</v>
      </c>
      <c r="Q121" s="628">
        <v>22932795.809999995</v>
      </c>
      <c r="R121" s="628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1" t="str">
        <f>+VLOOKUP(LEFT($A122,LEN(A122)-1)*1,Master!$D$29:$G$228,4,FALSE)</f>
        <v>Pozajmice i krediti</v>
      </c>
      <c r="C122" s="562"/>
      <c r="D122" s="562"/>
      <c r="E122" s="562"/>
      <c r="F122" s="562"/>
      <c r="G122" s="626">
        <v>2000.08</v>
      </c>
      <c r="H122" s="626">
        <v>243666.74</v>
      </c>
      <c r="I122" s="626">
        <v>2000.08</v>
      </c>
      <c r="J122" s="626">
        <v>243666.74</v>
      </c>
      <c r="K122" s="626">
        <v>2000.08</v>
      </c>
      <c r="L122" s="626">
        <v>243666.74</v>
      </c>
      <c r="M122" s="626">
        <v>2000.08</v>
      </c>
      <c r="N122" s="626">
        <v>243666.74</v>
      </c>
      <c r="O122" s="626">
        <v>2000.08</v>
      </c>
      <c r="P122" s="626">
        <v>243666.74</v>
      </c>
      <c r="Q122" s="626">
        <v>2000.08</v>
      </c>
      <c r="R122" s="626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1" t="str">
        <f>+VLOOKUP(LEFT($A123,LEN(A123)-1)*1,Master!$D$29:$G$228,4,FALSE)</f>
        <v>Rezerve</v>
      </c>
      <c r="C123" s="562"/>
      <c r="D123" s="562"/>
      <c r="E123" s="562"/>
      <c r="F123" s="562"/>
      <c r="G123" s="626">
        <v>3372117.68</v>
      </c>
      <c r="H123" s="626">
        <v>3372117.68</v>
      </c>
      <c r="I123" s="626">
        <v>3372117.68</v>
      </c>
      <c r="J123" s="626">
        <v>3372117.68</v>
      </c>
      <c r="K123" s="626">
        <v>3372117.68</v>
      </c>
      <c r="L123" s="626">
        <v>3372117.68</v>
      </c>
      <c r="M123" s="626">
        <v>0</v>
      </c>
      <c r="N123" s="626">
        <v>6744235.3600000003</v>
      </c>
      <c r="O123" s="626">
        <v>6744235.3600000003</v>
      </c>
      <c r="P123" s="626">
        <v>6744235.3600000003</v>
      </c>
      <c r="Q123" s="626">
        <v>10116353.029999999</v>
      </c>
      <c r="R123" s="626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1" t="str">
        <f>+VLOOKUP(LEFT($A124,LEN(A124)-1)*1,Master!$D$29:$G$228,4,FALSE)</f>
        <v>Otplata garancija</v>
      </c>
      <c r="C124" s="562"/>
      <c r="D124" s="562"/>
      <c r="E124" s="562"/>
      <c r="F124" s="562"/>
      <c r="G124" s="626">
        <v>0</v>
      </c>
      <c r="H124" s="626">
        <v>0</v>
      </c>
      <c r="I124" s="626">
        <v>0</v>
      </c>
      <c r="J124" s="626">
        <v>0</v>
      </c>
      <c r="K124" s="626">
        <v>0</v>
      </c>
      <c r="L124" s="626">
        <v>0</v>
      </c>
      <c r="M124" s="626">
        <v>0</v>
      </c>
      <c r="N124" s="626">
        <v>0</v>
      </c>
      <c r="O124" s="626">
        <v>0</v>
      </c>
      <c r="P124" s="626">
        <v>0</v>
      </c>
      <c r="Q124" s="626">
        <v>0</v>
      </c>
      <c r="R124" s="626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1" t="str">
        <f>+VLOOKUP(LEFT($A125,LEN(A125)-1)*1,Master!$D$29:$G$228,4,FALSE)</f>
        <v>Otplata obaveza iz prethodnog perioda</v>
      </c>
      <c r="C125" s="562"/>
      <c r="D125" s="562"/>
      <c r="E125" s="562"/>
      <c r="F125" s="562"/>
      <c r="G125" s="626">
        <v>18137694.66</v>
      </c>
      <c r="H125" s="626">
        <v>1656073.6600000036</v>
      </c>
      <c r="I125" s="626">
        <v>1656073.6600000036</v>
      </c>
      <c r="J125" s="626">
        <v>1656073.6600000036</v>
      </c>
      <c r="K125" s="626">
        <v>1656073.6600000036</v>
      </c>
      <c r="L125" s="626">
        <v>1656073.6600000036</v>
      </c>
      <c r="M125" s="626">
        <v>1656073.6600000036</v>
      </c>
      <c r="N125" s="626">
        <v>1656073.6600000036</v>
      </c>
      <c r="O125" s="626">
        <v>1656073.6600000036</v>
      </c>
      <c r="P125" s="626">
        <v>1656073.6600000036</v>
      </c>
      <c r="Q125" s="626">
        <v>1656073.6600000036</v>
      </c>
      <c r="R125" s="626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1" t="str">
        <f>+VLOOKUP(LEFT($A126,LEN(A126)-1)*1,Master!$D$29:$G$228,4,FALSE)</f>
        <v>Neto povećanje obaveza</v>
      </c>
      <c r="C126" s="562"/>
      <c r="D126" s="562"/>
      <c r="E126" s="562"/>
      <c r="F126" s="562"/>
      <c r="G126" s="626">
        <v>0</v>
      </c>
      <c r="H126" s="626">
        <v>0</v>
      </c>
      <c r="I126" s="626">
        <v>0</v>
      </c>
      <c r="J126" s="626">
        <v>0</v>
      </c>
      <c r="K126" s="626">
        <v>0</v>
      </c>
      <c r="L126" s="626">
        <v>0</v>
      </c>
      <c r="M126" s="626">
        <v>0</v>
      </c>
      <c r="N126" s="626">
        <v>0</v>
      </c>
      <c r="O126" s="626">
        <v>0</v>
      </c>
      <c r="P126" s="626">
        <v>0</v>
      </c>
      <c r="Q126" s="626">
        <v>0</v>
      </c>
      <c r="R126" s="626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63" t="str">
        <f>+VLOOKUP(LEFT($A127,LEN(A127)-1)*1,Master!$D$29:$G$225,4,FALSE)</f>
        <v>Suficit / deficit</v>
      </c>
      <c r="C127" s="564"/>
      <c r="D127" s="564"/>
      <c r="E127" s="564"/>
      <c r="F127" s="564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65" t="str">
        <f>+VLOOKUP(LEFT($A128,LEN(A128)-1)*1,Master!$D$29:$G$225,4,FALSE)</f>
        <v>Primarni suficit/deficit</v>
      </c>
      <c r="C128" s="566"/>
      <c r="D128" s="566"/>
      <c r="E128" s="566"/>
      <c r="F128" s="566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67" t="str">
        <f>+VLOOKUP(LEFT($A129,LEN(A129)-1)*1,Master!$D$29:$G$225,4,FALSE)</f>
        <v>Otplata dugova</v>
      </c>
      <c r="C129" s="568"/>
      <c r="D129" s="568"/>
      <c r="E129" s="568"/>
      <c r="F129" s="568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59" t="str">
        <f>+VLOOKUP(LEFT($A130,LEN(A130)-1)*1,Master!$D$29:$G$225,4,FALSE)</f>
        <v>Otplata hartija od vrijednosti i kredita rezidentima</v>
      </c>
      <c r="C130" s="560"/>
      <c r="D130" s="560"/>
      <c r="E130" s="560"/>
      <c r="F130" s="560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1" t="str">
        <f>+VLOOKUP(LEFT($A131,LEN(A131)-1)*1,Master!$D$29:$G$225,4,FALSE)</f>
        <v>Otplata hartija od vrijednosti i kredita nerezidentima</v>
      </c>
      <c r="C131" s="562"/>
      <c r="D131" s="562"/>
      <c r="E131" s="562"/>
      <c r="F131" s="562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55" t="str">
        <f>+VLOOKUP(LEFT($A132,LEN(A132)-1)*1,Master!$D$29:$G$225,4,FALSE)</f>
        <v>Izdaci za kupovinu hartija od vrijednosti</v>
      </c>
      <c r="C132" s="556"/>
      <c r="D132" s="556"/>
      <c r="E132" s="556"/>
      <c r="F132" s="556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57" t="str">
        <f>+VLOOKUP(LEFT($A133,LEN(A133)-1)*1,Master!$D$29:$G$225,4,FALSE)</f>
        <v>Nedostajuća sredstva</v>
      </c>
      <c r="C133" s="558"/>
      <c r="D133" s="558"/>
      <c r="E133" s="558"/>
      <c r="F133" s="558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55" t="str">
        <f>+VLOOKUP(LEFT($A134,LEN(A134)-1)*1,Master!$D$29:$G$225,4,FALSE)</f>
        <v>Finansiranje</v>
      </c>
      <c r="C134" s="556"/>
      <c r="D134" s="556"/>
      <c r="E134" s="556"/>
      <c r="F134" s="556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59" t="str">
        <f>+VLOOKUP(LEFT($A135,LEN(A135)-1)*1,Master!$D$29:$G$225,4,FALSE)</f>
        <v>Pozajmice i krediti od domaćih izvora</v>
      </c>
      <c r="C135" s="560"/>
      <c r="D135" s="560"/>
      <c r="E135" s="560"/>
      <c r="F135" s="560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1" t="str">
        <f>+VLOOKUP(LEFT($A136,LEN(A136)-1)*1,Master!$D$29:$G$225,4,FALSE)</f>
        <v>Pozajmice i krediti od inostranih izvora</v>
      </c>
      <c r="C136" s="562"/>
      <c r="D136" s="562"/>
      <c r="E136" s="562"/>
      <c r="F136" s="562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1" t="str">
        <f>+VLOOKUP(LEFT($A137,LEN(A137)-1)*1,Master!$D$29:$G$225,4,FALSE)</f>
        <v>Primici od prodaje imovine</v>
      </c>
      <c r="C137" s="562"/>
      <c r="D137" s="562"/>
      <c r="E137" s="562"/>
      <c r="F137" s="562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Yv/MfvcwruGYEbCGTMPJBn4P677v8dwC2q46x1KNDCvp1FAjpNZMBQ3LmbfiVCPChrSfbfdgLOsm5g2/Ow2t0Q==" saltValue="ZOr4MQ8EUCWXp9yrFe/zV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J11" sqref="J11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8" t="str">
        <f>+Master!G251</f>
        <v>Ostvarenje budžeta</v>
      </c>
      <c r="C7" s="508"/>
      <c r="D7" s="508"/>
      <c r="E7" s="508"/>
      <c r="F7" s="508"/>
      <c r="G7" s="516">
        <v>2021</v>
      </c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20"/>
      <c r="S7" s="235" t="str">
        <f>+Master!G248</f>
        <v>BDP</v>
      </c>
      <c r="T7" s="236">
        <v>4881300000</v>
      </c>
    </row>
    <row r="8" spans="1:20" ht="16.5" customHeight="1">
      <c r="A8" s="144"/>
      <c r="B8" s="509"/>
      <c r="C8" s="510"/>
      <c r="D8" s="510"/>
      <c r="E8" s="510"/>
      <c r="F8" s="51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6" t="str">
        <f>+Master!G246</f>
        <v>Jan - Dec</v>
      </c>
      <c r="T8" s="520"/>
    </row>
    <row r="9" spans="1:20" ht="13.5" thickBot="1">
      <c r="A9" s="144"/>
      <c r="B9" s="512"/>
      <c r="C9" s="513"/>
      <c r="D9" s="513"/>
      <c r="E9" s="513"/>
      <c r="F9" s="51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9" t="str">
        <f>+VLOOKUP($A10,Master!$D$29:$G$225,4,FALSE)</f>
        <v>Prihodi budžeta</v>
      </c>
      <c r="C10" s="550"/>
      <c r="D10" s="550"/>
      <c r="E10" s="550"/>
      <c r="F10" s="550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51" t="str">
        <f>+VLOOKUP($A11,Master!$D$29:$G$225,4,FALSE)</f>
        <v>Porezi</v>
      </c>
      <c r="C11" s="552"/>
      <c r="D11" s="552"/>
      <c r="E11" s="552"/>
      <c r="F11" s="552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37" t="str">
        <f>+VLOOKUP($A12,Master!$D$29:$G$225,4,FALSE)</f>
        <v>Porez na dohodak fizičkih lica</v>
      </c>
      <c r="C12" s="538"/>
      <c r="D12" s="538"/>
      <c r="E12" s="538"/>
      <c r="F12" s="538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37" t="str">
        <f>+VLOOKUP($A13,Master!$D$29:$G$225,4,FALSE)</f>
        <v>Porez na dobit pravnih lica</v>
      </c>
      <c r="C13" s="538"/>
      <c r="D13" s="538"/>
      <c r="E13" s="538"/>
      <c r="F13" s="538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37" t="str">
        <f>+VLOOKUP($A14,Master!$D$29:$G$225,4,FALSE)</f>
        <v>Porez na promet nepokretnosti</v>
      </c>
      <c r="C14" s="538"/>
      <c r="D14" s="538"/>
      <c r="E14" s="538"/>
      <c r="F14" s="538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37" t="str">
        <f>+VLOOKUP($A15,Master!$D$29:$G$225,4,FALSE)</f>
        <v>Porez na dodatu vrijednost</v>
      </c>
      <c r="C15" s="538"/>
      <c r="D15" s="538"/>
      <c r="E15" s="538"/>
      <c r="F15" s="538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37" t="str">
        <f>+VLOOKUP($A16,Master!$D$29:$G$225,4,FALSE)</f>
        <v>Akcize</v>
      </c>
      <c r="C16" s="538"/>
      <c r="D16" s="538"/>
      <c r="E16" s="538"/>
      <c r="F16" s="538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37" t="str">
        <f>+VLOOKUP($A17,Master!$D$29:$G$225,4,FALSE)</f>
        <v>Porez na međunarodnu trgovinu i transakcije</v>
      </c>
      <c r="C17" s="538"/>
      <c r="D17" s="538"/>
      <c r="E17" s="538"/>
      <c r="F17" s="538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37" t="str">
        <f>+VLOOKUP($A18,Master!$D$29:$G$225,4,FALSE)</f>
        <v>Ostali državni porezi</v>
      </c>
      <c r="C18" s="538"/>
      <c r="D18" s="538"/>
      <c r="E18" s="538"/>
      <c r="F18" s="538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47" t="str">
        <f>+VLOOKUP($A19,Master!$D$29:$G$225,4,FALSE)</f>
        <v>Doprinosi</v>
      </c>
      <c r="C19" s="548"/>
      <c r="D19" s="548"/>
      <c r="E19" s="548"/>
      <c r="F19" s="548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37" t="str">
        <f>+VLOOKUP($A20,Master!$D$29:$G$225,4,FALSE)</f>
        <v>Doprinosi za penzijsko i invalidsko osiguranje</v>
      </c>
      <c r="C20" s="538"/>
      <c r="D20" s="538"/>
      <c r="E20" s="538"/>
      <c r="F20" s="538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37" t="str">
        <f>+VLOOKUP($A21,Master!$D$29:$G$225,4,FALSE)</f>
        <v>Doprinosi za zdravstveno osiguranje</v>
      </c>
      <c r="C21" s="538"/>
      <c r="D21" s="538"/>
      <c r="E21" s="538"/>
      <c r="F21" s="538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37" t="str">
        <f>+VLOOKUP($A22,Master!$D$29:$G$225,4,FALSE)</f>
        <v>Doprinosi za osiguranje od nezaposlenosti</v>
      </c>
      <c r="C22" s="538"/>
      <c r="D22" s="538"/>
      <c r="E22" s="538"/>
      <c r="F22" s="538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37" t="str">
        <f>+VLOOKUP($A23,Master!$D$29:$G$225,4,FALSE)</f>
        <v>Ostali doprinosi</v>
      </c>
      <c r="C23" s="538"/>
      <c r="D23" s="538"/>
      <c r="E23" s="538"/>
      <c r="F23" s="538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39" t="str">
        <f>+VLOOKUP($A24,Master!$D$29:$G$225,4,FALSE)</f>
        <v>Takse</v>
      </c>
      <c r="C24" s="540"/>
      <c r="D24" s="540"/>
      <c r="E24" s="540"/>
      <c r="F24" s="540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39" t="str">
        <f>+VLOOKUP($A25,Master!$D$29:$G$225,4,FALSE)</f>
        <v>Naknade</v>
      </c>
      <c r="C25" s="540"/>
      <c r="D25" s="540"/>
      <c r="E25" s="540"/>
      <c r="F25" s="540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39" t="str">
        <f>+VLOOKUP($A26,Master!$D$29:$G$225,4,FALSE)</f>
        <v>Ostali prihodi</v>
      </c>
      <c r="C26" s="540"/>
      <c r="D26" s="540"/>
      <c r="E26" s="540"/>
      <c r="F26" s="540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39" t="str">
        <f>+VLOOKUP($A27,Master!$D$29:$G$225,4,FALSE)</f>
        <v>Primici od otplate kredita i sredstva prenesena iz prethodne godine</v>
      </c>
      <c r="C27" s="540"/>
      <c r="D27" s="540"/>
      <c r="E27" s="540"/>
      <c r="F27" s="540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41" t="str">
        <f>+VLOOKUP($A28,Master!$D$29:$G$225,4,FALSE)</f>
        <v>Donacije i transferi</v>
      </c>
      <c r="C28" s="542"/>
      <c r="D28" s="542"/>
      <c r="E28" s="542"/>
      <c r="F28" s="542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45" t="str">
        <f>+VLOOKUP($A30,Master!$D$29:$G$225,4,FALSE)</f>
        <v>Tekući izdaci</v>
      </c>
      <c r="C30" s="546"/>
      <c r="D30" s="546"/>
      <c r="E30" s="546"/>
      <c r="F30" s="546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37" t="str">
        <f>+VLOOKUP($A31,Master!$D$29:$G$225,4,FALSE)</f>
        <v>Bruto zarade i doprinosi na teret poslodavca</v>
      </c>
      <c r="C31" s="538"/>
      <c r="D31" s="538"/>
      <c r="E31" s="538"/>
      <c r="F31" s="538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37" t="str">
        <f>+VLOOKUP($A32,Master!$D$29:$G$225,4,FALSE)</f>
        <v>Ostala lična primanja</v>
      </c>
      <c r="C32" s="538"/>
      <c r="D32" s="538"/>
      <c r="E32" s="538"/>
      <c r="F32" s="538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37" t="str">
        <f>+VLOOKUP($A33,Master!$D$29:$G$225,4,FALSE)</f>
        <v>Rashodi za materijal</v>
      </c>
      <c r="C33" s="538"/>
      <c r="D33" s="538"/>
      <c r="E33" s="538"/>
      <c r="F33" s="538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06" t="str">
        <f>+VLOOKUP($A34,Master!$D$29:$G$225,4,FALSE)</f>
        <v>Rashodi za usluge</v>
      </c>
      <c r="C34" s="607"/>
      <c r="D34" s="607"/>
      <c r="E34" s="607"/>
      <c r="F34" s="607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37" t="str">
        <f>+VLOOKUP($A35,Master!$D$29:$G$225,4,FALSE)</f>
        <v>Rashodi za tekuće održavanje</v>
      </c>
      <c r="C35" s="538"/>
      <c r="D35" s="538"/>
      <c r="E35" s="538"/>
      <c r="F35" s="538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37" t="str">
        <f>+VLOOKUP($A36,Master!$D$29:$G$225,4,FALSE)</f>
        <v>Kamate</v>
      </c>
      <c r="C36" s="538"/>
      <c r="D36" s="538"/>
      <c r="E36" s="538"/>
      <c r="F36" s="538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37" t="str">
        <f>+VLOOKUP($A37,Master!$D$29:$G$225,4,FALSE)</f>
        <v>Renta</v>
      </c>
      <c r="C37" s="538"/>
      <c r="D37" s="538"/>
      <c r="E37" s="538"/>
      <c r="F37" s="538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37" t="str">
        <f>+VLOOKUP($A38,Master!$D$29:$G$225,4,FALSE)</f>
        <v>Subvencije</v>
      </c>
      <c r="C38" s="538"/>
      <c r="D38" s="538"/>
      <c r="E38" s="538"/>
      <c r="F38" s="538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06" t="str">
        <f>+VLOOKUP($A39,Master!$D$29:$G$225,4,FALSE)</f>
        <v>Ostali izdaci</v>
      </c>
      <c r="C39" s="607"/>
      <c r="D39" s="607"/>
      <c r="E39" s="607"/>
      <c r="F39" s="607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33" t="str">
        <f>+VLOOKUP($A40,Master!$D$29:$G$225,4,FALSE)</f>
        <v>Transferi za socijalnu zaštitu</v>
      </c>
      <c r="C40" s="534"/>
      <c r="D40" s="534"/>
      <c r="E40" s="534"/>
      <c r="F40" s="534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37" t="str">
        <f>+VLOOKUP($A41,Master!$D$29:$G$225,4,FALSE)</f>
        <v>Prava iz oblasti socijalne zaštite</v>
      </c>
      <c r="C41" s="538"/>
      <c r="D41" s="538"/>
      <c r="E41" s="538"/>
      <c r="F41" s="538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37" t="str">
        <f>+VLOOKUP($A42,Master!$D$29:$G$225,4,FALSE)</f>
        <v>Sredstva za tehnološke viškove</v>
      </c>
      <c r="C42" s="538"/>
      <c r="D42" s="538"/>
      <c r="E42" s="538"/>
      <c r="F42" s="538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37" t="str">
        <f>+VLOOKUP($A43,Master!$D$29:$G$225,4,FALSE)</f>
        <v>Prava iz oblasti penzijskog i invalidskog osiguranja</v>
      </c>
      <c r="C43" s="538"/>
      <c r="D43" s="538"/>
      <c r="E43" s="538"/>
      <c r="F43" s="538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37" t="str">
        <f>+VLOOKUP($A44,Master!$D$29:$G$225,4,FALSE)</f>
        <v>Ostala prava iz oblasti zdravstvene zaštite</v>
      </c>
      <c r="C44" s="538"/>
      <c r="D44" s="538"/>
      <c r="E44" s="538"/>
      <c r="F44" s="538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02" t="str">
        <f>+VLOOKUP($A45,Master!$D$29:$G$225,4,FALSE)</f>
        <v>Ostala prava iz zdravstvenog osiguranja</v>
      </c>
      <c r="C45" s="603"/>
      <c r="D45" s="603"/>
      <c r="E45" s="603"/>
      <c r="F45" s="603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35" t="str">
        <f>+VLOOKUP($A46,Master!$D$29:$G$225,4,FALSE)</f>
        <v xml:space="preserve">Transferi institucijama, pojedincima, nevladinom i javnom sektoru </v>
      </c>
      <c r="C46" s="536"/>
      <c r="D46" s="536"/>
      <c r="E46" s="536"/>
      <c r="F46" s="536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35" t="str">
        <f>+VLOOKUP($A47,Master!$D$29:$G$225,4,FALSE)</f>
        <v>Kapitalni izdaci</v>
      </c>
      <c r="C47" s="536"/>
      <c r="D47" s="536"/>
      <c r="E47" s="536"/>
      <c r="F47" s="536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04" t="str">
        <f>+VLOOKUP($A48,Master!$D$29:$G$225,4,FALSE)</f>
        <v>Pozajmice i krediti</v>
      </c>
      <c r="C48" s="605"/>
      <c r="D48" s="605"/>
      <c r="E48" s="605"/>
      <c r="F48" s="605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96" t="str">
        <f>+VLOOKUP($A49,Master!$D$29:$G$225,4,FALSE)</f>
        <v>Rezerve</v>
      </c>
      <c r="C49" s="597"/>
      <c r="D49" s="597"/>
      <c r="E49" s="597"/>
      <c r="F49" s="597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3" t="str">
        <f>+VLOOKUP($A50,Master!$D$29:$G$225,4,FALSE)</f>
        <v>Otplata garancija</v>
      </c>
      <c r="C50" s="524"/>
      <c r="D50" s="524"/>
      <c r="E50" s="524"/>
      <c r="F50" s="524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98" t="str">
        <f>+VLOOKUP($A51,Master!$D$29:$G$225,4,TRUE)</f>
        <v>Otplata obaveza iz prethodnog perioda</v>
      </c>
      <c r="C51" s="599"/>
      <c r="D51" s="599"/>
      <c r="E51" s="599"/>
      <c r="F51" s="599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600" t="str">
        <f>+VLOOKUP($A52,Master!$D$29:$G$227,4,FALSE)</f>
        <v>Neto povećanje obaveza</v>
      </c>
      <c r="C52" s="601"/>
      <c r="D52" s="601"/>
      <c r="E52" s="601"/>
      <c r="F52" s="601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1" t="str">
        <f>+VLOOKUP($A56,Master!$D$29:$G$225,4,FALSE)</f>
        <v>Otplata hartija od vrijednosti i kredita rezidentima</v>
      </c>
      <c r="C56" s="522"/>
      <c r="D56" s="522"/>
      <c r="E56" s="522"/>
      <c r="F56" s="522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05" t="str">
        <f>+VLOOKUP($A57,Master!$D$29:$G$225,4,FALSE)</f>
        <v>Otplata hartija od vrijednosti i kredita nerezidentima</v>
      </c>
      <c r="C57" s="506"/>
      <c r="D57" s="506"/>
      <c r="E57" s="506"/>
      <c r="F57" s="506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43" t="str">
        <f>+VLOOKUP($A58,Master!$D$29:$G$225,4,FALSE)</f>
        <v>Izdaci za kupovinu hartija od vrijednosti</v>
      </c>
      <c r="C58" s="544"/>
      <c r="D58" s="544"/>
      <c r="E58" s="544"/>
      <c r="F58" s="544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25" t="str">
        <f>+VLOOKUP($A59,Master!$D$29:$G$225,4,FALSE)</f>
        <v>Nedostajuća sredstva</v>
      </c>
      <c r="C59" s="526"/>
      <c r="D59" s="526"/>
      <c r="E59" s="526"/>
      <c r="F59" s="526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21" t="str">
        <f>+VLOOKUP($A61,Master!$D$29:$G$225,4,FALSE)</f>
        <v>Pozajmice i krediti od domaćih izvora</v>
      </c>
      <c r="C61" s="522"/>
      <c r="D61" s="522"/>
      <c r="E61" s="522"/>
      <c r="F61" s="522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5" t="str">
        <f>+VLOOKUP($A62,Master!$D$29:$G$225,4,FALSE)</f>
        <v>Pozajmice i krediti od inostranih izvora</v>
      </c>
      <c r="C62" s="506"/>
      <c r="D62" s="506"/>
      <c r="E62" s="506"/>
      <c r="F62" s="506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05" t="str">
        <f>+VLOOKUP($A63,Master!$D$29:$G$225,4,FALSE)</f>
        <v>Primici od prodaje imovine</v>
      </c>
      <c r="C63" s="506"/>
      <c r="D63" s="506"/>
      <c r="E63" s="506"/>
      <c r="F63" s="506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5" t="str">
        <f>+Master!G252</f>
        <v>Plan ostvarenja budžeta</v>
      </c>
      <c r="C81" s="586"/>
      <c r="D81" s="586"/>
      <c r="E81" s="586"/>
      <c r="F81" s="586"/>
      <c r="G81" s="593">
        <v>2021</v>
      </c>
      <c r="H81" s="594"/>
      <c r="I81" s="594"/>
      <c r="J81" s="594"/>
      <c r="K81" s="594"/>
      <c r="L81" s="594"/>
      <c r="M81" s="594"/>
      <c r="N81" s="594"/>
      <c r="O81" s="594"/>
      <c r="P81" s="594"/>
      <c r="Q81" s="594"/>
      <c r="R81" s="595"/>
      <c r="S81" s="107" t="str">
        <f>+S7</f>
        <v>BDP</v>
      </c>
      <c r="T81" s="108">
        <v>4636600000</v>
      </c>
    </row>
    <row r="82" spans="1:21" ht="15.75" customHeight="1">
      <c r="B82" s="587"/>
      <c r="C82" s="588"/>
      <c r="D82" s="588"/>
      <c r="E82" s="588"/>
      <c r="F82" s="58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3" t="str">
        <f>+Master!G246</f>
        <v>Jan - Dec</v>
      </c>
      <c r="T82" s="595">
        <f>+T8</f>
        <v>0</v>
      </c>
    </row>
    <row r="83" spans="1:21" ht="13.5" thickBot="1">
      <c r="B83" s="590"/>
      <c r="C83" s="591"/>
      <c r="D83" s="591"/>
      <c r="E83" s="591"/>
      <c r="F83" s="59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1" t="str">
        <f>+VLOOKUP(LEFT($A84,LEN(A84)-1)*1,Master!$D$29:$G$225,4,FALSE)</f>
        <v>Prihodi budžeta</v>
      </c>
      <c r="C84" s="582"/>
      <c r="D84" s="582"/>
      <c r="E84" s="582"/>
      <c r="F84" s="58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3" t="str">
        <f>+VLOOKUP(LEFT($A85,LEN(A85)-1)*1,Master!$D$29:$G$225,4,FALSE)</f>
        <v>Porezi</v>
      </c>
      <c r="C85" s="584"/>
      <c r="D85" s="584"/>
      <c r="E85" s="584"/>
      <c r="F85" s="584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1" t="str">
        <f>+VLOOKUP(LEFT($A86,LEN(A86)-1)*1,Master!$D$29:$G$228,4,FALSE)</f>
        <v>Porez na dohodak fizičkih lica</v>
      </c>
      <c r="C86" s="572"/>
      <c r="D86" s="572"/>
      <c r="E86" s="572"/>
      <c r="F86" s="572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1" t="str">
        <f>+VLOOKUP(LEFT($A87,LEN(A87)-1)*1,Master!$D$29:$G$228,4,FALSE)</f>
        <v>Porez na dobit pravnih lica</v>
      </c>
      <c r="C87" s="572"/>
      <c r="D87" s="572"/>
      <c r="E87" s="572"/>
      <c r="F87" s="572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1" t="str">
        <f>+VLOOKUP(LEFT($A88,LEN(A88)-1)*1,Master!$D$29:$G$228,4,FALSE)</f>
        <v>Porez na promet nepokretnosti</v>
      </c>
      <c r="C88" s="572"/>
      <c r="D88" s="572"/>
      <c r="E88" s="572"/>
      <c r="F88" s="572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1" t="str">
        <f>+VLOOKUP(LEFT($A89,LEN(A89)-1)*1,Master!$D$29:$G$228,4,FALSE)</f>
        <v>Porez na dodatu vrijednost</v>
      </c>
      <c r="C89" s="572"/>
      <c r="D89" s="572"/>
      <c r="E89" s="572"/>
      <c r="F89" s="572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1" t="str">
        <f>+VLOOKUP(LEFT($A90,LEN(A90)-1)*1,Master!$D$29:$G$228,4,FALSE)</f>
        <v>Akcize</v>
      </c>
      <c r="C90" s="572"/>
      <c r="D90" s="572"/>
      <c r="E90" s="572"/>
      <c r="F90" s="572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1" t="str">
        <f>+VLOOKUP(LEFT($A91,LEN(A91)-1)*1,Master!$D$29:$G$228,4,FALSE)</f>
        <v>Porez na međunarodnu trgovinu i transakcije</v>
      </c>
      <c r="C91" s="572"/>
      <c r="D91" s="572"/>
      <c r="E91" s="572"/>
      <c r="F91" s="572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1" t="str">
        <f>+VLOOKUP(LEFT($A92,LEN(A92)-1)*1,Master!$D$29:$G$228,4,FALSE)</f>
        <v>Ostali državni porezi</v>
      </c>
      <c r="C92" s="572"/>
      <c r="D92" s="572"/>
      <c r="E92" s="572"/>
      <c r="F92" s="572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79" t="str">
        <f>+VLOOKUP(LEFT($A93,LEN(A93)-1)*1,Master!$D$29:$G$228,4,FALSE)</f>
        <v>Doprinosi</v>
      </c>
      <c r="C93" s="580"/>
      <c r="D93" s="580"/>
      <c r="E93" s="580"/>
      <c r="F93" s="580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1" t="str">
        <f>+VLOOKUP(LEFT($A94,LEN(A94)-1)*1,Master!$D$29:$G$228,4,FALSE)</f>
        <v>Doprinosi za penzijsko i invalidsko osiguranje</v>
      </c>
      <c r="C94" s="572"/>
      <c r="D94" s="572"/>
      <c r="E94" s="572"/>
      <c r="F94" s="572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1" t="str">
        <f>+VLOOKUP(LEFT($A95,LEN(A95)-1)*1,Master!$D$29:$G$228,4,FALSE)</f>
        <v>Doprinosi za zdravstveno osiguranje</v>
      </c>
      <c r="C95" s="572"/>
      <c r="D95" s="572"/>
      <c r="E95" s="572"/>
      <c r="F95" s="572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1" t="str">
        <f>+VLOOKUP(LEFT($A96,LEN(A96)-1)*1,Master!$D$29:$G$228,4,FALSE)</f>
        <v>Doprinosi za osiguranje od nezaposlenosti</v>
      </c>
      <c r="C96" s="572"/>
      <c r="D96" s="572"/>
      <c r="E96" s="572"/>
      <c r="F96" s="572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1" t="str">
        <f>+VLOOKUP(LEFT($A97,LEN(A97)-1)*1,Master!$D$29:$G$228,4,FALSE)</f>
        <v>Ostali doprinosi</v>
      </c>
      <c r="C97" s="572"/>
      <c r="D97" s="572"/>
      <c r="E97" s="572"/>
      <c r="F97" s="572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77" t="str">
        <f>+VLOOKUP(LEFT($A98,LEN(A98)-1)*1,Master!$D$29:$G$228,4,FALSE)</f>
        <v>Takse</v>
      </c>
      <c r="C98" s="578"/>
      <c r="D98" s="578"/>
      <c r="E98" s="578"/>
      <c r="F98" s="578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77" t="str">
        <f>+VLOOKUP(LEFT($A99,LEN(A99)-1)*1,Master!$D$29:$G$228,4,FALSE)</f>
        <v>Naknade</v>
      </c>
      <c r="C99" s="578"/>
      <c r="D99" s="578"/>
      <c r="E99" s="578"/>
      <c r="F99" s="578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77" t="str">
        <f>+VLOOKUP(LEFT($A100,LEN(A100)-1)*1,Master!$D$29:$G$228,4,FALSE)</f>
        <v>Ostali prihodi</v>
      </c>
      <c r="C100" s="578"/>
      <c r="D100" s="578"/>
      <c r="E100" s="578"/>
      <c r="F100" s="578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77" t="str">
        <f>+VLOOKUP(LEFT($A101,LEN(A101)-1)*1,Master!$D$29:$G$228,4,FALSE)</f>
        <v>Primici od otplate kredita i sredstva prenesena iz prethodne godine</v>
      </c>
      <c r="C101" s="578"/>
      <c r="D101" s="578"/>
      <c r="E101" s="578"/>
      <c r="F101" s="578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73" t="str">
        <f>+VLOOKUP(LEFT($A102,LEN(A102)-1)*1,Master!$D$29:$G$228,4,FALSE)</f>
        <v>Donacije i transferi</v>
      </c>
      <c r="C102" s="574"/>
      <c r="D102" s="574"/>
      <c r="E102" s="574"/>
      <c r="F102" s="574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55" t="str">
        <f>+VLOOKUP(LEFT($A103,LEN(A103)-1)*1,Master!$D$29:$G$228,4,FALSE)</f>
        <v>Izdaci budžeta</v>
      </c>
      <c r="C103" s="556"/>
      <c r="D103" s="556"/>
      <c r="E103" s="556"/>
      <c r="F103" s="556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5" t="str">
        <f>+VLOOKUP(LEFT($A104,LEN(A104)-1)*1,Master!$D$29:$G$228,4,FALSE)</f>
        <v>Tekući izdaci</v>
      </c>
      <c r="C104" s="576"/>
      <c r="D104" s="576"/>
      <c r="E104" s="576"/>
      <c r="F104" s="576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1" t="str">
        <f>+VLOOKUP(LEFT($A105,LEN(A105)-1)*1,Master!$D$29:$G$228,4,FALSE)</f>
        <v>Bruto zarade i doprinosi na teret poslodavca</v>
      </c>
      <c r="C105" s="572"/>
      <c r="D105" s="572"/>
      <c r="E105" s="572"/>
      <c r="F105" s="572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1" t="str">
        <f>+VLOOKUP(LEFT($A106,LEN(A106)-1)*1,Master!$D$29:$G$228,4,FALSE)</f>
        <v>Ostala lična primanja</v>
      </c>
      <c r="C106" s="572"/>
      <c r="D106" s="572"/>
      <c r="E106" s="572"/>
      <c r="F106" s="572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1" t="str">
        <f>+VLOOKUP(LEFT($A107,LEN(A107)-1)*1,Master!$D$29:$G$228,4,FALSE)</f>
        <v>Rashodi za materijal</v>
      </c>
      <c r="C107" s="572"/>
      <c r="D107" s="572"/>
      <c r="E107" s="572"/>
      <c r="F107" s="572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1" t="str">
        <f>+VLOOKUP(LEFT($A108,LEN(A108)-1)*1,Master!$D$29:$G$228,4,FALSE)</f>
        <v>Rashodi za usluge</v>
      </c>
      <c r="C108" s="572"/>
      <c r="D108" s="572"/>
      <c r="E108" s="572"/>
      <c r="F108" s="572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1" t="str">
        <f>+VLOOKUP(LEFT($A109,LEN(A109)-1)*1,Master!$D$29:$G$228,4,FALSE)</f>
        <v>Rashodi za tekuće održavanje</v>
      </c>
      <c r="C109" s="572"/>
      <c r="D109" s="572"/>
      <c r="E109" s="572"/>
      <c r="F109" s="572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1" t="str">
        <f>+VLOOKUP(LEFT($A110,LEN(A110)-1)*1,Master!$D$29:$G$228,4,FALSE)</f>
        <v>Kamate</v>
      </c>
      <c r="C110" s="572"/>
      <c r="D110" s="572"/>
      <c r="E110" s="572"/>
      <c r="F110" s="572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1" t="str">
        <f>+VLOOKUP(LEFT($A111,LEN(A111)-1)*1,Master!$D$29:$G$228,4,FALSE)</f>
        <v>Renta</v>
      </c>
      <c r="C111" s="572"/>
      <c r="D111" s="572"/>
      <c r="E111" s="572"/>
      <c r="F111" s="572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1" t="str">
        <f>+VLOOKUP(LEFT($A112,LEN(A112)-1)*1,Master!$D$29:$G$228,4,FALSE)</f>
        <v>Subvencije</v>
      </c>
      <c r="C112" s="572"/>
      <c r="D112" s="572"/>
      <c r="E112" s="572"/>
      <c r="F112" s="572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1" t="str">
        <f>+VLOOKUP(LEFT($A113,LEN(A113)-1)*1,Master!$D$29:$G$228,4,FALSE)</f>
        <v>Ostali izdaci</v>
      </c>
      <c r="C113" s="572"/>
      <c r="D113" s="572"/>
      <c r="E113" s="572"/>
      <c r="F113" s="572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67" t="str">
        <f>+VLOOKUP(LEFT($A114,LEN(A114)-1)*1,Master!$D$29:$G$228,4,FALSE)</f>
        <v>Transferi za socijalnu zaštitu</v>
      </c>
      <c r="C114" s="568"/>
      <c r="D114" s="568"/>
      <c r="E114" s="568"/>
      <c r="F114" s="56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1" t="str">
        <f>+VLOOKUP(LEFT($A115,LEN(A115)-1)*1,Master!$D$29:$G$228,4,FALSE)</f>
        <v>Prava iz oblasti socijalne zaštite</v>
      </c>
      <c r="C115" s="572"/>
      <c r="D115" s="572"/>
      <c r="E115" s="572"/>
      <c r="F115" s="572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1" t="str">
        <f>+VLOOKUP(LEFT($A116,LEN(A116)-1)*1,Master!$D$29:$G$228,4,FALSE)</f>
        <v>Sredstva za tehnološke viškove</v>
      </c>
      <c r="C116" s="572"/>
      <c r="D116" s="572"/>
      <c r="E116" s="572"/>
      <c r="F116" s="572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1" t="str">
        <f>+VLOOKUP(LEFT($A117,LEN(A117)-1)*1,Master!$D$29:$G$228,4,FALSE)</f>
        <v>Prava iz oblasti penzijskog i invalidskog osiguranja</v>
      </c>
      <c r="C117" s="572"/>
      <c r="D117" s="572"/>
      <c r="E117" s="572"/>
      <c r="F117" s="572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1" t="str">
        <f>+VLOOKUP(LEFT($A118,LEN(A118)-1)*1,Master!$D$29:$G$228,4,FALSE)</f>
        <v>Ostala prava iz oblasti zdravstvene zaštite</v>
      </c>
      <c r="C118" s="572"/>
      <c r="D118" s="572"/>
      <c r="E118" s="572"/>
      <c r="F118" s="572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1" t="str">
        <f>+VLOOKUP(LEFT($A119,LEN(A119)-1)*1,Master!$D$29:$G$228,4,FALSE)</f>
        <v>Ostala prava iz zdravstvenog osiguranja</v>
      </c>
      <c r="C119" s="572"/>
      <c r="D119" s="572"/>
      <c r="E119" s="572"/>
      <c r="F119" s="572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69" t="str">
        <f>+VLOOKUP(LEFT($A120,LEN(A120)-1)*1,Master!$D$29:$G$228,4,FALSE)</f>
        <v xml:space="preserve">Transferi institucijama, pojedincima, nevladinom i javnom sektoru </v>
      </c>
      <c r="C120" s="570"/>
      <c r="D120" s="570"/>
      <c r="E120" s="570"/>
      <c r="F120" s="570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69" t="str">
        <f>+VLOOKUP(LEFT($A121,LEN(A121)-1)*1,Master!$D$29:$G$228,4,FALSE)</f>
        <v>Kapitalni izdaci</v>
      </c>
      <c r="C121" s="570"/>
      <c r="D121" s="570"/>
      <c r="E121" s="570"/>
      <c r="F121" s="570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1" t="str">
        <f>+VLOOKUP(LEFT($A122,LEN(A122)-1)*1,Master!$D$29:$G$228,4,FALSE)</f>
        <v>Pozajmice i krediti</v>
      </c>
      <c r="C122" s="562"/>
      <c r="D122" s="562"/>
      <c r="E122" s="562"/>
      <c r="F122" s="562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1" t="str">
        <f>+VLOOKUP(LEFT($A123,LEN(A123)-1)*1,Master!$D$29:$G$228,4,FALSE)</f>
        <v>Rezerve</v>
      </c>
      <c r="C123" s="562"/>
      <c r="D123" s="562"/>
      <c r="E123" s="562"/>
      <c r="F123" s="562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1" t="str">
        <f>+VLOOKUP(LEFT($A124,LEN(A124)-1)*1,Master!$D$29:$G$228,4,FALSE)</f>
        <v>Otplata garancija</v>
      </c>
      <c r="C124" s="562"/>
      <c r="D124" s="562"/>
      <c r="E124" s="562"/>
      <c r="F124" s="562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1" t="str">
        <f>+VLOOKUP(LEFT($A125,LEN(A125)-1)*1,Master!$D$29:$G$228,4,FALSE)</f>
        <v>Otplata obaveza iz prethodnog perioda</v>
      </c>
      <c r="C125" s="562"/>
      <c r="D125" s="562"/>
      <c r="E125" s="562"/>
      <c r="F125" s="562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1" t="str">
        <f>+VLOOKUP(LEFT($A126,LEN(A126)-1)*1,Master!$D$29:$G$228,4,FALSE)</f>
        <v>Neto povećanje obaveza</v>
      </c>
      <c r="C126" s="562"/>
      <c r="D126" s="562"/>
      <c r="E126" s="562"/>
      <c r="F126" s="562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63" t="str">
        <f>+VLOOKUP(LEFT($A127,LEN(A127)-1)*1,Master!$D$29:$G$225,4,FALSE)</f>
        <v>Suficit / deficit</v>
      </c>
      <c r="C127" s="564"/>
      <c r="D127" s="564"/>
      <c r="E127" s="564"/>
      <c r="F127" s="564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5" t="str">
        <f>+VLOOKUP(LEFT($A128,LEN(A128)-1)*1,Master!$D$29:$G$225,4,FALSE)</f>
        <v>Primarni suficit/deficit</v>
      </c>
      <c r="C128" s="566"/>
      <c r="D128" s="566"/>
      <c r="E128" s="566"/>
      <c r="F128" s="566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67" t="str">
        <f>+VLOOKUP(LEFT($A129,LEN(A129)-1)*1,Master!$D$29:$G$225,4,FALSE)</f>
        <v>Otplata dugova</v>
      </c>
      <c r="C129" s="568"/>
      <c r="D129" s="568"/>
      <c r="E129" s="568"/>
      <c r="F129" s="56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59" t="str">
        <f>+VLOOKUP(LEFT($A130,LEN(A130)-1)*1,Master!$D$29:$G$225,4,FALSE)</f>
        <v>Otplata hartija od vrijednosti i kredita rezidentima</v>
      </c>
      <c r="C130" s="560"/>
      <c r="D130" s="560"/>
      <c r="E130" s="560"/>
      <c r="F130" s="560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1" t="str">
        <f>+VLOOKUP(LEFT($A131,LEN(A131)-1)*1,Master!$D$29:$G$225,4,FALSE)</f>
        <v>Otplata hartija od vrijednosti i kredita nerezidentima</v>
      </c>
      <c r="C131" s="562"/>
      <c r="D131" s="562"/>
      <c r="E131" s="562"/>
      <c r="F131" s="562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5" t="str">
        <f>+VLOOKUP(LEFT($A132,LEN(A132)-1)*1,Master!$D$29:$G$225,4,FALSE)</f>
        <v>Izdaci za kupovinu hartija od vrijednosti</v>
      </c>
      <c r="C132" s="556"/>
      <c r="D132" s="556"/>
      <c r="E132" s="556"/>
      <c r="F132" s="556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57" t="str">
        <f>+VLOOKUP(LEFT($A133,LEN(A133)-1)*1,Master!$D$29:$G$225,4,FALSE)</f>
        <v>Nedostajuća sredstva</v>
      </c>
      <c r="C133" s="558"/>
      <c r="D133" s="558"/>
      <c r="E133" s="558"/>
      <c r="F133" s="558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55" t="str">
        <f>+VLOOKUP(LEFT($A134,LEN(A134)-1)*1,Master!$D$29:$G$225,4,FALSE)</f>
        <v>Finansiranje</v>
      </c>
      <c r="C134" s="556"/>
      <c r="D134" s="556"/>
      <c r="E134" s="556"/>
      <c r="F134" s="556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59" t="str">
        <f>+VLOOKUP(LEFT($A135,LEN(A135)-1)*1,Master!$D$29:$G$225,4,FALSE)</f>
        <v>Pozajmice i krediti od domaćih izvora</v>
      </c>
      <c r="C135" s="560"/>
      <c r="D135" s="560"/>
      <c r="E135" s="560"/>
      <c r="F135" s="560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1" t="str">
        <f>+VLOOKUP(LEFT($A136,LEN(A136)-1)*1,Master!$D$29:$G$225,4,FALSE)</f>
        <v>Pozajmice i krediti od inostranih izvora</v>
      </c>
      <c r="C136" s="562"/>
      <c r="D136" s="562"/>
      <c r="E136" s="562"/>
      <c r="F136" s="562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1" t="str">
        <f>+VLOOKUP(LEFT($A137,LEN(A137)-1)*1,Master!$D$29:$G$225,4,FALSE)</f>
        <v>Primici od prodaje imovine</v>
      </c>
      <c r="C137" s="562"/>
      <c r="D137" s="562"/>
      <c r="E137" s="562"/>
      <c r="F137" s="562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38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8" t="str">
        <f>+Master!G251</f>
        <v>Ostvarenje budžeta</v>
      </c>
      <c r="C7" s="508"/>
      <c r="D7" s="508"/>
      <c r="E7" s="508"/>
      <c r="F7" s="508"/>
      <c r="G7" s="516">
        <v>2020</v>
      </c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20"/>
      <c r="S7" s="235" t="str">
        <f>+Master!G248</f>
        <v>BDP</v>
      </c>
      <c r="T7" s="236">
        <v>4185600000</v>
      </c>
    </row>
    <row r="8" spans="1:20" ht="16.5" customHeight="1">
      <c r="A8" s="144"/>
      <c r="B8" s="509"/>
      <c r="C8" s="510"/>
      <c r="D8" s="510"/>
      <c r="E8" s="510"/>
      <c r="F8" s="51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6" t="str">
        <f>+Master!G246</f>
        <v>Jan - Dec</v>
      </c>
      <c r="T8" s="520"/>
    </row>
    <row r="9" spans="1:20" ht="13.5" thickBot="1">
      <c r="A9" s="144"/>
      <c r="B9" s="512"/>
      <c r="C9" s="513"/>
      <c r="D9" s="513"/>
      <c r="E9" s="513"/>
      <c r="F9" s="51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9" t="str">
        <f>+VLOOKUP($A10,Master!$D$29:$G$225,4,FALSE)</f>
        <v>Prihodi budžeta</v>
      </c>
      <c r="C10" s="550"/>
      <c r="D10" s="550"/>
      <c r="E10" s="550"/>
      <c r="F10" s="550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1" t="str">
        <f>+VLOOKUP($A11,Master!$D$29:$G$225,4,FALSE)</f>
        <v>Porezi</v>
      </c>
      <c r="C11" s="552"/>
      <c r="D11" s="552"/>
      <c r="E11" s="552"/>
      <c r="F11" s="552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37" t="str">
        <f>+VLOOKUP($A12,Master!$D$29:$G$225,4,FALSE)</f>
        <v>Porez na dohodak fizičkih lica</v>
      </c>
      <c r="C12" s="538"/>
      <c r="D12" s="538"/>
      <c r="E12" s="538"/>
      <c r="F12" s="538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37" t="str">
        <f>+VLOOKUP($A13,Master!$D$29:$G$225,4,FALSE)</f>
        <v>Porez na dobit pravnih lica</v>
      </c>
      <c r="C13" s="538"/>
      <c r="D13" s="538"/>
      <c r="E13" s="538"/>
      <c r="F13" s="538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37" t="str">
        <f>+VLOOKUP($A14,Master!$D$29:$G$225,4,FALSE)</f>
        <v>Porez na promet nepokretnosti</v>
      </c>
      <c r="C14" s="538"/>
      <c r="D14" s="538"/>
      <c r="E14" s="538"/>
      <c r="F14" s="538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37" t="str">
        <f>+VLOOKUP($A15,Master!$D$29:$G$225,4,FALSE)</f>
        <v>Porez na dodatu vrijednost</v>
      </c>
      <c r="C15" s="538"/>
      <c r="D15" s="538"/>
      <c r="E15" s="538"/>
      <c r="F15" s="538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37" t="str">
        <f>+VLOOKUP($A16,Master!$D$29:$G$225,4,FALSE)</f>
        <v>Akcize</v>
      </c>
      <c r="C16" s="538"/>
      <c r="D16" s="538"/>
      <c r="E16" s="538"/>
      <c r="F16" s="538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37" t="str">
        <f>+VLOOKUP($A17,Master!$D$29:$G$225,4,FALSE)</f>
        <v>Porez na međunarodnu trgovinu i transakcije</v>
      </c>
      <c r="C17" s="538"/>
      <c r="D17" s="538"/>
      <c r="E17" s="538"/>
      <c r="F17" s="538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37" t="str">
        <f>+VLOOKUP($A18,Master!$D$29:$G$225,4,FALSE)</f>
        <v>Ostali državni porezi</v>
      </c>
      <c r="C18" s="538"/>
      <c r="D18" s="538"/>
      <c r="E18" s="538"/>
      <c r="F18" s="538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47" t="str">
        <f>+VLOOKUP($A19,Master!$D$29:$G$225,4,FALSE)</f>
        <v>Doprinosi</v>
      </c>
      <c r="C19" s="548"/>
      <c r="D19" s="548"/>
      <c r="E19" s="548"/>
      <c r="F19" s="548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37" t="str">
        <f>+VLOOKUP($A20,Master!$D$29:$G$225,4,FALSE)</f>
        <v>Doprinosi za penzijsko i invalidsko osiguranje</v>
      </c>
      <c r="C20" s="538"/>
      <c r="D20" s="538"/>
      <c r="E20" s="538"/>
      <c r="F20" s="538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37" t="str">
        <f>+VLOOKUP($A21,Master!$D$29:$G$225,4,FALSE)</f>
        <v>Doprinosi za zdravstveno osiguranje</v>
      </c>
      <c r="C21" s="538"/>
      <c r="D21" s="538"/>
      <c r="E21" s="538"/>
      <c r="F21" s="538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37" t="str">
        <f>+VLOOKUP($A22,Master!$D$29:$G$225,4,FALSE)</f>
        <v>Doprinosi za osiguranje od nezaposlenosti</v>
      </c>
      <c r="C22" s="538"/>
      <c r="D22" s="538"/>
      <c r="E22" s="538"/>
      <c r="F22" s="538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37" t="str">
        <f>+VLOOKUP($A23,Master!$D$29:$G$225,4,FALSE)</f>
        <v>Ostali doprinosi</v>
      </c>
      <c r="C23" s="538"/>
      <c r="D23" s="538"/>
      <c r="E23" s="538"/>
      <c r="F23" s="538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39" t="str">
        <f>+VLOOKUP($A24,Master!$D$29:$G$225,4,FALSE)</f>
        <v>Takse</v>
      </c>
      <c r="C24" s="540"/>
      <c r="D24" s="540"/>
      <c r="E24" s="540"/>
      <c r="F24" s="540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39" t="str">
        <f>+VLOOKUP($A25,Master!$D$29:$G$225,4,FALSE)</f>
        <v>Naknade</v>
      </c>
      <c r="C25" s="540"/>
      <c r="D25" s="540"/>
      <c r="E25" s="540"/>
      <c r="F25" s="540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39" t="str">
        <f>+VLOOKUP($A26,Master!$D$29:$G$225,4,FALSE)</f>
        <v>Ostali prihodi</v>
      </c>
      <c r="C26" s="540"/>
      <c r="D26" s="540"/>
      <c r="E26" s="540"/>
      <c r="F26" s="540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39" t="str">
        <f>+VLOOKUP($A27,Master!$D$29:$G$225,4,FALSE)</f>
        <v>Primici od otplate kredita i sredstva prenesena iz prethodne godine</v>
      </c>
      <c r="C27" s="540"/>
      <c r="D27" s="540"/>
      <c r="E27" s="540"/>
      <c r="F27" s="540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1" t="str">
        <f>+VLOOKUP($A28,Master!$D$29:$G$225,4,FALSE)</f>
        <v>Donacije i transferi</v>
      </c>
      <c r="C28" s="542"/>
      <c r="D28" s="542"/>
      <c r="E28" s="542"/>
      <c r="F28" s="542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45" t="str">
        <f>+VLOOKUP($A30,Master!$D$29:$G$225,4,FALSE)</f>
        <v>Tekući izdaci</v>
      </c>
      <c r="C30" s="546"/>
      <c r="D30" s="546"/>
      <c r="E30" s="546"/>
      <c r="F30" s="546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37" t="str">
        <f>+VLOOKUP($A31,Master!$D$29:$G$225,4,FALSE)</f>
        <v>Bruto zarade i doprinosi na teret poslodavca</v>
      </c>
      <c r="C31" s="538"/>
      <c r="D31" s="538"/>
      <c r="E31" s="538"/>
      <c r="F31" s="538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37" t="str">
        <f>+VLOOKUP($A32,Master!$D$29:$G$225,4,FALSE)</f>
        <v>Ostala lična primanja</v>
      </c>
      <c r="C32" s="538"/>
      <c r="D32" s="538"/>
      <c r="E32" s="538"/>
      <c r="F32" s="538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37" t="str">
        <f>+VLOOKUP($A33,Master!$D$29:$G$225,4,FALSE)</f>
        <v>Rashodi za materijal</v>
      </c>
      <c r="C33" s="538"/>
      <c r="D33" s="538"/>
      <c r="E33" s="538"/>
      <c r="F33" s="538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06" t="str">
        <f>+VLOOKUP($A34,Master!$D$29:$G$225,4,FALSE)</f>
        <v>Rashodi za usluge</v>
      </c>
      <c r="C34" s="607"/>
      <c r="D34" s="607"/>
      <c r="E34" s="607"/>
      <c r="F34" s="607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37" t="str">
        <f>+VLOOKUP($A35,Master!$D$29:$G$225,4,FALSE)</f>
        <v>Rashodi za tekuće održavanje</v>
      </c>
      <c r="C35" s="538"/>
      <c r="D35" s="538"/>
      <c r="E35" s="538"/>
      <c r="F35" s="538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37" t="str">
        <f>+VLOOKUP($A36,Master!$D$29:$G$225,4,FALSE)</f>
        <v>Kamate</v>
      </c>
      <c r="C36" s="538"/>
      <c r="D36" s="538"/>
      <c r="E36" s="538"/>
      <c r="F36" s="538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37" t="str">
        <f>+VLOOKUP($A37,Master!$D$29:$G$225,4,FALSE)</f>
        <v>Renta</v>
      </c>
      <c r="C37" s="538"/>
      <c r="D37" s="538"/>
      <c r="E37" s="538"/>
      <c r="F37" s="538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37" t="str">
        <f>+VLOOKUP($A38,Master!$D$29:$G$225,4,FALSE)</f>
        <v>Subvencije</v>
      </c>
      <c r="C38" s="538"/>
      <c r="D38" s="538"/>
      <c r="E38" s="538"/>
      <c r="F38" s="538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06" t="str">
        <f>+VLOOKUP($A39,Master!$D$29:$G$225,4,FALSE)</f>
        <v>Ostali izdaci</v>
      </c>
      <c r="C39" s="607"/>
      <c r="D39" s="607"/>
      <c r="E39" s="607"/>
      <c r="F39" s="607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3" t="str">
        <f>+VLOOKUP($A40,Master!$D$29:$G$225,4,FALSE)</f>
        <v>Transferi za socijalnu zaštitu</v>
      </c>
      <c r="C40" s="534"/>
      <c r="D40" s="534"/>
      <c r="E40" s="534"/>
      <c r="F40" s="534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37" t="str">
        <f>+VLOOKUP($A41,Master!$D$29:$G$225,4,FALSE)</f>
        <v>Prava iz oblasti socijalne zaštite</v>
      </c>
      <c r="C41" s="538"/>
      <c r="D41" s="538"/>
      <c r="E41" s="538"/>
      <c r="F41" s="538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37" t="str">
        <f>+VLOOKUP($A42,Master!$D$29:$G$225,4,FALSE)</f>
        <v>Sredstva za tehnološke viškove</v>
      </c>
      <c r="C42" s="538"/>
      <c r="D42" s="538"/>
      <c r="E42" s="538"/>
      <c r="F42" s="538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37" t="str">
        <f>+VLOOKUP($A43,Master!$D$29:$G$225,4,FALSE)</f>
        <v>Prava iz oblasti penzijskog i invalidskog osiguranja</v>
      </c>
      <c r="C43" s="538"/>
      <c r="D43" s="538"/>
      <c r="E43" s="538"/>
      <c r="F43" s="538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37" t="str">
        <f>+VLOOKUP($A44,Master!$D$29:$G$225,4,FALSE)</f>
        <v>Ostala prava iz oblasti zdravstvene zaštite</v>
      </c>
      <c r="C44" s="538"/>
      <c r="D44" s="538"/>
      <c r="E44" s="538"/>
      <c r="F44" s="538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2" t="str">
        <f>+VLOOKUP($A45,Master!$D$29:$G$225,4,FALSE)</f>
        <v>Ostala prava iz zdravstvenog osiguranja</v>
      </c>
      <c r="C45" s="603"/>
      <c r="D45" s="603"/>
      <c r="E45" s="603"/>
      <c r="F45" s="603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5" t="str">
        <f>+VLOOKUP($A46,Master!$D$29:$G$225,4,FALSE)</f>
        <v xml:space="preserve">Transferi institucijama, pojedincima, nevladinom i javnom sektoru </v>
      </c>
      <c r="C46" s="536"/>
      <c r="D46" s="536"/>
      <c r="E46" s="536"/>
      <c r="F46" s="536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5" t="str">
        <f>+VLOOKUP($A47,Master!$D$29:$G$225,4,FALSE)</f>
        <v>Kapitalni izdaci</v>
      </c>
      <c r="C47" s="536"/>
      <c r="D47" s="536"/>
      <c r="E47" s="536"/>
      <c r="F47" s="536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04" t="str">
        <f>+VLOOKUP($A48,Master!$D$29:$G$225,4,FALSE)</f>
        <v>Pozajmice i krediti</v>
      </c>
      <c r="C48" s="605"/>
      <c r="D48" s="605"/>
      <c r="E48" s="605"/>
      <c r="F48" s="605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96" t="str">
        <f>+VLOOKUP($A49,Master!$D$29:$G$225,4,FALSE)</f>
        <v>Rezerve</v>
      </c>
      <c r="C49" s="597"/>
      <c r="D49" s="597"/>
      <c r="E49" s="597"/>
      <c r="F49" s="597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3" t="str">
        <f>+VLOOKUP($A50,Master!$D$29:$G$225,4,FALSE)</f>
        <v>Otplata garancija</v>
      </c>
      <c r="C50" s="524"/>
      <c r="D50" s="524"/>
      <c r="E50" s="524"/>
      <c r="F50" s="524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98" t="str">
        <f>+VLOOKUP($A51,Master!$D$29:$G$225,4,TRUE)</f>
        <v>Otplata obaveza iz prethodnog perioda</v>
      </c>
      <c r="C51" s="599"/>
      <c r="D51" s="599"/>
      <c r="E51" s="599"/>
      <c r="F51" s="599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600" t="str">
        <f>+VLOOKUP($A52,Master!$D$29:$G$227,4,FALSE)</f>
        <v>Neto povećanje obaveza</v>
      </c>
      <c r="C52" s="601"/>
      <c r="D52" s="601"/>
      <c r="E52" s="601"/>
      <c r="F52" s="601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1" t="str">
        <f>+VLOOKUP($A56,Master!$D$29:$G$225,4,FALSE)</f>
        <v>Otplata hartija od vrijednosti i kredita rezidentima</v>
      </c>
      <c r="C56" s="522"/>
      <c r="D56" s="522"/>
      <c r="E56" s="522"/>
      <c r="F56" s="522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05" t="str">
        <f>+VLOOKUP($A57,Master!$D$29:$G$225,4,FALSE)</f>
        <v>Otplata hartija od vrijednosti i kredita nerezidentima</v>
      </c>
      <c r="C57" s="506"/>
      <c r="D57" s="506"/>
      <c r="E57" s="506"/>
      <c r="F57" s="506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43" t="str">
        <f>+VLOOKUP($A58,Master!$D$29:$G$225,4,FALSE)</f>
        <v>Izdaci za kupovinu hartija od vrijednosti</v>
      </c>
      <c r="C58" s="544"/>
      <c r="D58" s="544"/>
      <c r="E58" s="544"/>
      <c r="F58" s="544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25" t="str">
        <f>+VLOOKUP($A59,Master!$D$29:$G$225,4,FALSE)</f>
        <v>Nedostajuća sredstva</v>
      </c>
      <c r="C59" s="526"/>
      <c r="D59" s="526"/>
      <c r="E59" s="526"/>
      <c r="F59" s="526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1" t="str">
        <f>+VLOOKUP($A61,Master!$D$29:$G$225,4,FALSE)</f>
        <v>Pozajmice i krediti od domaćih izvora</v>
      </c>
      <c r="C61" s="522"/>
      <c r="D61" s="522"/>
      <c r="E61" s="522"/>
      <c r="F61" s="522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05" t="str">
        <f>+VLOOKUP($A62,Master!$D$29:$G$225,4,FALSE)</f>
        <v>Pozajmice i krediti od inostranih izvora</v>
      </c>
      <c r="C62" s="506"/>
      <c r="D62" s="506"/>
      <c r="E62" s="506"/>
      <c r="F62" s="506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05" t="str">
        <f>+VLOOKUP($A63,Master!$D$29:$G$225,4,FALSE)</f>
        <v>Primici od prodaje imovine</v>
      </c>
      <c r="C63" s="506"/>
      <c r="D63" s="506"/>
      <c r="E63" s="506"/>
      <c r="F63" s="506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5" t="str">
        <f>+Master!G252</f>
        <v>Plan ostvarenja budžeta</v>
      </c>
      <c r="C100" s="586"/>
      <c r="D100" s="586"/>
      <c r="E100" s="586"/>
      <c r="F100" s="586"/>
      <c r="G100" s="593">
        <v>2020</v>
      </c>
      <c r="H100" s="594"/>
      <c r="I100" s="594"/>
      <c r="J100" s="594"/>
      <c r="K100" s="594"/>
      <c r="L100" s="594"/>
      <c r="M100" s="594"/>
      <c r="N100" s="594"/>
      <c r="O100" s="594"/>
      <c r="P100" s="594"/>
      <c r="Q100" s="594"/>
      <c r="R100" s="595"/>
      <c r="S100" s="107" t="str">
        <f>+S7</f>
        <v>BDP</v>
      </c>
      <c r="T100" s="108">
        <v>4607300000</v>
      </c>
    </row>
    <row r="101" spans="1:21" ht="15.75" customHeight="1">
      <c r="B101" s="587"/>
      <c r="C101" s="588"/>
      <c r="D101" s="588"/>
      <c r="E101" s="588"/>
      <c r="F101" s="58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3" t="str">
        <f>+Master!G246</f>
        <v>Jan - Dec</v>
      </c>
      <c r="T101" s="595">
        <f>+T8</f>
        <v>0</v>
      </c>
    </row>
    <row r="102" spans="1:21" ht="13.5" thickBot="1">
      <c r="B102" s="590"/>
      <c r="C102" s="591"/>
      <c r="D102" s="591"/>
      <c r="E102" s="591"/>
      <c r="F102" s="59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1" t="str">
        <f>+VLOOKUP(LEFT($A103,LEN(A103)-1)*1,Master!$D$29:$G$225,4,FALSE)</f>
        <v>Prihodi budžeta</v>
      </c>
      <c r="C103" s="582"/>
      <c r="D103" s="582"/>
      <c r="E103" s="582"/>
      <c r="F103" s="58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3" t="str">
        <f>+VLOOKUP(LEFT($A104,LEN(A104)-1)*1,Master!$D$29:$G$225,4,FALSE)</f>
        <v>Porezi</v>
      </c>
      <c r="C104" s="584"/>
      <c r="D104" s="584"/>
      <c r="E104" s="584"/>
      <c r="F104" s="584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1" t="str">
        <f>+VLOOKUP(LEFT($A105,LEN(A105)-1)*1,Master!$D$29:$G$228,4,FALSE)</f>
        <v>Porez na dohodak fizičkih lica</v>
      </c>
      <c r="C105" s="572"/>
      <c r="D105" s="572"/>
      <c r="E105" s="572"/>
      <c r="F105" s="572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1" t="str">
        <f>+VLOOKUP(LEFT($A106,LEN(A106)-1)*1,Master!$D$29:$G$228,4,FALSE)</f>
        <v>Porez na dobit pravnih lica</v>
      </c>
      <c r="C106" s="572"/>
      <c r="D106" s="572"/>
      <c r="E106" s="572"/>
      <c r="F106" s="572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1" t="str">
        <f>+VLOOKUP(LEFT($A107,LEN(A107)-1)*1,Master!$D$29:$G$228,4,FALSE)</f>
        <v>Porez na promet nepokretnosti</v>
      </c>
      <c r="C107" s="572"/>
      <c r="D107" s="572"/>
      <c r="E107" s="572"/>
      <c r="F107" s="572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1" t="str">
        <f>+VLOOKUP(LEFT($A108,LEN(A108)-1)*1,Master!$D$29:$G$228,4,FALSE)</f>
        <v>Porez na dodatu vrijednost</v>
      </c>
      <c r="C108" s="572"/>
      <c r="D108" s="572"/>
      <c r="E108" s="572"/>
      <c r="F108" s="572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1" t="str">
        <f>+VLOOKUP(LEFT($A109,LEN(A109)-1)*1,Master!$D$29:$G$228,4,FALSE)</f>
        <v>Akcize</v>
      </c>
      <c r="C109" s="572"/>
      <c r="D109" s="572"/>
      <c r="E109" s="572"/>
      <c r="F109" s="572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1" t="str">
        <f>+VLOOKUP(LEFT($A110,LEN(A110)-1)*1,Master!$D$29:$G$228,4,FALSE)</f>
        <v>Porez na međunarodnu trgovinu i transakcije</v>
      </c>
      <c r="C110" s="572"/>
      <c r="D110" s="572"/>
      <c r="E110" s="572"/>
      <c r="F110" s="572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1" t="str">
        <f>+VLOOKUP(LEFT($A111,LEN(A111)-1)*1,Master!$D$29:$G$228,4,FALSE)</f>
        <v>Ostali državni porezi</v>
      </c>
      <c r="C111" s="572"/>
      <c r="D111" s="572"/>
      <c r="E111" s="572"/>
      <c r="F111" s="572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79" t="str">
        <f>+VLOOKUP(LEFT($A112,LEN(A112)-1)*1,Master!$D$29:$G$228,4,FALSE)</f>
        <v>Doprinosi</v>
      </c>
      <c r="C112" s="580"/>
      <c r="D112" s="580"/>
      <c r="E112" s="580"/>
      <c r="F112" s="58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1" t="str">
        <f>+VLOOKUP(LEFT($A113,LEN(A113)-1)*1,Master!$D$29:$G$228,4,FALSE)</f>
        <v>Doprinosi za penzijsko i invalidsko osiguranje</v>
      </c>
      <c r="C113" s="572"/>
      <c r="D113" s="572"/>
      <c r="E113" s="572"/>
      <c r="F113" s="572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1" t="str">
        <f>+VLOOKUP(LEFT($A114,LEN(A114)-1)*1,Master!$D$29:$G$228,4,FALSE)</f>
        <v>Doprinosi za zdravstveno osiguranje</v>
      </c>
      <c r="C114" s="572"/>
      <c r="D114" s="572"/>
      <c r="E114" s="572"/>
      <c r="F114" s="572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1" t="str">
        <f>+VLOOKUP(LEFT($A115,LEN(A115)-1)*1,Master!$D$29:$G$228,4,FALSE)</f>
        <v>Doprinosi za osiguranje od nezaposlenosti</v>
      </c>
      <c r="C115" s="572"/>
      <c r="D115" s="572"/>
      <c r="E115" s="572"/>
      <c r="F115" s="572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1" t="str">
        <f>+VLOOKUP(LEFT($A116,LEN(A116)-1)*1,Master!$D$29:$G$228,4,FALSE)</f>
        <v>Ostali doprinosi</v>
      </c>
      <c r="C116" s="572"/>
      <c r="D116" s="572"/>
      <c r="E116" s="572"/>
      <c r="F116" s="572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77" t="str">
        <f>+VLOOKUP(LEFT($A117,LEN(A117)-1)*1,Master!$D$29:$G$228,4,FALSE)</f>
        <v>Takse</v>
      </c>
      <c r="C117" s="578"/>
      <c r="D117" s="578"/>
      <c r="E117" s="578"/>
      <c r="F117" s="57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77" t="str">
        <f>+VLOOKUP(LEFT($A118,LEN(A118)-1)*1,Master!$D$29:$G$228,4,FALSE)</f>
        <v>Naknade</v>
      </c>
      <c r="C118" s="578"/>
      <c r="D118" s="578"/>
      <c r="E118" s="578"/>
      <c r="F118" s="57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77" t="str">
        <f>+VLOOKUP(LEFT($A119,LEN(A119)-1)*1,Master!$D$29:$G$228,4,FALSE)</f>
        <v>Ostali prihodi</v>
      </c>
      <c r="C119" s="578"/>
      <c r="D119" s="578"/>
      <c r="E119" s="578"/>
      <c r="F119" s="57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77" t="str">
        <f>+VLOOKUP(LEFT($A120,LEN(A120)-1)*1,Master!$D$29:$G$228,4,FALSE)</f>
        <v>Primici od otplate kredita i sredstva prenesena iz prethodne godine</v>
      </c>
      <c r="C120" s="578"/>
      <c r="D120" s="578"/>
      <c r="E120" s="578"/>
      <c r="F120" s="57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73" t="str">
        <f>+VLOOKUP(LEFT($A121,LEN(A121)-1)*1,Master!$D$29:$G$228,4,FALSE)</f>
        <v>Donacije i transferi</v>
      </c>
      <c r="C121" s="574"/>
      <c r="D121" s="574"/>
      <c r="E121" s="574"/>
      <c r="F121" s="574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55" t="str">
        <f>+VLOOKUP(LEFT($A122,LEN(A122)-1)*1,Master!$D$29:$G$228,4,FALSE)</f>
        <v>Izdaci budžeta</v>
      </c>
      <c r="C122" s="556"/>
      <c r="D122" s="556"/>
      <c r="E122" s="556"/>
      <c r="F122" s="556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75" t="str">
        <f>+VLOOKUP(LEFT($A123,LEN(A123)-1)*1,Master!$D$29:$G$228,4,FALSE)</f>
        <v>Tekući izdaci</v>
      </c>
      <c r="C123" s="576"/>
      <c r="D123" s="576"/>
      <c r="E123" s="576"/>
      <c r="F123" s="576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1" t="str">
        <f>+VLOOKUP(LEFT($A124,LEN(A124)-1)*1,Master!$D$29:$G$228,4,FALSE)</f>
        <v>Bruto zarade i doprinosi na teret poslodavca</v>
      </c>
      <c r="C124" s="572"/>
      <c r="D124" s="572"/>
      <c r="E124" s="572"/>
      <c r="F124" s="572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1" t="str">
        <f>+VLOOKUP(LEFT($A125,LEN(A125)-1)*1,Master!$D$29:$G$228,4,FALSE)</f>
        <v>Ostala lična primanja</v>
      </c>
      <c r="C125" s="572"/>
      <c r="D125" s="572"/>
      <c r="E125" s="572"/>
      <c r="F125" s="572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1" t="str">
        <f>+VLOOKUP(LEFT($A126,LEN(A126)-1)*1,Master!$D$29:$G$228,4,FALSE)</f>
        <v>Rashodi za materijal</v>
      </c>
      <c r="C126" s="572"/>
      <c r="D126" s="572"/>
      <c r="E126" s="572"/>
      <c r="F126" s="572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1" t="str">
        <f>+VLOOKUP(LEFT($A127,LEN(A127)-1)*1,Master!$D$29:$G$228,4,FALSE)</f>
        <v>Rashodi za usluge</v>
      </c>
      <c r="C127" s="572"/>
      <c r="D127" s="572"/>
      <c r="E127" s="572"/>
      <c r="F127" s="572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1" t="str">
        <f>+VLOOKUP(LEFT($A128,LEN(A128)-1)*1,Master!$D$29:$G$228,4,FALSE)</f>
        <v>Rashodi za tekuće održavanje</v>
      </c>
      <c r="C128" s="572"/>
      <c r="D128" s="572"/>
      <c r="E128" s="572"/>
      <c r="F128" s="572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1" t="str">
        <f>+VLOOKUP(LEFT($A129,LEN(A129)-1)*1,Master!$D$29:$G$228,4,FALSE)</f>
        <v>Kamate</v>
      </c>
      <c r="C129" s="572"/>
      <c r="D129" s="572"/>
      <c r="E129" s="572"/>
      <c r="F129" s="572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1" t="str">
        <f>+VLOOKUP(LEFT($A130,LEN(A130)-1)*1,Master!$D$29:$G$228,4,FALSE)</f>
        <v>Renta</v>
      </c>
      <c r="C130" s="572"/>
      <c r="D130" s="572"/>
      <c r="E130" s="572"/>
      <c r="F130" s="572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1" t="str">
        <f>+VLOOKUP(LEFT($A131,LEN(A131)-1)*1,Master!$D$29:$G$228,4,FALSE)</f>
        <v>Subvencije</v>
      </c>
      <c r="C131" s="572"/>
      <c r="D131" s="572"/>
      <c r="E131" s="572"/>
      <c r="F131" s="572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1" t="str">
        <f>+VLOOKUP(LEFT($A132,LEN(A132)-1)*1,Master!$D$29:$G$228,4,FALSE)</f>
        <v>Ostali izdaci</v>
      </c>
      <c r="C132" s="572"/>
      <c r="D132" s="572"/>
      <c r="E132" s="572"/>
      <c r="F132" s="572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67" t="str">
        <f>+VLOOKUP(LEFT($A133,LEN(A133)-1)*1,Master!$D$29:$G$228,4,FALSE)</f>
        <v>Transferi za socijalnu zaštitu</v>
      </c>
      <c r="C133" s="568"/>
      <c r="D133" s="568"/>
      <c r="E133" s="568"/>
      <c r="F133" s="56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1" t="str">
        <f>+VLOOKUP(LEFT($A134,LEN(A134)-1)*1,Master!$D$29:$G$228,4,FALSE)</f>
        <v>Prava iz oblasti socijalne zaštite</v>
      </c>
      <c r="C134" s="572"/>
      <c r="D134" s="572"/>
      <c r="E134" s="572"/>
      <c r="F134" s="572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1" t="str">
        <f>+VLOOKUP(LEFT($A135,LEN(A135)-1)*1,Master!$D$29:$G$228,4,FALSE)</f>
        <v>Sredstva za tehnološke viškove</v>
      </c>
      <c r="C135" s="572"/>
      <c r="D135" s="572"/>
      <c r="E135" s="572"/>
      <c r="F135" s="572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1" t="str">
        <f>+VLOOKUP(LEFT($A136,LEN(A136)-1)*1,Master!$D$29:$G$228,4,FALSE)</f>
        <v>Prava iz oblasti penzijskog i invalidskog osiguranja</v>
      </c>
      <c r="C136" s="572"/>
      <c r="D136" s="572"/>
      <c r="E136" s="572"/>
      <c r="F136" s="572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1" t="str">
        <f>+VLOOKUP(LEFT($A137,LEN(A137)-1)*1,Master!$D$29:$G$228,4,FALSE)</f>
        <v>Ostala prava iz oblasti zdravstvene zaštite</v>
      </c>
      <c r="C137" s="572"/>
      <c r="D137" s="572"/>
      <c r="E137" s="572"/>
      <c r="F137" s="572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1" t="str">
        <f>+VLOOKUP(LEFT($A138,LEN(A138)-1)*1,Master!$D$29:$G$228,4,FALSE)</f>
        <v>Ostala prava iz zdravstvenog osiguranja</v>
      </c>
      <c r="C138" s="572"/>
      <c r="D138" s="572"/>
      <c r="E138" s="572"/>
      <c r="F138" s="572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69" t="str">
        <f>+VLOOKUP(LEFT($A139,LEN(A139)-1)*1,Master!$D$29:$G$228,4,FALSE)</f>
        <v xml:space="preserve">Transferi institucijama, pojedincima, nevladinom i javnom sektoru </v>
      </c>
      <c r="C139" s="570"/>
      <c r="D139" s="570"/>
      <c r="E139" s="570"/>
      <c r="F139" s="570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69" t="str">
        <f>+VLOOKUP(LEFT($A140,LEN(A140)-1)*1,Master!$D$29:$G$228,4,FALSE)</f>
        <v>Kapitalni izdaci</v>
      </c>
      <c r="C140" s="570"/>
      <c r="D140" s="570"/>
      <c r="E140" s="570"/>
      <c r="F140" s="570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1" t="str">
        <f>+VLOOKUP(LEFT($A141,LEN(A141)-1)*1,Master!$D$29:$G$228,4,FALSE)</f>
        <v>Pozajmice i krediti</v>
      </c>
      <c r="C141" s="562"/>
      <c r="D141" s="562"/>
      <c r="E141" s="562"/>
      <c r="F141" s="562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1" t="str">
        <f>+VLOOKUP(LEFT($A142,LEN(A142)-1)*1,Master!$D$29:$G$228,4,FALSE)</f>
        <v>Rezerve</v>
      </c>
      <c r="C142" s="562"/>
      <c r="D142" s="562"/>
      <c r="E142" s="562"/>
      <c r="F142" s="562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1" t="str">
        <f>+VLOOKUP(LEFT($A143,LEN(A143)-1)*1,Master!$D$29:$G$228,4,FALSE)</f>
        <v>Otplata garancija</v>
      </c>
      <c r="C143" s="562"/>
      <c r="D143" s="562"/>
      <c r="E143" s="562"/>
      <c r="F143" s="562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1" t="str">
        <f>+VLOOKUP(LEFT($A144,LEN(A144)-1)*1,Master!$D$29:$G$228,4,FALSE)</f>
        <v>Otplata obaveza iz prethodnog perioda</v>
      </c>
      <c r="C144" s="562"/>
      <c r="D144" s="562"/>
      <c r="E144" s="562"/>
      <c r="F144" s="562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1" t="str">
        <f>+VLOOKUP(LEFT($A145,LEN(A145)-1)*1,Master!$D$29:$G$228,4,FALSE)</f>
        <v>Neto povećanje obaveza</v>
      </c>
      <c r="C145" s="562"/>
      <c r="D145" s="562"/>
      <c r="E145" s="562"/>
      <c r="F145" s="562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63" t="str">
        <f>+VLOOKUP(LEFT($A146,LEN(A146)-1)*1,Master!$D$29:$G$225,4,FALSE)</f>
        <v>Suficit / deficit</v>
      </c>
      <c r="C146" s="564"/>
      <c r="D146" s="564"/>
      <c r="E146" s="564"/>
      <c r="F146" s="56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5" t="str">
        <f>+VLOOKUP(LEFT($A147,LEN(A147)-1)*1,Master!$D$29:$G$225,4,FALSE)</f>
        <v>Primarni suficit/deficit</v>
      </c>
      <c r="C147" s="566"/>
      <c r="D147" s="566"/>
      <c r="E147" s="566"/>
      <c r="F147" s="56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67" t="str">
        <f>+VLOOKUP(LEFT($A148,LEN(A148)-1)*1,Master!$D$29:$G$225,4,FALSE)</f>
        <v>Otplata dugova</v>
      </c>
      <c r="C148" s="568"/>
      <c r="D148" s="568"/>
      <c r="E148" s="568"/>
      <c r="F148" s="56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59" t="str">
        <f>+VLOOKUP(LEFT($A149,LEN(A149)-1)*1,Master!$D$29:$G$225,4,FALSE)</f>
        <v>Otplata hartija od vrijednosti i kredita rezidentima</v>
      </c>
      <c r="C149" s="560"/>
      <c r="D149" s="560"/>
      <c r="E149" s="560"/>
      <c r="F149" s="560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1" t="str">
        <f>+VLOOKUP(LEFT($A150,LEN(A150)-1)*1,Master!$D$29:$G$225,4,FALSE)</f>
        <v>Otplata hartija od vrijednosti i kredita nerezidentima</v>
      </c>
      <c r="C150" s="562"/>
      <c r="D150" s="562"/>
      <c r="E150" s="562"/>
      <c r="F150" s="562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55" t="str">
        <f>+VLOOKUP(LEFT($A151,LEN(A151)-1)*1,Master!$D$29:$G$225,4,FALSE)</f>
        <v>Izdaci za kupovinu hartija od vrijednosti</v>
      </c>
      <c r="C151" s="556"/>
      <c r="D151" s="556"/>
      <c r="E151" s="556"/>
      <c r="F151" s="556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7" t="str">
        <f>+VLOOKUP(LEFT($A152,LEN(A152)-1)*1,Master!$D$29:$G$225,4,FALSE)</f>
        <v>Nedostajuća sredstva</v>
      </c>
      <c r="C152" s="558"/>
      <c r="D152" s="558"/>
      <c r="E152" s="558"/>
      <c r="F152" s="558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55" t="str">
        <f>+VLOOKUP(LEFT($A153,LEN(A153)-1)*1,Master!$D$29:$G$225,4,FALSE)</f>
        <v>Finansiranje</v>
      </c>
      <c r="C153" s="556"/>
      <c r="D153" s="556"/>
      <c r="E153" s="556"/>
      <c r="F153" s="556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59" t="str">
        <f>+VLOOKUP(LEFT($A154,LEN(A154)-1)*1,Master!$D$29:$G$225,4,FALSE)</f>
        <v>Pozajmice i krediti od domaćih izvora</v>
      </c>
      <c r="C154" s="560"/>
      <c r="D154" s="560"/>
      <c r="E154" s="560"/>
      <c r="F154" s="560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1" t="str">
        <f>+VLOOKUP(LEFT($A155,LEN(A155)-1)*1,Master!$D$29:$G$225,4,FALSE)</f>
        <v>Pozajmice i krediti od inostranih izvora</v>
      </c>
      <c r="C155" s="562"/>
      <c r="D155" s="562"/>
      <c r="E155" s="562"/>
      <c r="F155" s="562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1" t="str">
        <f>+VLOOKUP(LEFT($A156,LEN(A156)-1)*1,Master!$D$29:$G$225,4,FALSE)</f>
        <v>Primici od prodaje imovine</v>
      </c>
      <c r="C156" s="562"/>
      <c r="D156" s="562"/>
      <c r="E156" s="562"/>
      <c r="F156" s="562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5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371325583.83000004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8" t="s">
        <v>554</v>
      </c>
      <c r="C7" s="508"/>
      <c r="D7" s="508"/>
      <c r="E7" s="508"/>
      <c r="F7" s="508"/>
      <c r="G7" s="516">
        <v>2019</v>
      </c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20"/>
      <c r="S7" s="235" t="s">
        <v>419</v>
      </c>
      <c r="T7" s="236">
        <v>4951000000</v>
      </c>
    </row>
    <row r="8" spans="1:20" ht="16.5" customHeight="1">
      <c r="A8" s="144"/>
      <c r="B8" s="509"/>
      <c r="C8" s="510"/>
      <c r="D8" s="510"/>
      <c r="E8" s="510"/>
      <c r="F8" s="51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6" t="s">
        <v>809</v>
      </c>
      <c r="T8" s="520"/>
    </row>
    <row r="9" spans="1:20" ht="13.5" thickBot="1">
      <c r="A9" s="144"/>
      <c r="B9" s="512"/>
      <c r="C9" s="513"/>
      <c r="D9" s="513"/>
      <c r="E9" s="513"/>
      <c r="F9" s="51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7" t="s">
        <v>681</v>
      </c>
      <c r="C10" s="528"/>
      <c r="D10" s="528"/>
      <c r="E10" s="528"/>
      <c r="F10" s="528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1" t="s">
        <v>21</v>
      </c>
      <c r="C11" s="552"/>
      <c r="D11" s="552"/>
      <c r="E11" s="552"/>
      <c r="F11" s="552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37" t="s">
        <v>23</v>
      </c>
      <c r="C12" s="538"/>
      <c r="D12" s="538"/>
      <c r="E12" s="538"/>
      <c r="F12" s="538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37" t="s">
        <v>25</v>
      </c>
      <c r="C13" s="538"/>
      <c r="D13" s="538"/>
      <c r="E13" s="538"/>
      <c r="F13" s="538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37" t="s">
        <v>27</v>
      </c>
      <c r="C14" s="538"/>
      <c r="D14" s="538"/>
      <c r="E14" s="538"/>
      <c r="F14" s="538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37" t="s">
        <v>29</v>
      </c>
      <c r="C15" s="538"/>
      <c r="D15" s="538"/>
      <c r="E15" s="538"/>
      <c r="F15" s="538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37" t="s">
        <v>31</v>
      </c>
      <c r="C16" s="538"/>
      <c r="D16" s="538"/>
      <c r="E16" s="538"/>
      <c r="F16" s="538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37" t="s">
        <v>33</v>
      </c>
      <c r="C17" s="538"/>
      <c r="D17" s="538"/>
      <c r="E17" s="538"/>
      <c r="F17" s="538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37" t="s">
        <v>722</v>
      </c>
      <c r="C18" s="538"/>
      <c r="D18" s="538"/>
      <c r="E18" s="538"/>
      <c r="F18" s="538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47" t="s">
        <v>37</v>
      </c>
      <c r="C19" s="548"/>
      <c r="D19" s="548"/>
      <c r="E19" s="548"/>
      <c r="F19" s="548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37" t="s">
        <v>39</v>
      </c>
      <c r="C20" s="538"/>
      <c r="D20" s="538"/>
      <c r="E20" s="538"/>
      <c r="F20" s="538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37" t="s">
        <v>41</v>
      </c>
      <c r="C21" s="538"/>
      <c r="D21" s="538"/>
      <c r="E21" s="538"/>
      <c r="F21" s="538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37" t="s">
        <v>43</v>
      </c>
      <c r="C22" s="538"/>
      <c r="D22" s="538"/>
      <c r="E22" s="538"/>
      <c r="F22" s="538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37" t="s">
        <v>45</v>
      </c>
      <c r="C23" s="538"/>
      <c r="D23" s="538"/>
      <c r="E23" s="538"/>
      <c r="F23" s="538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39" t="s">
        <v>47</v>
      </c>
      <c r="C24" s="540"/>
      <c r="D24" s="540"/>
      <c r="E24" s="540"/>
      <c r="F24" s="540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39" t="s">
        <v>61</v>
      </c>
      <c r="C25" s="540"/>
      <c r="D25" s="540"/>
      <c r="E25" s="540"/>
      <c r="F25" s="540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39" t="s">
        <v>81</v>
      </c>
      <c r="C26" s="540"/>
      <c r="D26" s="540"/>
      <c r="E26" s="540"/>
      <c r="F26" s="540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39" t="s">
        <v>99</v>
      </c>
      <c r="C27" s="540"/>
      <c r="D27" s="540"/>
      <c r="E27" s="540"/>
      <c r="F27" s="540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1" t="s">
        <v>105</v>
      </c>
      <c r="C28" s="542"/>
      <c r="D28" s="542"/>
      <c r="E28" s="542"/>
      <c r="F28" s="542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27" t="s">
        <v>802</v>
      </c>
      <c r="C29" s="528"/>
      <c r="D29" s="528"/>
      <c r="E29" s="528"/>
      <c r="F29" s="528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43" t="s">
        <v>120</v>
      </c>
      <c r="C30" s="544"/>
      <c r="D30" s="544"/>
      <c r="E30" s="544"/>
      <c r="F30" s="544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37" t="s">
        <v>122</v>
      </c>
      <c r="C31" s="538"/>
      <c r="D31" s="538"/>
      <c r="E31" s="538"/>
      <c r="F31" s="538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37" t="s">
        <v>133</v>
      </c>
      <c r="C32" s="538"/>
      <c r="D32" s="538"/>
      <c r="E32" s="538"/>
      <c r="F32" s="538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37" t="s">
        <v>148</v>
      </c>
      <c r="C33" s="538"/>
      <c r="D33" s="538"/>
      <c r="E33" s="538"/>
      <c r="F33" s="538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37" t="s">
        <v>162</v>
      </c>
      <c r="C34" s="538"/>
      <c r="D34" s="538"/>
      <c r="E34" s="538"/>
      <c r="F34" s="538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06" t="s">
        <v>182</v>
      </c>
      <c r="C35" s="607"/>
      <c r="D35" s="607"/>
      <c r="E35" s="607"/>
      <c r="F35" s="607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37" t="s">
        <v>190</v>
      </c>
      <c r="C36" s="538"/>
      <c r="D36" s="538"/>
      <c r="E36" s="538"/>
      <c r="F36" s="538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37" t="s">
        <v>196</v>
      </c>
      <c r="C37" s="538"/>
      <c r="D37" s="538"/>
      <c r="E37" s="538"/>
      <c r="F37" s="538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37" t="s">
        <v>204</v>
      </c>
      <c r="C38" s="538"/>
      <c r="D38" s="538"/>
      <c r="E38" s="538"/>
      <c r="F38" s="538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37" t="s">
        <v>212</v>
      </c>
      <c r="C39" s="538"/>
      <c r="D39" s="538"/>
      <c r="E39" s="538"/>
      <c r="F39" s="538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3" t="s">
        <v>230</v>
      </c>
      <c r="C40" s="534"/>
      <c r="D40" s="534"/>
      <c r="E40" s="534"/>
      <c r="F40" s="534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37" t="s">
        <v>232</v>
      </c>
      <c r="C41" s="538"/>
      <c r="D41" s="538"/>
      <c r="E41" s="538"/>
      <c r="F41" s="538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37" t="s">
        <v>248</v>
      </c>
      <c r="C42" s="538"/>
      <c r="D42" s="538"/>
      <c r="E42" s="538"/>
      <c r="F42" s="538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37" t="s">
        <v>259</v>
      </c>
      <c r="C43" s="538"/>
      <c r="D43" s="538"/>
      <c r="E43" s="538"/>
      <c r="F43" s="538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37" t="s">
        <v>274</v>
      </c>
      <c r="C44" s="538"/>
      <c r="D44" s="538"/>
      <c r="E44" s="538"/>
      <c r="F44" s="538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37" t="s">
        <v>278</v>
      </c>
      <c r="C45" s="538"/>
      <c r="D45" s="538"/>
      <c r="E45" s="538"/>
      <c r="F45" s="538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5" t="s">
        <v>286</v>
      </c>
      <c r="C46" s="536"/>
      <c r="D46" s="536"/>
      <c r="E46" s="536"/>
      <c r="F46" s="536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35" t="s">
        <v>320</v>
      </c>
      <c r="C47" s="536"/>
      <c r="D47" s="536"/>
      <c r="E47" s="536"/>
      <c r="F47" s="536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04" t="s">
        <v>113</v>
      </c>
      <c r="C48" s="605"/>
      <c r="D48" s="605"/>
      <c r="E48" s="605"/>
      <c r="F48" s="605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96" t="s">
        <v>366</v>
      </c>
      <c r="C49" s="597"/>
      <c r="D49" s="597"/>
      <c r="E49" s="597"/>
      <c r="F49" s="597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3" t="s">
        <v>359</v>
      </c>
      <c r="C50" s="524"/>
      <c r="D50" s="524"/>
      <c r="E50" s="524"/>
      <c r="F50" s="524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98" t="s">
        <v>795</v>
      </c>
      <c r="C51" s="599"/>
      <c r="D51" s="599"/>
      <c r="E51" s="599"/>
      <c r="F51" s="599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600" t="s">
        <v>685</v>
      </c>
      <c r="C52" s="601"/>
      <c r="D52" s="601"/>
      <c r="E52" s="601"/>
      <c r="F52" s="601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9" t="s">
        <v>545</v>
      </c>
      <c r="C53" s="530"/>
      <c r="D53" s="530"/>
      <c r="E53" s="530"/>
      <c r="F53" s="530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1" t="s">
        <v>793</v>
      </c>
      <c r="C54" s="532"/>
      <c r="D54" s="532"/>
      <c r="E54" s="532"/>
      <c r="F54" s="532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3" t="s">
        <v>352</v>
      </c>
      <c r="C55" s="554"/>
      <c r="D55" s="554"/>
      <c r="E55" s="554"/>
      <c r="F55" s="554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1" t="s">
        <v>355</v>
      </c>
      <c r="C56" s="522"/>
      <c r="D56" s="522"/>
      <c r="E56" s="522"/>
      <c r="F56" s="522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05" t="s">
        <v>357</v>
      </c>
      <c r="C57" s="506"/>
      <c r="D57" s="506"/>
      <c r="E57" s="506"/>
      <c r="F57" s="506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9" t="s">
        <v>336</v>
      </c>
      <c r="C58" s="610"/>
      <c r="D58" s="610"/>
      <c r="E58" s="610"/>
      <c r="F58" s="610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25" t="s">
        <v>543</v>
      </c>
      <c r="C59" s="526"/>
      <c r="D59" s="526"/>
      <c r="E59" s="526"/>
      <c r="F59" s="526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7" t="s">
        <v>544</v>
      </c>
      <c r="C60" s="528"/>
      <c r="D60" s="528"/>
      <c r="E60" s="528"/>
      <c r="F60" s="528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1" t="s">
        <v>114</v>
      </c>
      <c r="C61" s="522"/>
      <c r="D61" s="522"/>
      <c r="E61" s="522"/>
      <c r="F61" s="522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05" t="s">
        <v>116</v>
      </c>
      <c r="C62" s="506"/>
      <c r="D62" s="506"/>
      <c r="E62" s="506"/>
      <c r="F62" s="506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05" t="s">
        <v>93</v>
      </c>
      <c r="C63" s="506"/>
      <c r="D63" s="506"/>
      <c r="E63" s="506"/>
      <c r="F63" s="506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5" t="s">
        <v>552</v>
      </c>
      <c r="C100" s="586"/>
      <c r="D100" s="586"/>
      <c r="E100" s="586"/>
      <c r="F100" s="586"/>
      <c r="G100" s="593">
        <v>2019</v>
      </c>
      <c r="H100" s="594"/>
      <c r="I100" s="594"/>
      <c r="J100" s="594"/>
      <c r="K100" s="594"/>
      <c r="L100" s="594"/>
      <c r="M100" s="594"/>
      <c r="N100" s="594"/>
      <c r="O100" s="594"/>
      <c r="P100" s="594"/>
      <c r="Q100" s="594"/>
      <c r="R100" s="595"/>
      <c r="S100" s="107" t="str">
        <f>+S7</f>
        <v>BDP</v>
      </c>
      <c r="T100" s="108">
        <f>+T7</f>
        <v>4951000000</v>
      </c>
    </row>
    <row r="101" spans="1:21" ht="15.75" customHeight="1">
      <c r="B101" s="587"/>
      <c r="C101" s="588"/>
      <c r="D101" s="588"/>
      <c r="E101" s="588"/>
      <c r="F101" s="58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3" t="s">
        <v>809</v>
      </c>
      <c r="T101" s="595">
        <f>+T8</f>
        <v>0</v>
      </c>
    </row>
    <row r="102" spans="1:21" ht="13.5" thickBot="1">
      <c r="B102" s="590"/>
      <c r="C102" s="591"/>
      <c r="D102" s="591"/>
      <c r="E102" s="591"/>
      <c r="F102" s="59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1" t="s">
        <v>681</v>
      </c>
      <c r="C103" s="582"/>
      <c r="D103" s="582"/>
      <c r="E103" s="582"/>
      <c r="F103" s="582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83" t="s">
        <v>21</v>
      </c>
      <c r="C104" s="584"/>
      <c r="D104" s="584"/>
      <c r="E104" s="584"/>
      <c r="F104" s="584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1" t="s">
        <v>23</v>
      </c>
      <c r="C105" s="572"/>
      <c r="D105" s="572"/>
      <c r="E105" s="572"/>
      <c r="F105" s="572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1" t="s">
        <v>25</v>
      </c>
      <c r="C106" s="572"/>
      <c r="D106" s="572"/>
      <c r="E106" s="572"/>
      <c r="F106" s="572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1" t="s">
        <v>27</v>
      </c>
      <c r="C107" s="572"/>
      <c r="D107" s="572"/>
      <c r="E107" s="572"/>
      <c r="F107" s="572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1" t="s">
        <v>29</v>
      </c>
      <c r="C108" s="572"/>
      <c r="D108" s="572"/>
      <c r="E108" s="572"/>
      <c r="F108" s="572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1" t="s">
        <v>31</v>
      </c>
      <c r="C109" s="572"/>
      <c r="D109" s="572"/>
      <c r="E109" s="572"/>
      <c r="F109" s="572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1" t="s">
        <v>33</v>
      </c>
      <c r="C110" s="572"/>
      <c r="D110" s="572"/>
      <c r="E110" s="572"/>
      <c r="F110" s="572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1" t="s">
        <v>722</v>
      </c>
      <c r="C111" s="572"/>
      <c r="D111" s="572"/>
      <c r="E111" s="572"/>
      <c r="F111" s="572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79" t="s">
        <v>37</v>
      </c>
      <c r="C112" s="580"/>
      <c r="D112" s="580"/>
      <c r="E112" s="580"/>
      <c r="F112" s="580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1" t="s">
        <v>39</v>
      </c>
      <c r="C113" s="572"/>
      <c r="D113" s="572"/>
      <c r="E113" s="572"/>
      <c r="F113" s="572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1" t="s">
        <v>41</v>
      </c>
      <c r="C114" s="572"/>
      <c r="D114" s="572"/>
      <c r="E114" s="572"/>
      <c r="F114" s="572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1" t="s">
        <v>43</v>
      </c>
      <c r="C115" s="572"/>
      <c r="D115" s="572"/>
      <c r="E115" s="572"/>
      <c r="F115" s="572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1" t="s">
        <v>45</v>
      </c>
      <c r="C116" s="572"/>
      <c r="D116" s="572"/>
      <c r="E116" s="572"/>
      <c r="F116" s="572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77" t="s">
        <v>47</v>
      </c>
      <c r="C117" s="578"/>
      <c r="D117" s="578"/>
      <c r="E117" s="578"/>
      <c r="F117" s="57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77" t="s">
        <v>61</v>
      </c>
      <c r="C118" s="578"/>
      <c r="D118" s="578"/>
      <c r="E118" s="578"/>
      <c r="F118" s="57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77" t="s">
        <v>81</v>
      </c>
      <c r="C119" s="578"/>
      <c r="D119" s="578"/>
      <c r="E119" s="578"/>
      <c r="F119" s="57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77" t="s">
        <v>99</v>
      </c>
      <c r="C120" s="578"/>
      <c r="D120" s="578"/>
      <c r="E120" s="578"/>
      <c r="F120" s="57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73" t="s">
        <v>105</v>
      </c>
      <c r="C121" s="574"/>
      <c r="D121" s="574"/>
      <c r="E121" s="574"/>
      <c r="F121" s="574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55" t="s">
        <v>811</v>
      </c>
      <c r="C122" s="556"/>
      <c r="D122" s="556"/>
      <c r="E122" s="556"/>
      <c r="F122" s="556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13" t="s">
        <v>774</v>
      </c>
      <c r="C123" s="614"/>
      <c r="D123" s="614"/>
      <c r="E123" s="614"/>
      <c r="F123" s="614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75" t="e">
        <v>#REF!</v>
      </c>
      <c r="C124" s="576"/>
      <c r="D124" s="576"/>
      <c r="E124" s="576"/>
      <c r="F124" s="576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1" t="s">
        <v>122</v>
      </c>
      <c r="C125" s="572"/>
      <c r="D125" s="572"/>
      <c r="E125" s="572"/>
      <c r="F125" s="572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1" t="s">
        <v>133</v>
      </c>
      <c r="C126" s="572"/>
      <c r="D126" s="572"/>
      <c r="E126" s="572"/>
      <c r="F126" s="572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1" t="s">
        <v>148</v>
      </c>
      <c r="C127" s="572"/>
      <c r="D127" s="572"/>
      <c r="E127" s="572"/>
      <c r="F127" s="572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1" t="s">
        <v>162</v>
      </c>
      <c r="C128" s="572"/>
      <c r="D128" s="572"/>
      <c r="E128" s="572"/>
      <c r="F128" s="572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1" t="s">
        <v>182</v>
      </c>
      <c r="C129" s="572"/>
      <c r="D129" s="572"/>
      <c r="E129" s="572"/>
      <c r="F129" s="572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1" t="s">
        <v>190</v>
      </c>
      <c r="C130" s="572"/>
      <c r="D130" s="572"/>
      <c r="E130" s="572"/>
      <c r="F130" s="572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1" t="s">
        <v>196</v>
      </c>
      <c r="C131" s="572"/>
      <c r="D131" s="572"/>
      <c r="E131" s="572"/>
      <c r="F131" s="572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1" t="s">
        <v>204</v>
      </c>
      <c r="C132" s="572"/>
      <c r="D132" s="572"/>
      <c r="E132" s="572"/>
      <c r="F132" s="572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1" t="s">
        <v>212</v>
      </c>
      <c r="C133" s="572"/>
      <c r="D133" s="572"/>
      <c r="E133" s="572"/>
      <c r="F133" s="572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1" t="e">
        <v>#REF!</v>
      </c>
      <c r="C134" s="572"/>
      <c r="D134" s="572"/>
      <c r="E134" s="572"/>
      <c r="F134" s="572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7" t="s">
        <v>230</v>
      </c>
      <c r="C135" s="568"/>
      <c r="D135" s="568"/>
      <c r="E135" s="568"/>
      <c r="F135" s="56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1" t="s">
        <v>232</v>
      </c>
      <c r="C136" s="572"/>
      <c r="D136" s="572"/>
      <c r="E136" s="572"/>
      <c r="F136" s="572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1" t="s">
        <v>248</v>
      </c>
      <c r="C137" s="572"/>
      <c r="D137" s="572"/>
      <c r="E137" s="572"/>
      <c r="F137" s="572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1" t="s">
        <v>259</v>
      </c>
      <c r="C138" s="572"/>
      <c r="D138" s="572"/>
      <c r="E138" s="572"/>
      <c r="F138" s="572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1" t="s">
        <v>274</v>
      </c>
      <c r="C139" s="572"/>
      <c r="D139" s="572"/>
      <c r="E139" s="572"/>
      <c r="F139" s="572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1" t="s">
        <v>278</v>
      </c>
      <c r="C140" s="572"/>
      <c r="D140" s="572"/>
      <c r="E140" s="572"/>
      <c r="F140" s="572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69" t="s">
        <v>286</v>
      </c>
      <c r="C141" s="570"/>
      <c r="D141" s="570"/>
      <c r="E141" s="570"/>
      <c r="F141" s="570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69" t="s">
        <v>812</v>
      </c>
      <c r="C142" s="570"/>
      <c r="D142" s="570"/>
      <c r="E142" s="570"/>
      <c r="F142" s="570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1" t="s">
        <v>113</v>
      </c>
      <c r="C143" s="562"/>
      <c r="D143" s="562"/>
      <c r="E143" s="562"/>
      <c r="F143" s="562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1" t="s">
        <v>366</v>
      </c>
      <c r="C144" s="562"/>
      <c r="D144" s="562"/>
      <c r="E144" s="562"/>
      <c r="F144" s="562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1" t="s">
        <v>359</v>
      </c>
      <c r="C145" s="562"/>
      <c r="D145" s="562"/>
      <c r="E145" s="562"/>
      <c r="F145" s="562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1" t="s">
        <v>365</v>
      </c>
      <c r="C146" s="562"/>
      <c r="D146" s="562"/>
      <c r="E146" s="562"/>
      <c r="F146" s="562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1" t="s">
        <v>686</v>
      </c>
      <c r="C147" s="612"/>
      <c r="D147" s="612"/>
      <c r="E147" s="612"/>
      <c r="F147" s="61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63" t="s">
        <v>545</v>
      </c>
      <c r="C148" s="564"/>
      <c r="D148" s="564"/>
      <c r="E148" s="564"/>
      <c r="F148" s="56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65" t="s">
        <v>813</v>
      </c>
      <c r="C149" s="566"/>
      <c r="D149" s="566"/>
      <c r="E149" s="566"/>
      <c r="F149" s="56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67" t="s">
        <v>352</v>
      </c>
      <c r="C150" s="568"/>
      <c r="D150" s="568"/>
      <c r="E150" s="568"/>
      <c r="F150" s="56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59" t="s">
        <v>355</v>
      </c>
      <c r="C151" s="560"/>
      <c r="D151" s="560"/>
      <c r="E151" s="560"/>
      <c r="F151" s="560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1" t="s">
        <v>357</v>
      </c>
      <c r="C152" s="562"/>
      <c r="D152" s="562"/>
      <c r="E152" s="562"/>
      <c r="F152" s="562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9" t="s">
        <v>336</v>
      </c>
      <c r="C153" s="610"/>
      <c r="D153" s="610"/>
      <c r="E153" s="610"/>
      <c r="F153" s="610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7" t="s">
        <v>543</v>
      </c>
      <c r="C154" s="558"/>
      <c r="D154" s="558"/>
      <c r="E154" s="558"/>
      <c r="F154" s="558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55" t="s">
        <v>544</v>
      </c>
      <c r="C155" s="556"/>
      <c r="D155" s="556"/>
      <c r="E155" s="556"/>
      <c r="F155" s="556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59" t="s">
        <v>114</v>
      </c>
      <c r="C156" s="560"/>
      <c r="D156" s="560"/>
      <c r="E156" s="560"/>
      <c r="F156" s="560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1" t="s">
        <v>116</v>
      </c>
      <c r="C157" s="562"/>
      <c r="D157" s="562"/>
      <c r="E157" s="562"/>
      <c r="F157" s="562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1" t="s">
        <v>93</v>
      </c>
      <c r="C158" s="562"/>
      <c r="D158" s="562"/>
      <c r="E158" s="562"/>
      <c r="F158" s="562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9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8" t="s">
        <v>554</v>
      </c>
      <c r="C7" s="508"/>
      <c r="D7" s="508"/>
      <c r="E7" s="508"/>
      <c r="F7" s="508"/>
      <c r="G7" s="516">
        <v>2018</v>
      </c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20"/>
      <c r="S7" s="235" t="s">
        <v>419</v>
      </c>
      <c r="T7" s="236">
        <v>4663130000</v>
      </c>
    </row>
    <row r="8" spans="1:20" ht="16.5" customHeight="1">
      <c r="A8" s="144"/>
      <c r="B8" s="509"/>
      <c r="C8" s="510"/>
      <c r="D8" s="510"/>
      <c r="E8" s="510"/>
      <c r="F8" s="51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6" t="s">
        <v>809</v>
      </c>
      <c r="T8" s="520"/>
    </row>
    <row r="9" spans="1:20" ht="13.5" thickBot="1">
      <c r="A9" s="144"/>
      <c r="B9" s="512"/>
      <c r="C9" s="513"/>
      <c r="D9" s="513"/>
      <c r="E9" s="513"/>
      <c r="F9" s="51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9" t="s">
        <v>681</v>
      </c>
      <c r="C10" s="550"/>
      <c r="D10" s="550"/>
      <c r="E10" s="550"/>
      <c r="F10" s="550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1" t="s">
        <v>21</v>
      </c>
      <c r="C11" s="552"/>
      <c r="D11" s="552"/>
      <c r="E11" s="552"/>
      <c r="F11" s="552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37" t="s">
        <v>23</v>
      </c>
      <c r="C12" s="538"/>
      <c r="D12" s="538"/>
      <c r="E12" s="538"/>
      <c r="F12" s="538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37" t="s">
        <v>25</v>
      </c>
      <c r="C13" s="538"/>
      <c r="D13" s="538"/>
      <c r="E13" s="538"/>
      <c r="F13" s="538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37" t="s">
        <v>27</v>
      </c>
      <c r="C14" s="538"/>
      <c r="D14" s="538"/>
      <c r="E14" s="538"/>
      <c r="F14" s="538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37" t="s">
        <v>29</v>
      </c>
      <c r="C15" s="538"/>
      <c r="D15" s="538"/>
      <c r="E15" s="538"/>
      <c r="F15" s="538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37" t="s">
        <v>31</v>
      </c>
      <c r="C16" s="538"/>
      <c r="D16" s="538"/>
      <c r="E16" s="538"/>
      <c r="F16" s="538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37" t="s">
        <v>33</v>
      </c>
      <c r="C17" s="538"/>
      <c r="D17" s="538"/>
      <c r="E17" s="538"/>
      <c r="F17" s="538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37" t="s">
        <v>722</v>
      </c>
      <c r="C18" s="538"/>
      <c r="D18" s="538"/>
      <c r="E18" s="538"/>
      <c r="F18" s="538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47" t="s">
        <v>37</v>
      </c>
      <c r="C19" s="548"/>
      <c r="D19" s="548"/>
      <c r="E19" s="548"/>
      <c r="F19" s="548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37" t="s">
        <v>39</v>
      </c>
      <c r="C20" s="538"/>
      <c r="D20" s="538"/>
      <c r="E20" s="538"/>
      <c r="F20" s="538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37" t="s">
        <v>41</v>
      </c>
      <c r="C21" s="538"/>
      <c r="D21" s="538"/>
      <c r="E21" s="538"/>
      <c r="F21" s="538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37" t="s">
        <v>43</v>
      </c>
      <c r="C22" s="538"/>
      <c r="D22" s="538"/>
      <c r="E22" s="538"/>
      <c r="F22" s="538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37" t="s">
        <v>45</v>
      </c>
      <c r="C23" s="538"/>
      <c r="D23" s="538"/>
      <c r="E23" s="538"/>
      <c r="F23" s="538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39" t="s">
        <v>47</v>
      </c>
      <c r="C24" s="540"/>
      <c r="D24" s="540"/>
      <c r="E24" s="540"/>
      <c r="F24" s="540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39" t="s">
        <v>61</v>
      </c>
      <c r="C25" s="540"/>
      <c r="D25" s="540"/>
      <c r="E25" s="540"/>
      <c r="F25" s="540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39" t="s">
        <v>81</v>
      </c>
      <c r="C26" s="540"/>
      <c r="D26" s="540"/>
      <c r="E26" s="540"/>
      <c r="F26" s="540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39" t="s">
        <v>99</v>
      </c>
      <c r="C27" s="540"/>
      <c r="D27" s="540"/>
      <c r="E27" s="540"/>
      <c r="F27" s="540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1" t="s">
        <v>105</v>
      </c>
      <c r="C28" s="542"/>
      <c r="D28" s="542"/>
      <c r="E28" s="542"/>
      <c r="F28" s="542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7" t="s">
        <v>802</v>
      </c>
      <c r="C29" s="528"/>
      <c r="D29" s="528"/>
      <c r="E29" s="528"/>
      <c r="F29" s="528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43" t="s">
        <v>774</v>
      </c>
      <c r="C30" s="544"/>
      <c r="D30" s="544"/>
      <c r="E30" s="544"/>
      <c r="F30" s="544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45" t="s">
        <v>120</v>
      </c>
      <c r="C31" s="546"/>
      <c r="D31" s="546"/>
      <c r="E31" s="546"/>
      <c r="F31" s="546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37" t="s">
        <v>122</v>
      </c>
      <c r="C32" s="538"/>
      <c r="D32" s="538"/>
      <c r="E32" s="538"/>
      <c r="F32" s="538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37" t="s">
        <v>133</v>
      </c>
      <c r="C33" s="538"/>
      <c r="D33" s="538"/>
      <c r="E33" s="538"/>
      <c r="F33" s="538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37" t="s">
        <v>148</v>
      </c>
      <c r="C34" s="538"/>
      <c r="D34" s="538"/>
      <c r="E34" s="538"/>
      <c r="F34" s="538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37" t="s">
        <v>162</v>
      </c>
      <c r="C35" s="538"/>
      <c r="D35" s="538"/>
      <c r="E35" s="538"/>
      <c r="F35" s="538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37" t="s">
        <v>182</v>
      </c>
      <c r="C36" s="538"/>
      <c r="D36" s="538"/>
      <c r="E36" s="538"/>
      <c r="F36" s="538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37" t="s">
        <v>190</v>
      </c>
      <c r="C37" s="538"/>
      <c r="D37" s="538"/>
      <c r="E37" s="538"/>
      <c r="F37" s="538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37" t="s">
        <v>196</v>
      </c>
      <c r="C38" s="538"/>
      <c r="D38" s="538"/>
      <c r="E38" s="538"/>
      <c r="F38" s="538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37" t="s">
        <v>204</v>
      </c>
      <c r="C39" s="538"/>
      <c r="D39" s="538"/>
      <c r="E39" s="538"/>
      <c r="F39" s="538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37" t="s">
        <v>212</v>
      </c>
      <c r="C40" s="538"/>
      <c r="D40" s="538"/>
      <c r="E40" s="538"/>
      <c r="F40" s="538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37" t="s">
        <v>803</v>
      </c>
      <c r="C41" s="538"/>
      <c r="D41" s="538"/>
      <c r="E41" s="538"/>
      <c r="F41" s="538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3" t="s">
        <v>230</v>
      </c>
      <c r="C42" s="534"/>
      <c r="D42" s="534"/>
      <c r="E42" s="534"/>
      <c r="F42" s="534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37" t="s">
        <v>232</v>
      </c>
      <c r="C43" s="538"/>
      <c r="D43" s="538"/>
      <c r="E43" s="538"/>
      <c r="F43" s="538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37" t="s">
        <v>248</v>
      </c>
      <c r="C44" s="538"/>
      <c r="D44" s="538"/>
      <c r="E44" s="538"/>
      <c r="F44" s="538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37" t="s">
        <v>259</v>
      </c>
      <c r="C45" s="538"/>
      <c r="D45" s="538"/>
      <c r="E45" s="538"/>
      <c r="F45" s="538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37" t="s">
        <v>274</v>
      </c>
      <c r="C46" s="538"/>
      <c r="D46" s="538"/>
      <c r="E46" s="538"/>
      <c r="F46" s="538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7" t="s">
        <v>278</v>
      </c>
      <c r="C47" s="618"/>
      <c r="D47" s="618"/>
      <c r="E47" s="618"/>
      <c r="F47" s="61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5" t="s">
        <v>286</v>
      </c>
      <c r="C48" s="536"/>
      <c r="D48" s="536"/>
      <c r="E48" s="536"/>
      <c r="F48" s="536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5" t="s">
        <v>320</v>
      </c>
      <c r="C49" s="536"/>
      <c r="D49" s="536"/>
      <c r="E49" s="536"/>
      <c r="F49" s="536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04" t="s">
        <v>113</v>
      </c>
      <c r="C50" s="605"/>
      <c r="D50" s="605"/>
      <c r="E50" s="605"/>
      <c r="F50" s="605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05" t="s">
        <v>366</v>
      </c>
      <c r="C51" s="506"/>
      <c r="D51" s="506"/>
      <c r="E51" s="506"/>
      <c r="F51" s="506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3" t="s">
        <v>359</v>
      </c>
      <c r="C52" s="524"/>
      <c r="D52" s="524"/>
      <c r="E52" s="524"/>
      <c r="F52" s="524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98" t="s">
        <v>795</v>
      </c>
      <c r="C53" s="599"/>
      <c r="D53" s="599"/>
      <c r="E53" s="599"/>
      <c r="F53" s="599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600" t="s">
        <v>685</v>
      </c>
      <c r="C54" s="601"/>
      <c r="D54" s="601"/>
      <c r="E54" s="601"/>
      <c r="F54" s="601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9" t="s">
        <v>545</v>
      </c>
      <c r="C55" s="530"/>
      <c r="D55" s="530"/>
      <c r="E55" s="530"/>
      <c r="F55" s="530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1" t="s">
        <v>794</v>
      </c>
      <c r="C57" s="532"/>
      <c r="D57" s="532"/>
      <c r="E57" s="532"/>
      <c r="F57" s="532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3" t="s">
        <v>352</v>
      </c>
      <c r="C58" s="554"/>
      <c r="D58" s="554"/>
      <c r="E58" s="554"/>
      <c r="F58" s="554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1" t="s">
        <v>355</v>
      </c>
      <c r="C59" s="522"/>
      <c r="D59" s="522"/>
      <c r="E59" s="522"/>
      <c r="F59" s="522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05" t="s">
        <v>357</v>
      </c>
      <c r="C60" s="506"/>
      <c r="D60" s="506"/>
      <c r="E60" s="506"/>
      <c r="F60" s="506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5" t="s">
        <v>336</v>
      </c>
      <c r="C61" s="616"/>
      <c r="D61" s="616"/>
      <c r="E61" s="616"/>
      <c r="F61" s="61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25" t="s">
        <v>543</v>
      </c>
      <c r="C62" s="526"/>
      <c r="D62" s="526"/>
      <c r="E62" s="526"/>
      <c r="F62" s="526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7" t="s">
        <v>544</v>
      </c>
      <c r="C63" s="528"/>
      <c r="D63" s="528"/>
      <c r="E63" s="528"/>
      <c r="F63" s="528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1" t="s">
        <v>114</v>
      </c>
      <c r="C64" s="522"/>
      <c r="D64" s="522"/>
      <c r="E64" s="522"/>
      <c r="F64" s="522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05" t="s">
        <v>116</v>
      </c>
      <c r="C65" s="506"/>
      <c r="D65" s="506"/>
      <c r="E65" s="506"/>
      <c r="F65" s="506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05" t="s">
        <v>93</v>
      </c>
      <c r="C66" s="506"/>
      <c r="D66" s="506"/>
      <c r="E66" s="506"/>
      <c r="F66" s="506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5" t="s">
        <v>552</v>
      </c>
      <c r="C103" s="586"/>
      <c r="D103" s="586"/>
      <c r="E103" s="586"/>
      <c r="F103" s="586"/>
      <c r="G103" s="593">
        <v>2018</v>
      </c>
      <c r="H103" s="594"/>
      <c r="I103" s="594"/>
      <c r="J103" s="594"/>
      <c r="K103" s="594"/>
      <c r="L103" s="594"/>
      <c r="M103" s="594"/>
      <c r="N103" s="594"/>
      <c r="O103" s="594"/>
      <c r="P103" s="594"/>
      <c r="Q103" s="594"/>
      <c r="R103" s="595"/>
      <c r="S103" s="107" t="str">
        <f>+S7</f>
        <v>BDP</v>
      </c>
      <c r="T103" s="108">
        <f>+T7</f>
        <v>4663130000</v>
      </c>
    </row>
    <row r="104" spans="1:21" ht="15.75" customHeight="1">
      <c r="B104" s="587"/>
      <c r="C104" s="588"/>
      <c r="D104" s="588"/>
      <c r="E104" s="588"/>
      <c r="F104" s="58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3" t="s">
        <v>809</v>
      </c>
      <c r="T104" s="595">
        <f>+T8</f>
        <v>0</v>
      </c>
    </row>
    <row r="105" spans="1:21" ht="13.5" thickBot="1">
      <c r="B105" s="590"/>
      <c r="C105" s="591"/>
      <c r="D105" s="591"/>
      <c r="E105" s="591"/>
      <c r="F105" s="59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1" t="s">
        <v>681</v>
      </c>
      <c r="C106" s="582"/>
      <c r="D106" s="582"/>
      <c r="E106" s="582"/>
      <c r="F106" s="58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3" t="s">
        <v>21</v>
      </c>
      <c r="C107" s="584"/>
      <c r="D107" s="584"/>
      <c r="E107" s="584"/>
      <c r="F107" s="584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1" t="s">
        <v>23</v>
      </c>
      <c r="C108" s="572"/>
      <c r="D108" s="572"/>
      <c r="E108" s="572"/>
      <c r="F108" s="572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1" t="s">
        <v>25</v>
      </c>
      <c r="C109" s="572"/>
      <c r="D109" s="572"/>
      <c r="E109" s="572"/>
      <c r="F109" s="572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1" t="s">
        <v>27</v>
      </c>
      <c r="C110" s="572"/>
      <c r="D110" s="572"/>
      <c r="E110" s="572"/>
      <c r="F110" s="572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1" t="s">
        <v>29</v>
      </c>
      <c r="C111" s="572"/>
      <c r="D111" s="572"/>
      <c r="E111" s="572"/>
      <c r="F111" s="572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1" t="s">
        <v>31</v>
      </c>
      <c r="C112" s="572"/>
      <c r="D112" s="572"/>
      <c r="E112" s="572"/>
      <c r="F112" s="572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1" t="s">
        <v>33</v>
      </c>
      <c r="C113" s="572"/>
      <c r="D113" s="572"/>
      <c r="E113" s="572"/>
      <c r="F113" s="572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1" t="s">
        <v>722</v>
      </c>
      <c r="C114" s="572"/>
      <c r="D114" s="572"/>
      <c r="E114" s="572"/>
      <c r="F114" s="572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79" t="s">
        <v>37</v>
      </c>
      <c r="C115" s="580"/>
      <c r="D115" s="580"/>
      <c r="E115" s="580"/>
      <c r="F115" s="58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1" t="s">
        <v>39</v>
      </c>
      <c r="C116" s="572"/>
      <c r="D116" s="572"/>
      <c r="E116" s="572"/>
      <c r="F116" s="572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1" t="s">
        <v>41</v>
      </c>
      <c r="C117" s="572"/>
      <c r="D117" s="572"/>
      <c r="E117" s="572"/>
      <c r="F117" s="572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1" t="s">
        <v>43</v>
      </c>
      <c r="C118" s="572"/>
      <c r="D118" s="572"/>
      <c r="E118" s="572"/>
      <c r="F118" s="572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1" t="s">
        <v>45</v>
      </c>
      <c r="C119" s="572"/>
      <c r="D119" s="572"/>
      <c r="E119" s="572"/>
      <c r="F119" s="572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77" t="s">
        <v>47</v>
      </c>
      <c r="C120" s="578"/>
      <c r="D120" s="578"/>
      <c r="E120" s="578"/>
      <c r="F120" s="57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77" t="s">
        <v>61</v>
      </c>
      <c r="C121" s="578"/>
      <c r="D121" s="578"/>
      <c r="E121" s="578"/>
      <c r="F121" s="57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77" t="s">
        <v>81</v>
      </c>
      <c r="C122" s="578"/>
      <c r="D122" s="578"/>
      <c r="E122" s="578"/>
      <c r="F122" s="57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77" t="s">
        <v>99</v>
      </c>
      <c r="C123" s="578"/>
      <c r="D123" s="578"/>
      <c r="E123" s="578"/>
      <c r="F123" s="57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73" t="s">
        <v>105</v>
      </c>
      <c r="C124" s="574"/>
      <c r="D124" s="574"/>
      <c r="E124" s="574"/>
      <c r="F124" s="574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55" t="s">
        <v>811</v>
      </c>
      <c r="C125" s="556"/>
      <c r="D125" s="556"/>
      <c r="E125" s="556"/>
      <c r="F125" s="556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3" t="s">
        <v>774</v>
      </c>
      <c r="C126" s="614"/>
      <c r="D126" s="614"/>
      <c r="E126" s="614"/>
      <c r="F126" s="61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75" t="s">
        <v>120</v>
      </c>
      <c r="C127" s="576"/>
      <c r="D127" s="576"/>
      <c r="E127" s="576"/>
      <c r="F127" s="576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1" t="s">
        <v>122</v>
      </c>
      <c r="C128" s="572"/>
      <c r="D128" s="572"/>
      <c r="E128" s="572"/>
      <c r="F128" s="572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1" t="s">
        <v>133</v>
      </c>
      <c r="C129" s="572"/>
      <c r="D129" s="572"/>
      <c r="E129" s="572"/>
      <c r="F129" s="572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1" t="s">
        <v>148</v>
      </c>
      <c r="C130" s="572"/>
      <c r="D130" s="572"/>
      <c r="E130" s="572"/>
      <c r="F130" s="572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1" t="s">
        <v>162</v>
      </c>
      <c r="C131" s="572"/>
      <c r="D131" s="572"/>
      <c r="E131" s="572"/>
      <c r="F131" s="572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1" t="s">
        <v>182</v>
      </c>
      <c r="C132" s="572"/>
      <c r="D132" s="572"/>
      <c r="E132" s="572"/>
      <c r="F132" s="572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1" t="s">
        <v>190</v>
      </c>
      <c r="C133" s="572"/>
      <c r="D133" s="572"/>
      <c r="E133" s="572"/>
      <c r="F133" s="572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1" t="s">
        <v>196</v>
      </c>
      <c r="C134" s="572"/>
      <c r="D134" s="572"/>
      <c r="E134" s="572"/>
      <c r="F134" s="572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1" t="s">
        <v>204</v>
      </c>
      <c r="C135" s="572"/>
      <c r="D135" s="572"/>
      <c r="E135" s="572"/>
      <c r="F135" s="572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1" t="s">
        <v>212</v>
      </c>
      <c r="C136" s="572"/>
      <c r="D136" s="572"/>
      <c r="E136" s="572"/>
      <c r="F136" s="572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1" t="s">
        <v>803</v>
      </c>
      <c r="C137" s="572"/>
      <c r="D137" s="572"/>
      <c r="E137" s="572"/>
      <c r="F137" s="572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67" t="s">
        <v>230</v>
      </c>
      <c r="C138" s="568"/>
      <c r="D138" s="568"/>
      <c r="E138" s="568"/>
      <c r="F138" s="56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1" t="s">
        <v>232</v>
      </c>
      <c r="C139" s="572"/>
      <c r="D139" s="572"/>
      <c r="E139" s="572"/>
      <c r="F139" s="572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1" t="s">
        <v>248</v>
      </c>
      <c r="C140" s="572"/>
      <c r="D140" s="572"/>
      <c r="E140" s="572"/>
      <c r="F140" s="572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1" t="s">
        <v>259</v>
      </c>
      <c r="C141" s="572"/>
      <c r="D141" s="572"/>
      <c r="E141" s="572"/>
      <c r="F141" s="572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1" t="s">
        <v>274</v>
      </c>
      <c r="C142" s="572"/>
      <c r="D142" s="572"/>
      <c r="E142" s="572"/>
      <c r="F142" s="572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1" t="s">
        <v>278</v>
      </c>
      <c r="C143" s="572"/>
      <c r="D143" s="572"/>
      <c r="E143" s="572"/>
      <c r="F143" s="572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69" t="s">
        <v>286</v>
      </c>
      <c r="C144" s="570"/>
      <c r="D144" s="570"/>
      <c r="E144" s="570"/>
      <c r="F144" s="570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69" t="s">
        <v>812</v>
      </c>
      <c r="C145" s="570"/>
      <c r="D145" s="570"/>
      <c r="E145" s="570"/>
      <c r="F145" s="570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1" t="s">
        <v>113</v>
      </c>
      <c r="C146" s="562"/>
      <c r="D146" s="562"/>
      <c r="E146" s="562"/>
      <c r="F146" s="562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1" t="s">
        <v>366</v>
      </c>
      <c r="C147" s="562"/>
      <c r="D147" s="562"/>
      <c r="E147" s="562"/>
      <c r="F147" s="562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1" t="s">
        <v>359</v>
      </c>
      <c r="C148" s="562"/>
      <c r="D148" s="562"/>
      <c r="E148" s="562"/>
      <c r="F148" s="562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63" t="s">
        <v>545</v>
      </c>
      <c r="C150" s="564"/>
      <c r="D150" s="564"/>
      <c r="E150" s="564"/>
      <c r="F150" s="56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65" t="s">
        <v>813</v>
      </c>
      <c r="C151" s="566"/>
      <c r="D151" s="566"/>
      <c r="E151" s="566"/>
      <c r="F151" s="56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67" t="s">
        <v>352</v>
      </c>
      <c r="C152" s="568"/>
      <c r="D152" s="568"/>
      <c r="E152" s="568"/>
      <c r="F152" s="56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59" t="s">
        <v>355</v>
      </c>
      <c r="C153" s="560"/>
      <c r="D153" s="560"/>
      <c r="E153" s="560"/>
      <c r="F153" s="560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1" t="s">
        <v>357</v>
      </c>
      <c r="C154" s="562"/>
      <c r="D154" s="562"/>
      <c r="E154" s="562"/>
      <c r="F154" s="562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1" t="s">
        <v>365</v>
      </c>
      <c r="C155" s="562"/>
      <c r="D155" s="562"/>
      <c r="E155" s="562"/>
      <c r="F155" s="562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7" t="s">
        <v>543</v>
      </c>
      <c r="C157" s="558"/>
      <c r="D157" s="558"/>
      <c r="E157" s="558"/>
      <c r="F157" s="558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55" t="s">
        <v>544</v>
      </c>
      <c r="C158" s="556"/>
      <c r="D158" s="556"/>
      <c r="E158" s="556"/>
      <c r="F158" s="556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59" t="s">
        <v>114</v>
      </c>
      <c r="C159" s="560"/>
      <c r="D159" s="560"/>
      <c r="E159" s="560"/>
      <c r="F159" s="560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1" t="s">
        <v>116</v>
      </c>
      <c r="C160" s="562"/>
      <c r="D160" s="562"/>
      <c r="E160" s="562"/>
      <c r="F160" s="562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1" t="s">
        <v>93</v>
      </c>
      <c r="C161" s="562"/>
      <c r="D161" s="562"/>
      <c r="E161" s="562"/>
      <c r="F161" s="562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2" t="s">
        <v>555</v>
      </c>
      <c r="F6" s="619">
        <v>2006</v>
      </c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1"/>
      <c r="R6" s="619">
        <v>2007</v>
      </c>
      <c r="S6" s="620"/>
      <c r="T6" s="620"/>
      <c r="U6" s="620"/>
      <c r="V6" s="620"/>
      <c r="W6" s="620"/>
      <c r="X6" s="620"/>
      <c r="Y6" s="620"/>
      <c r="Z6" s="620"/>
      <c r="AA6" s="620"/>
      <c r="AB6" s="620"/>
      <c r="AC6" s="621"/>
      <c r="AD6" s="619">
        <v>2008</v>
      </c>
      <c r="AE6" s="620"/>
      <c r="AF6" s="620"/>
      <c r="AG6" s="620"/>
      <c r="AH6" s="620"/>
      <c r="AI6" s="620"/>
      <c r="AJ6" s="620"/>
      <c r="AK6" s="620"/>
      <c r="AL6" s="620"/>
      <c r="AM6" s="620"/>
      <c r="AN6" s="620"/>
      <c r="AO6" s="621"/>
      <c r="AP6" s="619">
        <v>2009</v>
      </c>
      <c r="AQ6" s="620"/>
      <c r="AR6" s="620"/>
      <c r="AS6" s="620"/>
      <c r="AT6" s="620"/>
      <c r="AU6" s="620"/>
      <c r="AV6" s="620"/>
      <c r="AW6" s="620"/>
      <c r="AX6" s="620"/>
      <c r="AY6" s="620"/>
      <c r="AZ6" s="620"/>
      <c r="BA6" s="621"/>
      <c r="BB6" s="619">
        <v>2010</v>
      </c>
      <c r="BC6" s="620"/>
      <c r="BD6" s="620"/>
      <c r="BE6" s="620"/>
      <c r="BF6" s="620"/>
      <c r="BG6" s="620"/>
      <c r="BH6" s="620"/>
      <c r="BI6" s="620"/>
      <c r="BJ6" s="620"/>
      <c r="BK6" s="620"/>
      <c r="BL6" s="620"/>
      <c r="BM6" s="621"/>
      <c r="BN6" s="619">
        <v>2011</v>
      </c>
      <c r="BO6" s="620"/>
      <c r="BP6" s="620"/>
      <c r="BQ6" s="620"/>
      <c r="BR6" s="620"/>
      <c r="BS6" s="620"/>
      <c r="BT6" s="620"/>
      <c r="BU6" s="620"/>
      <c r="BV6" s="620"/>
      <c r="BW6" s="620"/>
      <c r="BX6" s="620"/>
      <c r="BY6" s="621"/>
      <c r="BZ6" s="620">
        <v>2012</v>
      </c>
      <c r="CA6" s="620"/>
      <c r="CB6" s="620"/>
      <c r="CC6" s="620"/>
      <c r="CD6" s="620"/>
      <c r="CE6" s="620"/>
      <c r="CF6" s="620"/>
      <c r="CG6" s="620"/>
      <c r="CH6" s="620"/>
      <c r="CI6" s="620"/>
      <c r="CJ6" s="620"/>
      <c r="CK6" s="620"/>
      <c r="CL6" s="619">
        <v>2013</v>
      </c>
      <c r="CM6" s="620"/>
      <c r="CN6" s="620"/>
      <c r="CO6" s="620"/>
      <c r="CP6" s="620"/>
      <c r="CQ6" s="620"/>
      <c r="CR6" s="620"/>
      <c r="CS6" s="620"/>
      <c r="CT6" s="620"/>
      <c r="CU6" s="620"/>
      <c r="CV6" s="620"/>
      <c r="CW6" s="621"/>
      <c r="CX6" s="619">
        <v>2014</v>
      </c>
      <c r="CY6" s="620"/>
      <c r="CZ6" s="620"/>
      <c r="DA6" s="620"/>
      <c r="DB6" s="620"/>
      <c r="DC6" s="620"/>
      <c r="DD6" s="620"/>
      <c r="DE6" s="620"/>
      <c r="DF6" s="620"/>
      <c r="DG6" s="620"/>
      <c r="DH6" s="620"/>
      <c r="DI6" s="621"/>
      <c r="DJ6" s="619">
        <v>2015</v>
      </c>
      <c r="DK6" s="620"/>
      <c r="DL6" s="620"/>
      <c r="DM6" s="620"/>
      <c r="DN6" s="620"/>
      <c r="DO6" s="620"/>
      <c r="DP6" s="620"/>
      <c r="DQ6" s="620"/>
      <c r="DR6" s="620"/>
      <c r="DS6" s="620"/>
      <c r="DT6" s="620"/>
      <c r="DU6" s="621"/>
    </row>
    <row r="7" spans="1:321">
      <c r="E7" s="62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2" t="s">
        <v>676</v>
      </c>
      <c r="F214" s="619">
        <v>2006</v>
      </c>
      <c r="G214" s="620"/>
      <c r="H214" s="620"/>
      <c r="I214" s="620"/>
      <c r="J214" s="620"/>
      <c r="K214" s="620"/>
      <c r="L214" s="620"/>
      <c r="M214" s="620"/>
      <c r="N214" s="620"/>
      <c r="O214" s="620"/>
      <c r="P214" s="620"/>
      <c r="Q214" s="621"/>
      <c r="R214" s="619">
        <v>2007</v>
      </c>
      <c r="S214" s="620"/>
      <c r="T214" s="620"/>
      <c r="U214" s="620"/>
      <c r="V214" s="620"/>
      <c r="W214" s="620"/>
      <c r="X214" s="620"/>
      <c r="Y214" s="620"/>
      <c r="Z214" s="620"/>
      <c r="AA214" s="620"/>
      <c r="AB214" s="620"/>
      <c r="AC214" s="621"/>
      <c r="AD214" s="619">
        <v>2008</v>
      </c>
      <c r="AE214" s="620"/>
      <c r="AF214" s="620"/>
      <c r="AG214" s="620"/>
      <c r="AH214" s="620"/>
      <c r="AI214" s="620"/>
      <c r="AJ214" s="620"/>
      <c r="AK214" s="620"/>
      <c r="AL214" s="620"/>
      <c r="AM214" s="620"/>
      <c r="AN214" s="620"/>
      <c r="AO214" s="621"/>
      <c r="AP214" s="619">
        <v>2009</v>
      </c>
      <c r="AQ214" s="620"/>
      <c r="AR214" s="620"/>
      <c r="AS214" s="620"/>
      <c r="AT214" s="620"/>
      <c r="AU214" s="620"/>
      <c r="AV214" s="620"/>
      <c r="AW214" s="620"/>
      <c r="AX214" s="620"/>
      <c r="AY214" s="620"/>
      <c r="AZ214" s="620"/>
      <c r="BA214" s="621"/>
      <c r="BB214" s="619">
        <v>2010</v>
      </c>
      <c r="BC214" s="620"/>
      <c r="BD214" s="620"/>
      <c r="BE214" s="620"/>
      <c r="BF214" s="620"/>
      <c r="BG214" s="620"/>
      <c r="BH214" s="620"/>
      <c r="BI214" s="620"/>
      <c r="BJ214" s="620"/>
      <c r="BK214" s="620"/>
      <c r="BL214" s="620"/>
      <c r="BM214" s="621"/>
      <c r="BN214" s="619">
        <v>2011</v>
      </c>
      <c r="BO214" s="620"/>
      <c r="BP214" s="620"/>
      <c r="BQ214" s="620"/>
      <c r="BR214" s="620"/>
      <c r="BS214" s="620"/>
      <c r="BT214" s="620"/>
      <c r="BU214" s="620"/>
      <c r="BV214" s="620"/>
      <c r="BW214" s="620"/>
      <c r="BX214" s="620"/>
      <c r="BY214" s="621"/>
      <c r="BZ214" s="620">
        <v>2012</v>
      </c>
      <c r="CA214" s="620"/>
      <c r="CB214" s="620"/>
      <c r="CC214" s="620"/>
      <c r="CD214" s="620"/>
      <c r="CE214" s="620"/>
      <c r="CF214" s="620"/>
      <c r="CG214" s="620"/>
      <c r="CH214" s="620"/>
      <c r="CI214" s="620"/>
      <c r="CJ214" s="620"/>
      <c r="CK214" s="620"/>
      <c r="CL214" s="619">
        <v>2013</v>
      </c>
      <c r="CM214" s="620"/>
      <c r="CN214" s="620"/>
      <c r="CO214" s="620"/>
      <c r="CP214" s="620"/>
      <c r="CQ214" s="620"/>
      <c r="CR214" s="620"/>
      <c r="CS214" s="620"/>
      <c r="CT214" s="620"/>
      <c r="CU214" s="620"/>
      <c r="CV214" s="620"/>
      <c r="CW214" s="621"/>
      <c r="CX214" s="619">
        <v>2014</v>
      </c>
      <c r="CY214" s="620"/>
      <c r="CZ214" s="620"/>
      <c r="DA214" s="620"/>
      <c r="DB214" s="620"/>
      <c r="DC214" s="620"/>
      <c r="DD214" s="620"/>
      <c r="DE214" s="620"/>
      <c r="DF214" s="620"/>
      <c r="DG214" s="620"/>
      <c r="DH214" s="620"/>
      <c r="DI214" s="621"/>
      <c r="DJ214" s="619">
        <v>2015</v>
      </c>
      <c r="DK214" s="620"/>
      <c r="DL214" s="620"/>
      <c r="DM214" s="620"/>
      <c r="DN214" s="620"/>
      <c r="DO214" s="620"/>
      <c r="DP214" s="620"/>
      <c r="DQ214" s="620"/>
      <c r="DR214" s="620"/>
      <c r="DS214" s="620"/>
      <c r="DT214" s="620"/>
      <c r="DU214" s="621"/>
    </row>
    <row r="215" spans="1:187">
      <c r="E215" s="62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Ministastvo finansija</cp:lastModifiedBy>
  <cp:lastPrinted>2022-06-24T12:12:13Z</cp:lastPrinted>
  <dcterms:created xsi:type="dcterms:W3CDTF">2014-09-15T13:41:17Z</dcterms:created>
  <dcterms:modified xsi:type="dcterms:W3CDTF">2022-06-27T10:55:15Z</dcterms:modified>
</cp:coreProperties>
</file>