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harts/colors1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1340" yWindow="255" windowWidth="13155" windowHeight="7905" tabRatio="816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Budget'!$B$13:$C$87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Expenditure'!$B$13:$M$74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C74" i="33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49"/>
  <c r="C48"/>
  <c r="C47"/>
  <c r="C46"/>
  <c r="C45"/>
  <c r="C44"/>
  <c r="C43"/>
  <c r="C42"/>
  <c r="C41"/>
  <c r="C40"/>
  <c r="C39"/>
  <c r="C38"/>
  <c r="C36"/>
  <c r="C37"/>
  <c r="C51" i="32"/>
  <c r="C74"/>
  <c r="C73"/>
  <c r="C72"/>
  <c r="C71"/>
  <c r="C70"/>
  <c r="C69"/>
  <c r="C68"/>
  <c r="C67"/>
  <c r="C66"/>
  <c r="C65"/>
  <c r="C64"/>
  <c r="C63"/>
  <c r="C60"/>
  <c r="C59"/>
  <c r="C58"/>
  <c r="C55"/>
  <c r="C52"/>
  <c r="C45"/>
  <c r="C46"/>
  <c r="C47"/>
  <c r="C48"/>
  <c r="C49"/>
  <c r="C50"/>
  <c r="C44"/>
  <c r="C43"/>
  <c r="C42"/>
  <c r="J53"/>
  <c r="F53"/>
  <c r="D53"/>
  <c r="J56"/>
  <c r="F56"/>
  <c r="D56"/>
  <c r="L14" i="33"/>
  <c r="H14"/>
  <c r="L14" i="32"/>
  <c r="H14"/>
  <c r="L14" i="10"/>
  <c r="F78"/>
  <c r="F68"/>
  <c r="F51"/>
  <c r="F62"/>
  <c r="F49" l="1"/>
  <c r="F50" s="1"/>
  <c r="J68"/>
  <c r="J62"/>
  <c r="J42" l="1"/>
  <c r="J35"/>
  <c r="J30"/>
  <c r="J25"/>
  <c r="J17"/>
  <c r="F42"/>
  <c r="F35"/>
  <c r="F30"/>
  <c r="F25"/>
  <c r="F17"/>
  <c r="D51"/>
  <c r="D42"/>
  <c r="D35"/>
  <c r="D30"/>
  <c r="D25"/>
  <c r="D17"/>
  <c r="J16" l="1"/>
  <c r="F16"/>
  <c r="F76" s="1"/>
  <c r="F77" s="1"/>
  <c r="D16"/>
  <c r="D62" l="1"/>
  <c r="D49" s="1"/>
  <c r="D68"/>
  <c r="D78"/>
  <c r="J51"/>
  <c r="J78"/>
  <c r="D50" l="1"/>
  <c r="J49"/>
  <c r="J50" s="1"/>
  <c r="L68"/>
  <c r="M62"/>
  <c r="M86"/>
  <c r="L86"/>
  <c r="M85"/>
  <c r="L85"/>
  <c r="M84"/>
  <c r="L84"/>
  <c r="M81"/>
  <c r="L81"/>
  <c r="M80"/>
  <c r="L80"/>
  <c r="M79"/>
  <c r="L79"/>
  <c r="M78"/>
  <c r="L78"/>
  <c r="M75"/>
  <c r="L75"/>
  <c r="M74"/>
  <c r="L74"/>
  <c r="M73"/>
  <c r="L73"/>
  <c r="M72"/>
  <c r="L72"/>
  <c r="M71"/>
  <c r="L71"/>
  <c r="M70"/>
  <c r="L70"/>
  <c r="M69"/>
  <c r="L69"/>
  <c r="M68"/>
  <c r="M67"/>
  <c r="L67"/>
  <c r="M66"/>
  <c r="L66"/>
  <c r="M65"/>
  <c r="L65"/>
  <c r="M64"/>
  <c r="L64"/>
  <c r="M63"/>
  <c r="L63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D76" l="1"/>
  <c r="D77" s="1"/>
  <c r="J76"/>
  <c r="J82" s="1"/>
  <c r="J87" s="1"/>
  <c r="J83" s="1"/>
  <c r="K52"/>
  <c r="K53"/>
  <c r="K54"/>
  <c r="K55"/>
  <c r="K56"/>
  <c r="K57"/>
  <c r="K58"/>
  <c r="K59"/>
  <c r="I86"/>
  <c r="I85"/>
  <c r="I84"/>
  <c r="I81"/>
  <c r="I80"/>
  <c r="I79"/>
  <c r="I78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G86"/>
  <c r="G85"/>
  <c r="G84"/>
  <c r="G81"/>
  <c r="G80"/>
  <c r="G79"/>
  <c r="G75"/>
  <c r="G74"/>
  <c r="G73"/>
  <c r="G72"/>
  <c r="G71"/>
  <c r="G70"/>
  <c r="G69"/>
  <c r="G68"/>
  <c r="G67"/>
  <c r="G66"/>
  <c r="G65"/>
  <c r="G64"/>
  <c r="G63"/>
  <c r="G61"/>
  <c r="G60"/>
  <c r="G59"/>
  <c r="G58"/>
  <c r="G57"/>
  <c r="G56"/>
  <c r="G55"/>
  <c r="G54"/>
  <c r="G53"/>
  <c r="G52"/>
  <c r="G78"/>
  <c r="G62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8"/>
  <c r="E79"/>
  <c r="E80"/>
  <c r="E81"/>
  <c r="E84"/>
  <c r="E85"/>
  <c r="E86"/>
  <c r="I51" l="1"/>
  <c r="J77"/>
  <c r="M51"/>
  <c r="L51"/>
  <c r="G51"/>
  <c r="G76" l="1"/>
  <c r="G49"/>
  <c r="I49"/>
  <c r="M76"/>
  <c r="L76"/>
  <c r="G77"/>
  <c r="E49"/>
  <c r="I76"/>
  <c r="F82" l="1"/>
  <c r="G50"/>
  <c r="M50"/>
  <c r="L50"/>
  <c r="E50"/>
  <c r="I50"/>
  <c r="E76"/>
  <c r="D82"/>
  <c r="D87" s="1"/>
  <c r="G82" l="1"/>
  <c r="F87"/>
  <c r="I82"/>
  <c r="M82"/>
  <c r="L82"/>
  <c r="M77"/>
  <c r="L77"/>
  <c r="E77"/>
  <c r="I77"/>
  <c r="E82"/>
  <c r="G87" l="1"/>
  <c r="F83"/>
  <c r="G83" s="1"/>
  <c r="I87"/>
  <c r="M87"/>
  <c r="L87"/>
  <c r="D83"/>
  <c r="E87"/>
  <c r="M83" l="1"/>
  <c r="L83"/>
  <c r="E83"/>
  <c r="I83"/>
  <c r="J65" i="32"/>
  <c r="J42"/>
  <c r="J40" s="1"/>
  <c r="J41" s="1"/>
  <c r="J17"/>
  <c r="F42"/>
  <c r="J16" l="1"/>
  <c r="J63" l="1"/>
  <c r="J69" s="1"/>
  <c r="J64" l="1"/>
  <c r="J74"/>
  <c r="J70" l="1"/>
  <c r="J56" i="33"/>
  <c r="F56"/>
  <c r="D56"/>
  <c r="L16" i="10" l="1"/>
  <c r="R22"/>
  <c r="R21"/>
  <c r="R20"/>
  <c r="Q22"/>
  <c r="Q21"/>
  <c r="Q20"/>
  <c r="P22"/>
  <c r="P21"/>
  <c r="P20"/>
  <c r="G48" l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M75" i="32"/>
  <c r="L75"/>
  <c r="M73"/>
  <c r="L73"/>
  <c r="L72"/>
  <c r="M71"/>
  <c r="L71"/>
  <c r="M68"/>
  <c r="L68"/>
  <c r="M67"/>
  <c r="L67"/>
  <c r="M66"/>
  <c r="L66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39"/>
  <c r="L39"/>
  <c r="M38"/>
  <c r="L38"/>
  <c r="M37"/>
  <c r="L37"/>
  <c r="M36"/>
  <c r="L36"/>
  <c r="M35"/>
  <c r="L35"/>
  <c r="M34"/>
  <c r="L34"/>
  <c r="M32"/>
  <c r="L32"/>
  <c r="M31"/>
  <c r="L31"/>
  <c r="M30"/>
  <c r="L30"/>
  <c r="M29"/>
  <c r="L29"/>
  <c r="M28"/>
  <c r="L28"/>
  <c r="M26"/>
  <c r="L26"/>
  <c r="M25"/>
  <c r="L25"/>
  <c r="M24"/>
  <c r="L24"/>
  <c r="M23"/>
  <c r="L23"/>
  <c r="M22"/>
  <c r="L22"/>
  <c r="M20"/>
  <c r="L20"/>
  <c r="M19"/>
  <c r="L19"/>
  <c r="M18"/>
  <c r="L18"/>
  <c r="I75"/>
  <c r="H75"/>
  <c r="I73"/>
  <c r="H73"/>
  <c r="H72"/>
  <c r="I71"/>
  <c r="H71"/>
  <c r="I68"/>
  <c r="H68"/>
  <c r="I67"/>
  <c r="H67"/>
  <c r="I66"/>
  <c r="H66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39"/>
  <c r="H39"/>
  <c r="I38"/>
  <c r="H38"/>
  <c r="I37"/>
  <c r="H37"/>
  <c r="I36"/>
  <c r="H36"/>
  <c r="I35"/>
  <c r="H35"/>
  <c r="I34"/>
  <c r="H34"/>
  <c r="I32"/>
  <c r="H32"/>
  <c r="I31"/>
  <c r="H31"/>
  <c r="I30"/>
  <c r="H30"/>
  <c r="I29"/>
  <c r="H29"/>
  <c r="I28"/>
  <c r="H28"/>
  <c r="I26"/>
  <c r="H26"/>
  <c r="I25"/>
  <c r="H25"/>
  <c r="I24"/>
  <c r="H24"/>
  <c r="I23"/>
  <c r="H23"/>
  <c r="I22"/>
  <c r="H22"/>
  <c r="I20"/>
  <c r="H20"/>
  <c r="I19"/>
  <c r="H19"/>
  <c r="I18"/>
  <c r="H18"/>
  <c r="F65" l="1"/>
  <c r="D65"/>
  <c r="F40"/>
  <c r="F41" s="1"/>
  <c r="D42"/>
  <c r="D40" s="1"/>
  <c r="F17"/>
  <c r="C32"/>
  <c r="D17"/>
  <c r="M27" l="1"/>
  <c r="H27"/>
  <c r="L27"/>
  <c r="I27"/>
  <c r="M42"/>
  <c r="H42"/>
  <c r="L42"/>
  <c r="I42"/>
  <c r="M33"/>
  <c r="H33"/>
  <c r="L33"/>
  <c r="I33"/>
  <c r="M65"/>
  <c r="H65"/>
  <c r="L65"/>
  <c r="I65"/>
  <c r="M17"/>
  <c r="H17"/>
  <c r="L17"/>
  <c r="I17"/>
  <c r="D16"/>
  <c r="M21"/>
  <c r="H21"/>
  <c r="L21"/>
  <c r="I21"/>
  <c r="F16"/>
  <c r="F63" l="1"/>
  <c r="D63"/>
  <c r="M40"/>
  <c r="H40"/>
  <c r="L40"/>
  <c r="I40"/>
  <c r="D41"/>
  <c r="L16"/>
  <c r="H16"/>
  <c r="I16"/>
  <c r="M16"/>
  <c r="M49" i="10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H86"/>
  <c r="H85"/>
  <c r="H84"/>
  <c r="H81"/>
  <c r="H80"/>
  <c r="H79"/>
  <c r="H78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M16"/>
  <c r="H16"/>
  <c r="F18" i="33"/>
  <c r="H82" i="10" l="1"/>
  <c r="H77"/>
  <c r="M41" i="32"/>
  <c r="H41"/>
  <c r="L41"/>
  <c r="I41"/>
  <c r="M63"/>
  <c r="H63"/>
  <c r="L63"/>
  <c r="I63"/>
  <c r="D64"/>
  <c r="D69"/>
  <c r="F69"/>
  <c r="F74" s="1"/>
  <c r="F64"/>
  <c r="D11" i="33"/>
  <c r="G18" s="1"/>
  <c r="D11" i="32"/>
  <c r="E15" i="10"/>
  <c r="D15"/>
  <c r="G64" i="32" l="1"/>
  <c r="G69"/>
  <c r="E64"/>
  <c r="M64"/>
  <c r="H64"/>
  <c r="L64"/>
  <c r="I64"/>
  <c r="G72"/>
  <c r="G68"/>
  <c r="G66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E72"/>
  <c r="E68"/>
  <c r="E66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G75"/>
  <c r="G73"/>
  <c r="G71"/>
  <c r="G67"/>
  <c r="G65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19"/>
  <c r="E75"/>
  <c r="E73"/>
  <c r="E71"/>
  <c r="E67"/>
  <c r="E65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19"/>
  <c r="G21"/>
  <c r="E17"/>
  <c r="E21"/>
  <c r="G17"/>
  <c r="G16"/>
  <c r="E16"/>
  <c r="M69"/>
  <c r="H69"/>
  <c r="D74"/>
  <c r="E69"/>
  <c r="L69"/>
  <c r="I69"/>
  <c r="G63"/>
  <c r="E63"/>
  <c r="H87" i="10"/>
  <c r="C88"/>
  <c r="P6" i="31"/>
  <c r="P7"/>
  <c r="P5"/>
  <c r="G74" i="32" l="1"/>
  <c r="F70"/>
  <c r="G70" s="1"/>
  <c r="E74"/>
  <c r="L74"/>
  <c r="I74"/>
  <c r="M74"/>
  <c r="H74"/>
  <c r="D70"/>
  <c r="H83" i="10"/>
  <c r="E43" i="36"/>
  <c r="I43" s="1"/>
  <c r="G43"/>
  <c r="L18"/>
  <c r="M13"/>
  <c r="L13"/>
  <c r="D7"/>
  <c r="C7"/>
  <c r="D78"/>
  <c r="D77"/>
  <c r="D76"/>
  <c r="D73"/>
  <c r="D72"/>
  <c r="D71"/>
  <c r="D67"/>
  <c r="D66"/>
  <c r="D65"/>
  <c r="D64"/>
  <c r="D63"/>
  <c r="D62"/>
  <c r="D61"/>
  <c r="D59"/>
  <c r="D58"/>
  <c r="D57"/>
  <c r="D56"/>
  <c r="D55"/>
  <c r="D53"/>
  <c r="D52"/>
  <c r="D51"/>
  <c r="D50"/>
  <c r="D49"/>
  <c r="D48"/>
  <c r="D47"/>
  <c r="D46"/>
  <c r="D45"/>
  <c r="D44"/>
  <c r="D40"/>
  <c r="D39"/>
  <c r="D38"/>
  <c r="D37"/>
  <c r="D36"/>
  <c r="D35"/>
  <c r="D33"/>
  <c r="D32"/>
  <c r="D31"/>
  <c r="D30"/>
  <c r="D29"/>
  <c r="D28"/>
  <c r="D26"/>
  <c r="D25"/>
  <c r="D24"/>
  <c r="D23"/>
  <c r="D21"/>
  <c r="D20"/>
  <c r="D19"/>
  <c r="D18"/>
  <c r="D16"/>
  <c r="D15"/>
  <c r="D14"/>
  <c r="D13"/>
  <c r="D12"/>
  <c r="D11"/>
  <c r="D10"/>
  <c r="C70"/>
  <c r="D70" s="1"/>
  <c r="C60"/>
  <c r="D60" s="1"/>
  <c r="C54"/>
  <c r="D54" s="1"/>
  <c r="C43"/>
  <c r="D43" s="1"/>
  <c r="C34"/>
  <c r="D34" s="1"/>
  <c r="C27"/>
  <c r="D27" s="1"/>
  <c r="C22"/>
  <c r="D22" s="1"/>
  <c r="C17"/>
  <c r="D17" s="1"/>
  <c r="C9"/>
  <c r="D9" s="1"/>
  <c r="J52"/>
  <c r="J40"/>
  <c r="I40"/>
  <c r="I39"/>
  <c r="I38"/>
  <c r="I37"/>
  <c r="I36"/>
  <c r="I35"/>
  <c r="I33"/>
  <c r="I32"/>
  <c r="I31"/>
  <c r="I30"/>
  <c r="I29"/>
  <c r="I28"/>
  <c r="I26"/>
  <c r="I25"/>
  <c r="I24"/>
  <c r="I23"/>
  <c r="I21"/>
  <c r="I20"/>
  <c r="I19"/>
  <c r="I18"/>
  <c r="I16"/>
  <c r="I15"/>
  <c r="I14"/>
  <c r="I13"/>
  <c r="I12"/>
  <c r="I11"/>
  <c r="I10"/>
  <c r="H78"/>
  <c r="H77"/>
  <c r="H76"/>
  <c r="H74"/>
  <c r="H73"/>
  <c r="H72"/>
  <c r="H71"/>
  <c r="H67"/>
  <c r="H66"/>
  <c r="H65"/>
  <c r="H64"/>
  <c r="H63"/>
  <c r="H62"/>
  <c r="H61"/>
  <c r="H59"/>
  <c r="H58"/>
  <c r="H57"/>
  <c r="H56"/>
  <c r="H55"/>
  <c r="H53"/>
  <c r="H52"/>
  <c r="H51"/>
  <c r="H50"/>
  <c r="H49"/>
  <c r="H48"/>
  <c r="H47"/>
  <c r="H46"/>
  <c r="H45"/>
  <c r="H44"/>
  <c r="H43"/>
  <c r="H40"/>
  <c r="H39"/>
  <c r="H38"/>
  <c r="H37"/>
  <c r="H36"/>
  <c r="H35"/>
  <c r="H33"/>
  <c r="H32"/>
  <c r="H31"/>
  <c r="H30"/>
  <c r="H29"/>
  <c r="H28"/>
  <c r="H26"/>
  <c r="H25"/>
  <c r="H24"/>
  <c r="H23"/>
  <c r="H21"/>
  <c r="H20"/>
  <c r="H19"/>
  <c r="H18"/>
  <c r="H16"/>
  <c r="H15"/>
  <c r="H14"/>
  <c r="H13"/>
  <c r="H12"/>
  <c r="H11"/>
  <c r="H10"/>
  <c r="G60"/>
  <c r="H60" s="1"/>
  <c r="G54"/>
  <c r="G70"/>
  <c r="H70" s="1"/>
  <c r="G79"/>
  <c r="G75" s="1"/>
  <c r="H75" s="1"/>
  <c r="G34"/>
  <c r="E34"/>
  <c r="F34" s="1"/>
  <c r="G27"/>
  <c r="H27" s="1"/>
  <c r="E27"/>
  <c r="G22"/>
  <c r="E22"/>
  <c r="F22" s="1"/>
  <c r="G17"/>
  <c r="H17" s="1"/>
  <c r="E17"/>
  <c r="G9"/>
  <c r="H9" s="1"/>
  <c r="E9"/>
  <c r="G8"/>
  <c r="L16" s="1"/>
  <c r="F40"/>
  <c r="J10"/>
  <c r="J11"/>
  <c r="J12"/>
  <c r="J13"/>
  <c r="J14"/>
  <c r="J15"/>
  <c r="J16"/>
  <c r="J18"/>
  <c r="J19"/>
  <c r="J20"/>
  <c r="J21"/>
  <c r="J23"/>
  <c r="J24"/>
  <c r="J25"/>
  <c r="J26"/>
  <c r="J28"/>
  <c r="J29"/>
  <c r="J30"/>
  <c r="J31"/>
  <c r="J32"/>
  <c r="J33"/>
  <c r="J35"/>
  <c r="J36"/>
  <c r="J37"/>
  <c r="J38"/>
  <c r="J39"/>
  <c r="I44"/>
  <c r="J44"/>
  <c r="I45"/>
  <c r="J45"/>
  <c r="I46"/>
  <c r="J46"/>
  <c r="I47"/>
  <c r="J47"/>
  <c r="I48"/>
  <c r="J48"/>
  <c r="I49"/>
  <c r="J49"/>
  <c r="I50"/>
  <c r="J50"/>
  <c r="I51"/>
  <c r="J51"/>
  <c r="I52"/>
  <c r="I53"/>
  <c r="J53"/>
  <c r="I55"/>
  <c r="J55"/>
  <c r="I56"/>
  <c r="J56"/>
  <c r="I57"/>
  <c r="J57"/>
  <c r="I58"/>
  <c r="J58"/>
  <c r="I59"/>
  <c r="J59"/>
  <c r="I61"/>
  <c r="J61"/>
  <c r="I62"/>
  <c r="J62"/>
  <c r="I63"/>
  <c r="J63"/>
  <c r="I64"/>
  <c r="J64"/>
  <c r="I65"/>
  <c r="J65"/>
  <c r="I66"/>
  <c r="J66"/>
  <c r="I67"/>
  <c r="J67"/>
  <c r="I71"/>
  <c r="J71"/>
  <c r="I72"/>
  <c r="J72"/>
  <c r="I73"/>
  <c r="J73"/>
  <c r="I76"/>
  <c r="J76"/>
  <c r="I77"/>
  <c r="J77"/>
  <c r="I78"/>
  <c r="J78"/>
  <c r="F78"/>
  <c r="F77"/>
  <c r="F76"/>
  <c r="F73"/>
  <c r="F72"/>
  <c r="F71"/>
  <c r="E70"/>
  <c r="F70" s="1"/>
  <c r="F67"/>
  <c r="F66"/>
  <c r="F65"/>
  <c r="F64"/>
  <c r="F63"/>
  <c r="F62"/>
  <c r="F61"/>
  <c r="E60"/>
  <c r="F59"/>
  <c r="F58"/>
  <c r="F57"/>
  <c r="F56"/>
  <c r="F55"/>
  <c r="E54"/>
  <c r="J54" s="1"/>
  <c r="F53"/>
  <c r="F52"/>
  <c r="F51"/>
  <c r="F50"/>
  <c r="F49"/>
  <c r="F48"/>
  <c r="F47"/>
  <c r="F46"/>
  <c r="F45"/>
  <c r="F44"/>
  <c r="F39"/>
  <c r="F38"/>
  <c r="F37"/>
  <c r="F36"/>
  <c r="F35"/>
  <c r="F33"/>
  <c r="F32"/>
  <c r="F31"/>
  <c r="F30"/>
  <c r="F29"/>
  <c r="F28"/>
  <c r="F27"/>
  <c r="F26"/>
  <c r="F25"/>
  <c r="F24"/>
  <c r="F23"/>
  <c r="F21"/>
  <c r="F20"/>
  <c r="F19"/>
  <c r="F18"/>
  <c r="F17"/>
  <c r="F16"/>
  <c r="F15"/>
  <c r="F14"/>
  <c r="F13"/>
  <c r="F12"/>
  <c r="F11"/>
  <c r="F10"/>
  <c r="F9"/>
  <c r="J43" l="1"/>
  <c r="J34"/>
  <c r="J60"/>
  <c r="J9"/>
  <c r="G41"/>
  <c r="G42" s="1"/>
  <c r="H42" s="1"/>
  <c r="C8"/>
  <c r="E70" i="32"/>
  <c r="M70"/>
  <c r="H70"/>
  <c r="L70"/>
  <c r="I70"/>
  <c r="I22" i="36"/>
  <c r="I34"/>
  <c r="E8"/>
  <c r="H8"/>
  <c r="H22"/>
  <c r="H34"/>
  <c r="H54"/>
  <c r="I9"/>
  <c r="I17"/>
  <c r="I27"/>
  <c r="C41"/>
  <c r="D41" s="1"/>
  <c r="D8"/>
  <c r="H79"/>
  <c r="H41"/>
  <c r="C42"/>
  <c r="D42" s="1"/>
  <c r="G68"/>
  <c r="I8"/>
  <c r="F8"/>
  <c r="J8"/>
  <c r="J27"/>
  <c r="J22"/>
  <c r="J17"/>
  <c r="I70"/>
  <c r="I60"/>
  <c r="I54"/>
  <c r="J70"/>
  <c r="F60"/>
  <c r="E41"/>
  <c r="F43"/>
  <c r="F54"/>
  <c r="I41" l="1"/>
  <c r="C68"/>
  <c r="D68" s="1"/>
  <c r="G69"/>
  <c r="H69" s="1"/>
  <c r="H68"/>
  <c r="F41"/>
  <c r="J41"/>
  <c r="E68"/>
  <c r="E69" s="1"/>
  <c r="E42"/>
  <c r="C69" l="1"/>
  <c r="D69" s="1"/>
  <c r="C74"/>
  <c r="D74" s="1"/>
  <c r="C79"/>
  <c r="D79" s="1"/>
  <c r="E74"/>
  <c r="I74" s="1"/>
  <c r="F68"/>
  <c r="F69"/>
  <c r="J69"/>
  <c r="I69"/>
  <c r="F42"/>
  <c r="J42"/>
  <c r="I42"/>
  <c r="J74"/>
  <c r="J68"/>
  <c r="I68"/>
  <c r="F74"/>
  <c r="E79" l="1"/>
  <c r="J79" s="1"/>
  <c r="F79"/>
  <c r="I79" l="1"/>
  <c r="E75"/>
  <c r="F75" s="1"/>
  <c r="J75" l="1"/>
  <c r="I75"/>
  <c r="J73" i="33"/>
  <c r="F73"/>
  <c r="G73" s="1"/>
  <c r="D73"/>
  <c r="J35"/>
  <c r="F35"/>
  <c r="G35" s="1"/>
  <c r="D35"/>
  <c r="J72"/>
  <c r="F72"/>
  <c r="G72" s="1"/>
  <c r="D72"/>
  <c r="J71"/>
  <c r="F71"/>
  <c r="G71" s="1"/>
  <c r="D71"/>
  <c r="J68"/>
  <c r="F68"/>
  <c r="G68" s="1"/>
  <c r="D68"/>
  <c r="J67"/>
  <c r="F67"/>
  <c r="G67" s="1"/>
  <c r="D67"/>
  <c r="J66"/>
  <c r="F66"/>
  <c r="G66" s="1"/>
  <c r="D66"/>
  <c r="J62"/>
  <c r="F62"/>
  <c r="G62" s="1"/>
  <c r="D62"/>
  <c r="F61"/>
  <c r="G61" s="1"/>
  <c r="D61"/>
  <c r="J60"/>
  <c r="F60"/>
  <c r="G60" s="1"/>
  <c r="D60"/>
  <c r="J59"/>
  <c r="F59"/>
  <c r="G59" s="1"/>
  <c r="D59"/>
  <c r="J58"/>
  <c r="F58"/>
  <c r="G58" s="1"/>
  <c r="D58"/>
  <c r="J57"/>
  <c r="F57"/>
  <c r="G57" s="1"/>
  <c r="D57"/>
  <c r="G56"/>
  <c r="J54"/>
  <c r="F54"/>
  <c r="G54" s="1"/>
  <c r="D54"/>
  <c r="J53"/>
  <c r="F53"/>
  <c r="G53" s="1"/>
  <c r="D53"/>
  <c r="J52"/>
  <c r="F52"/>
  <c r="G52" s="1"/>
  <c r="D52"/>
  <c r="J51"/>
  <c r="F51"/>
  <c r="G51" s="1"/>
  <c r="D51"/>
  <c r="J50"/>
  <c r="F50"/>
  <c r="G50" s="1"/>
  <c r="D50"/>
  <c r="J48"/>
  <c r="F48"/>
  <c r="G48" s="1"/>
  <c r="D48"/>
  <c r="J47"/>
  <c r="F47"/>
  <c r="G47" s="1"/>
  <c r="D47"/>
  <c r="J46"/>
  <c r="F46"/>
  <c r="G46" s="1"/>
  <c r="D46"/>
  <c r="J45"/>
  <c r="F45"/>
  <c r="G45" s="1"/>
  <c r="D45"/>
  <c r="J44"/>
  <c r="F44"/>
  <c r="G44" s="1"/>
  <c r="D44"/>
  <c r="J43"/>
  <c r="F43"/>
  <c r="G43" s="1"/>
  <c r="D43"/>
  <c r="J42"/>
  <c r="F42"/>
  <c r="G42" s="1"/>
  <c r="D42"/>
  <c r="J41"/>
  <c r="F41"/>
  <c r="G41" s="1"/>
  <c r="D41"/>
  <c r="J40"/>
  <c r="F40"/>
  <c r="G40" s="1"/>
  <c r="D40"/>
  <c r="J39"/>
  <c r="F39"/>
  <c r="G39" s="1"/>
  <c r="D39"/>
  <c r="F34"/>
  <c r="G34" s="1"/>
  <c r="D34"/>
  <c r="F30"/>
  <c r="G30" s="1"/>
  <c r="D30"/>
  <c r="F29"/>
  <c r="G29" s="1"/>
  <c r="D29"/>
  <c r="F28"/>
  <c r="G28" s="1"/>
  <c r="D28"/>
  <c r="F27"/>
  <c r="G27" s="1"/>
  <c r="D27"/>
  <c r="F25"/>
  <c r="G25" s="1"/>
  <c r="D25"/>
  <c r="J24"/>
  <c r="F24"/>
  <c r="G24" s="1"/>
  <c r="D24"/>
  <c r="F23"/>
  <c r="G23" s="1"/>
  <c r="D23"/>
  <c r="F22"/>
  <c r="G22" s="1"/>
  <c r="D22"/>
  <c r="F21"/>
  <c r="G21" s="1"/>
  <c r="D21"/>
  <c r="F20"/>
  <c r="G20" s="1"/>
  <c r="D20"/>
  <c r="F19"/>
  <c r="G19" s="1"/>
  <c r="D19"/>
  <c r="D18"/>
  <c r="E20" i="30"/>
  <c r="E21"/>
  <c r="E22"/>
  <c r="E19"/>
  <c r="E14"/>
  <c r="E15"/>
  <c r="E13"/>
  <c r="E9"/>
  <c r="D58" i="29"/>
  <c r="D57"/>
  <c r="D53"/>
  <c r="D37"/>
  <c r="H48" i="33" l="1"/>
  <c r="E19"/>
  <c r="H19"/>
  <c r="I19"/>
  <c r="E20"/>
  <c r="H20"/>
  <c r="I20"/>
  <c r="E21"/>
  <c r="H21"/>
  <c r="I21"/>
  <c r="E22"/>
  <c r="H22"/>
  <c r="I22"/>
  <c r="E23"/>
  <c r="H23"/>
  <c r="I23"/>
  <c r="E24"/>
  <c r="L24"/>
  <c r="H24"/>
  <c r="M24"/>
  <c r="I24"/>
  <c r="E40"/>
  <c r="L40"/>
  <c r="H40"/>
  <c r="M40"/>
  <c r="I40"/>
  <c r="E42"/>
  <c r="L42"/>
  <c r="H42"/>
  <c r="M42"/>
  <c r="I42"/>
  <c r="E44"/>
  <c r="L44"/>
  <c r="H44"/>
  <c r="M44"/>
  <c r="I44"/>
  <c r="E46"/>
  <c r="L46"/>
  <c r="H46"/>
  <c r="M46"/>
  <c r="I46"/>
  <c r="E48"/>
  <c r="L48"/>
  <c r="M48"/>
  <c r="I48"/>
  <c r="E51"/>
  <c r="L51"/>
  <c r="H51"/>
  <c r="M51"/>
  <c r="I51"/>
  <c r="E53"/>
  <c r="L53"/>
  <c r="H53"/>
  <c r="M53"/>
  <c r="I53"/>
  <c r="E56"/>
  <c r="L56"/>
  <c r="H56"/>
  <c r="M56"/>
  <c r="I56"/>
  <c r="E58"/>
  <c r="L58"/>
  <c r="H58"/>
  <c r="M58"/>
  <c r="I58"/>
  <c r="E60"/>
  <c r="L60"/>
  <c r="H60"/>
  <c r="M60"/>
  <c r="I60"/>
  <c r="E66"/>
  <c r="L66"/>
  <c r="H66"/>
  <c r="M66"/>
  <c r="I66"/>
  <c r="E68"/>
  <c r="L68"/>
  <c r="H68"/>
  <c r="M68"/>
  <c r="I68"/>
  <c r="E72"/>
  <c r="L72"/>
  <c r="H72"/>
  <c r="M72"/>
  <c r="I72"/>
  <c r="E73"/>
  <c r="L73"/>
  <c r="H73"/>
  <c r="M73"/>
  <c r="I73"/>
  <c r="E18"/>
  <c r="H18"/>
  <c r="I18"/>
  <c r="E25"/>
  <c r="H25"/>
  <c r="I25"/>
  <c r="E27"/>
  <c r="H27"/>
  <c r="I27"/>
  <c r="E28"/>
  <c r="H28"/>
  <c r="I28"/>
  <c r="E29"/>
  <c r="H29"/>
  <c r="I29"/>
  <c r="E30"/>
  <c r="H30"/>
  <c r="I30"/>
  <c r="E34"/>
  <c r="H34"/>
  <c r="I34"/>
  <c r="E39"/>
  <c r="L39"/>
  <c r="H39"/>
  <c r="M39"/>
  <c r="I39"/>
  <c r="E41"/>
  <c r="L41"/>
  <c r="H41"/>
  <c r="M41"/>
  <c r="I41"/>
  <c r="E43"/>
  <c r="L43"/>
  <c r="H43"/>
  <c r="M43"/>
  <c r="I43"/>
  <c r="E45"/>
  <c r="L45"/>
  <c r="H45"/>
  <c r="M45"/>
  <c r="I45"/>
  <c r="E47"/>
  <c r="L47"/>
  <c r="H47"/>
  <c r="M47"/>
  <c r="I47"/>
  <c r="E50"/>
  <c r="L50"/>
  <c r="H50"/>
  <c r="M50"/>
  <c r="I50"/>
  <c r="E52"/>
  <c r="L52"/>
  <c r="H52"/>
  <c r="M52"/>
  <c r="I52"/>
  <c r="E54"/>
  <c r="L54"/>
  <c r="H54"/>
  <c r="M54"/>
  <c r="I54"/>
  <c r="E57"/>
  <c r="L57"/>
  <c r="H57"/>
  <c r="M57"/>
  <c r="I57"/>
  <c r="E59"/>
  <c r="L59"/>
  <c r="H59"/>
  <c r="M59"/>
  <c r="I59"/>
  <c r="E61"/>
  <c r="H61"/>
  <c r="I61"/>
  <c r="E62"/>
  <c r="L62"/>
  <c r="H62"/>
  <c r="M62"/>
  <c r="I62"/>
  <c r="E67"/>
  <c r="L67"/>
  <c r="H67"/>
  <c r="M67"/>
  <c r="I67"/>
  <c r="E71"/>
  <c r="L71"/>
  <c r="H71"/>
  <c r="M71"/>
  <c r="I71"/>
  <c r="E35"/>
  <c r="L35"/>
  <c r="H35"/>
  <c r="M35"/>
  <c r="I35"/>
  <c r="J61"/>
  <c r="L61" s="1"/>
  <c r="F55"/>
  <c r="G55" s="1"/>
  <c r="F38"/>
  <c r="G38" s="1"/>
  <c r="J38"/>
  <c r="J55"/>
  <c r="D17"/>
  <c r="D65"/>
  <c r="J65"/>
  <c r="F17"/>
  <c r="F26"/>
  <c r="G26" s="1"/>
  <c r="D38"/>
  <c r="F65"/>
  <c r="G65" s="1"/>
  <c r="D26"/>
  <c r="D55"/>
  <c r="C7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M15"/>
  <c r="L15"/>
  <c r="K15"/>
  <c r="J15"/>
  <c r="I15"/>
  <c r="H15"/>
  <c r="G15"/>
  <c r="F15"/>
  <c r="E15"/>
  <c r="D15"/>
  <c r="C15"/>
  <c r="C11"/>
  <c r="G17" l="1"/>
  <c r="M61"/>
  <c r="H26"/>
  <c r="I26"/>
  <c r="E38"/>
  <c r="L38"/>
  <c r="H38"/>
  <c r="M38"/>
  <c r="I38"/>
  <c r="E65"/>
  <c r="L65"/>
  <c r="H65"/>
  <c r="M65"/>
  <c r="I65"/>
  <c r="L55"/>
  <c r="H55"/>
  <c r="M55"/>
  <c r="I55"/>
  <c r="E17"/>
  <c r="H17"/>
  <c r="I17"/>
  <c r="E26"/>
  <c r="E55"/>
  <c r="E8" i="30"/>
  <c r="K11" i="32" l="1"/>
  <c r="C76" l="1"/>
  <c r="C41"/>
  <c r="C40"/>
  <c r="C38"/>
  <c r="C37"/>
  <c r="C36"/>
  <c r="C35"/>
  <c r="C34"/>
  <c r="C33"/>
  <c r="C29"/>
  <c r="C28"/>
  <c r="C27"/>
  <c r="C23"/>
  <c r="C22"/>
  <c r="C21"/>
  <c r="C19"/>
  <c r="C18"/>
  <c r="C17"/>
  <c r="C16"/>
  <c r="L15"/>
  <c r="K15"/>
  <c r="J15"/>
  <c r="H15"/>
  <c r="G15"/>
  <c r="F15"/>
  <c r="E15"/>
  <c r="D15"/>
  <c r="C15"/>
  <c r="F49" i="33" l="1"/>
  <c r="G49" s="1"/>
  <c r="J49"/>
  <c r="D49"/>
  <c r="L49" l="1"/>
  <c r="H49"/>
  <c r="M49"/>
  <c r="I49"/>
  <c r="E49"/>
  <c r="D36"/>
  <c r="J36"/>
  <c r="F36"/>
  <c r="S19" l="1"/>
  <c r="S17"/>
  <c r="G36"/>
  <c r="S18"/>
  <c r="L36"/>
  <c r="H36"/>
  <c r="M36"/>
  <c r="I36"/>
  <c r="E36"/>
  <c r="D37"/>
  <c r="F37"/>
  <c r="G37" s="1"/>
  <c r="J37"/>
  <c r="E37" l="1"/>
  <c r="L37"/>
  <c r="H37"/>
  <c r="M37"/>
  <c r="I37"/>
  <c r="J18"/>
  <c r="L18" l="1"/>
  <c r="M18"/>
  <c r="J22"/>
  <c r="D7" i="29"/>
  <c r="K85" i="10" l="1"/>
  <c r="K81"/>
  <c r="K79"/>
  <c r="K75"/>
  <c r="K73"/>
  <c r="K71"/>
  <c r="K69"/>
  <c r="K66"/>
  <c r="K64"/>
  <c r="K61"/>
  <c r="K48"/>
  <c r="K46"/>
  <c r="K44"/>
  <c r="K42"/>
  <c r="K40"/>
  <c r="K38"/>
  <c r="K36"/>
  <c r="K34"/>
  <c r="K32"/>
  <c r="K30"/>
  <c r="K28"/>
  <c r="K26"/>
  <c r="K24"/>
  <c r="K22"/>
  <c r="K20"/>
  <c r="K18"/>
  <c r="K16"/>
  <c r="K86"/>
  <c r="K84"/>
  <c r="K80"/>
  <c r="K74"/>
  <c r="K72"/>
  <c r="K70"/>
  <c r="K67"/>
  <c r="K65"/>
  <c r="K63"/>
  <c r="K60"/>
  <c r="K47"/>
  <c r="K45"/>
  <c r="K43"/>
  <c r="K41"/>
  <c r="K39"/>
  <c r="K37"/>
  <c r="K35"/>
  <c r="K33"/>
  <c r="K31"/>
  <c r="K29"/>
  <c r="K27"/>
  <c r="K25"/>
  <c r="K23"/>
  <c r="K21"/>
  <c r="K19"/>
  <c r="K17"/>
  <c r="K62"/>
  <c r="K49"/>
  <c r="K78"/>
  <c r="K68"/>
  <c r="K51"/>
  <c r="K50"/>
  <c r="K76"/>
  <c r="K82"/>
  <c r="K77"/>
  <c r="K87"/>
  <c r="K83"/>
  <c r="L22" i="33"/>
  <c r="M22"/>
  <c r="J11"/>
  <c r="J11" i="32"/>
  <c r="K22" i="33"/>
  <c r="J21"/>
  <c r="D21" i="29"/>
  <c r="D23"/>
  <c r="D20"/>
  <c r="K73" i="32" l="1"/>
  <c r="K71"/>
  <c r="K67"/>
  <c r="K65"/>
  <c r="K62"/>
  <c r="K60"/>
  <c r="K58"/>
  <c r="K56"/>
  <c r="K54"/>
  <c r="K52"/>
  <c r="K50"/>
  <c r="K48"/>
  <c r="K46"/>
  <c r="K44"/>
  <c r="K39"/>
  <c r="K37"/>
  <c r="K35"/>
  <c r="K31"/>
  <c r="K29"/>
  <c r="K25"/>
  <c r="K23"/>
  <c r="K19"/>
  <c r="K75"/>
  <c r="K72"/>
  <c r="K68"/>
  <c r="K66"/>
  <c r="K61"/>
  <c r="K59"/>
  <c r="K57"/>
  <c r="K53"/>
  <c r="K51"/>
  <c r="K49"/>
  <c r="K47"/>
  <c r="K45"/>
  <c r="K43"/>
  <c r="K38"/>
  <c r="K36"/>
  <c r="K34"/>
  <c r="K32"/>
  <c r="K30"/>
  <c r="K28"/>
  <c r="K26"/>
  <c r="K24"/>
  <c r="K22"/>
  <c r="K20"/>
  <c r="K18"/>
  <c r="K55"/>
  <c r="K21"/>
  <c r="K33"/>
  <c r="K42"/>
  <c r="K41"/>
  <c r="K17"/>
  <c r="K27"/>
  <c r="K40"/>
  <c r="K16"/>
  <c r="K69"/>
  <c r="K63"/>
  <c r="K74"/>
  <c r="K64"/>
  <c r="K70"/>
  <c r="K21" i="33"/>
  <c r="L21"/>
  <c r="M21"/>
  <c r="K24"/>
  <c r="K46"/>
  <c r="K51"/>
  <c r="K56"/>
  <c r="K60"/>
  <c r="K39"/>
  <c r="K43"/>
  <c r="K47"/>
  <c r="K52"/>
  <c r="K57"/>
  <c r="K62"/>
  <c r="K71"/>
  <c r="K40"/>
  <c r="K68"/>
  <c r="K73"/>
  <c r="K42"/>
  <c r="K48"/>
  <c r="K53"/>
  <c r="K58"/>
  <c r="K66"/>
  <c r="K41"/>
  <c r="K45"/>
  <c r="K50"/>
  <c r="K54"/>
  <c r="K59"/>
  <c r="K67"/>
  <c r="K35"/>
  <c r="K44"/>
  <c r="K72"/>
  <c r="K65"/>
  <c r="K61"/>
  <c r="K55"/>
  <c r="K38"/>
  <c r="K49"/>
  <c r="K36"/>
  <c r="K37"/>
  <c r="K18"/>
  <c r="J25"/>
  <c r="J23"/>
  <c r="J29"/>
  <c r="J20"/>
  <c r="J28"/>
  <c r="J30"/>
  <c r="J19"/>
  <c r="J27"/>
  <c r="J34"/>
  <c r="D11" i="29"/>
  <c r="L19" i="33" l="1"/>
  <c r="M19"/>
  <c r="K28"/>
  <c r="L28"/>
  <c r="M28"/>
  <c r="K29"/>
  <c r="L29"/>
  <c r="M29"/>
  <c r="K25"/>
  <c r="L25"/>
  <c r="M25"/>
  <c r="K34"/>
  <c r="L34"/>
  <c r="M34"/>
  <c r="L27"/>
  <c r="M27"/>
  <c r="K30"/>
  <c r="L30"/>
  <c r="M30"/>
  <c r="K20"/>
  <c r="L20"/>
  <c r="M20"/>
  <c r="K23"/>
  <c r="L23"/>
  <c r="M23"/>
  <c r="K19"/>
  <c r="J17"/>
  <c r="K27"/>
  <c r="J26"/>
  <c r="D10" i="29"/>
  <c r="K17" i="33" l="1"/>
  <c r="L17"/>
  <c r="M17"/>
  <c r="K26"/>
  <c r="L26"/>
  <c r="M26"/>
  <c r="D8" i="29"/>
  <c r="D16"/>
  <c r="D45"/>
  <c r="D18"/>
  <c r="D12"/>
  <c r="D17"/>
  <c r="D9"/>
  <c r="D15"/>
  <c r="D13"/>
  <c r="D32" l="1"/>
  <c r="D22"/>
  <c r="D35" l="1"/>
  <c r="D30"/>
  <c r="D26"/>
  <c r="D34"/>
  <c r="D29"/>
  <c r="D33"/>
  <c r="D28"/>
  <c r="D27"/>
  <c r="D25"/>
  <c r="D52"/>
  <c r="D36"/>
  <c r="E12" i="30" l="1"/>
  <c r="G12" s="1"/>
  <c r="F4" i="29" l="1"/>
  <c r="G8" i="10"/>
  <c r="G9"/>
  <c r="E11" i="30" l="1"/>
  <c r="J9" i="10"/>
  <c r="C50" l="1"/>
  <c r="C49" l="1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F31" i="33" l="1"/>
  <c r="J31"/>
  <c r="F32"/>
  <c r="G32" s="1"/>
  <c r="J32"/>
  <c r="K32" s="1"/>
  <c r="F33"/>
  <c r="G33" s="1"/>
  <c r="J33"/>
  <c r="K33" s="1"/>
  <c r="D31"/>
  <c r="D32"/>
  <c r="D44" i="29"/>
  <c r="D24"/>
  <c r="D31"/>
  <c r="D19"/>
  <c r="C16" i="10"/>
  <c r="C15"/>
  <c r="C14"/>
  <c r="C11"/>
  <c r="C11" i="32" s="1"/>
  <c r="G31" i="33" l="1"/>
  <c r="F16"/>
  <c r="K31"/>
  <c r="J16"/>
  <c r="E31"/>
  <c r="L31"/>
  <c r="H31"/>
  <c r="M31"/>
  <c r="I31"/>
  <c r="E32"/>
  <c r="L32"/>
  <c r="H32"/>
  <c r="M32"/>
  <c r="I32"/>
  <c r="D14" i="29"/>
  <c r="D6" s="1"/>
  <c r="D5" s="1"/>
  <c r="E6" i="30"/>
  <c r="R18" i="33" l="1"/>
  <c r="K16"/>
  <c r="R19"/>
  <c r="F63"/>
  <c r="G16"/>
  <c r="J63"/>
  <c r="E5" i="30"/>
  <c r="J69" i="33" l="1"/>
  <c r="J74" s="1"/>
  <c r="T19"/>
  <c r="G63"/>
  <c r="T18"/>
  <c r="F64"/>
  <c r="G64" s="1"/>
  <c r="F69"/>
  <c r="G69" s="1"/>
  <c r="J64"/>
  <c r="K64" s="1"/>
  <c r="K63"/>
  <c r="K69"/>
  <c r="F74" l="1"/>
  <c r="G74" s="1"/>
  <c r="K74"/>
  <c r="J70"/>
  <c r="K70" s="1"/>
  <c r="F70" l="1"/>
  <c r="G70" s="1"/>
  <c r="E4" i="30"/>
  <c r="G4" s="1"/>
  <c r="E7"/>
  <c r="G7" s="1"/>
  <c r="D56" i="29"/>
  <c r="D55" s="1"/>
  <c r="D4" s="1"/>
  <c r="G4" l="1"/>
  <c r="E10" i="30"/>
  <c r="G10" s="1"/>
  <c r="E17" l="1"/>
  <c r="G17" l="1"/>
  <c r="E23"/>
  <c r="G23" s="1"/>
  <c r="E18" l="1"/>
  <c r="G18" s="1"/>
  <c r="J8" i="10" l="1"/>
  <c r="C75" i="36" l="1"/>
  <c r="D75" s="1"/>
  <c r="D33" i="33"/>
  <c r="D16" s="1"/>
  <c r="E33" l="1"/>
  <c r="L33"/>
  <c r="H33"/>
  <c r="M33"/>
  <c r="I33"/>
  <c r="R17"/>
  <c r="E16" l="1"/>
  <c r="L16"/>
  <c r="H16"/>
  <c r="M16"/>
  <c r="I16"/>
  <c r="D63"/>
  <c r="T17" l="1"/>
  <c r="E63"/>
  <c r="L63"/>
  <c r="H63"/>
  <c r="M63"/>
  <c r="I63"/>
  <c r="D69"/>
  <c r="D64"/>
  <c r="E64" l="1"/>
  <c r="L64"/>
  <c r="H64"/>
  <c r="M64"/>
  <c r="I64"/>
  <c r="E69"/>
  <c r="L69"/>
  <c r="H69"/>
  <c r="M69"/>
  <c r="I69"/>
  <c r="D74"/>
  <c r="E74" l="1"/>
  <c r="L74"/>
  <c r="H74"/>
  <c r="M74"/>
  <c r="I74"/>
  <c r="D70"/>
  <c r="E70" l="1"/>
  <c r="L70"/>
  <c r="H70"/>
  <c r="M70"/>
  <c r="I70"/>
</calcChain>
</file>

<file path=xl/sharedStrings.xml><?xml version="1.0" encoding="utf-8"?>
<sst xmlns="http://schemas.openxmlformats.org/spreadsheetml/2006/main" count="1217" uniqueCount="487">
  <si>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</si>
  <si>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</si>
  <si>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</si>
  <si>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</si>
  <si>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</si>
  <si>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</si>
  <si>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</si>
  <si>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</si>
  <si>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</si>
  <si>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</si>
  <si>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</si>
  <si>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</si>
  <si>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</si>
  <si>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</si>
  <si>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</si>
  <si>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</si>
  <si>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</si>
  <si>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</si>
  <si>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</si>
  <si>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</si>
  <si>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</si>
  <si>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</si>
  <si>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</si>
  <si>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</si>
  <si>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</si>
  <si>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</si>
  <si>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</si>
  <si>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</si>
  <si>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</si>
  <si>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</si>
  <si>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</si>
  <si>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</si>
  <si>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</si>
  <si>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</si>
  <si>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</si>
  <si>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</si>
  <si>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</si>
  <si>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</si>
  <si>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</si>
  <si>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</si>
  <si>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</si>
  <si>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</si>
  <si>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</si>
  <si>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</si>
  <si>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</si>
  <si>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</si>
  <si>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</si>
  <si>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</si>
  <si>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</si>
  <si>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</si>
  <si>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</si>
  <si>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</si>
  <si>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</si>
  <si>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</si>
  <si>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</si>
  <si>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</si>
  <si>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</si>
  <si>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</si>
  <si>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</si>
  <si>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</si>
  <si>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</si>
  <si>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</si>
  <si>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</si>
  <si>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</si>
  <si>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</si>
  <si>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</si>
  <si>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</si>
  <si>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</si>
  <si>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</si>
  <si>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</si>
  <si>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</si>
  <si>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</si>
  <si>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</si>
  <si>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</si>
  <si>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</si>
  <si>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</si>
  <si>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</si>
  <si>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</si>
  <si>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</si>
  <si>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</si>
  <si>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</si>
  <si>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</si>
  <si>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</si>
  <si>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</si>
  <si>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</si>
  <si>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</si>
  <si>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</si>
  <si>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</si>
  <si>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</si>
  <si>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</si>
  <si>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</si>
  <si>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</si>
  <si>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</si>
  <si>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</si>
  <si>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</si>
  <si>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</si>
  <si>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</si>
  <si>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</si>
  <si>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</si>
  <si>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</si>
  <si>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</si>
  <si>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</si>
  <si>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</si>
  <si>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</si>
  <si>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</si>
  <si>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</si>
  <si>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</si>
  <si>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</si>
  <si>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</si>
  <si>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</si>
  <si>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</si>
  <si>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</si>
  <si>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</si>
  <si>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</si>
  <si>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</si>
  <si>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</si>
  <si>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</si>
  <si>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</si>
  <si>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</si>
  <si>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</si>
  <si>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</si>
  <si>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</si>
  <si>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</si>
  <si>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</si>
  <si>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</si>
  <si>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</si>
  <si>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</si>
  <si>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</si>
  <si>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</si>
  <si>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</si>
  <si>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</si>
  <si>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</si>
  <si>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</si>
  <si>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</si>
  <si>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</si>
  <si>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</si>
  <si>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</si>
  <si>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</si>
  <si>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</si>
  <si>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</si>
  <si>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</si>
  <si>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</si>
  <si>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</si>
  <si>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</si>
  <si>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</si>
  <si>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</si>
  <si>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</si>
  <si>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</si>
  <si>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</si>
  <si>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</si>
  <si>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</si>
  <si>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</si>
  <si>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</si>
  <si>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</si>
  <si>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</si>
  <si>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</si>
  <si>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</si>
  <si>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</si>
  <si>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</si>
  <si>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</si>
  <si>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</si>
  <si>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</si>
  <si>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</si>
  <si>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</si>
  <si>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</si>
  <si>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</si>
  <si>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</si>
  <si>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</si>
  <si>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</si>
  <si>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</si>
  <si>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</si>
  <si>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</si>
  <si>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</si>
  <si>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</si>
  <si>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</si>
  <si>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</si>
  <si>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</si>
  <si>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</si>
  <si>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</si>
  <si>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</si>
  <si>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</si>
  <si>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</si>
  <si>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</si>
  <si>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</si>
  <si>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</si>
  <si>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</si>
  <si>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</si>
  <si>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</si>
  <si>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</si>
  <si>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</si>
  <si>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</si>
  <si>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</si>
  <si>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</si>
  <si>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</si>
  <si>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</si>
  <si>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</si>
  <si>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</si>
  <si>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</si>
  <si>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</si>
  <si>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</si>
  <si>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</si>
  <si>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</si>
  <si>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</si>
  <si>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</si>
  <si>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</si>
  <si>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</si>
  <si>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</si>
  <si>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</si>
  <si>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</si>
  <si>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</si>
  <si>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</si>
  <si>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</si>
  <si>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</si>
  <si>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</si>
  <si>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</si>
  <si>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</si>
  <si>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</si>
  <si>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</si>
  <si>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</si>
  <si>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</si>
  <si>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</si>
  <si>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</si>
  <si>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</si>
  <si>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</si>
  <si>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</si>
  <si>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</si>
  <si>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</si>
  <si>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</si>
  <si>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</si>
  <si>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</si>
  <si>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</si>
  <si>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</si>
  <si>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</si>
  <si>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</si>
  <si>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</si>
  <si>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</si>
  <si>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</si>
  <si>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</si>
  <si>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</si>
  <si>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</si>
  <si>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</si>
  <si>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</si>
  <si>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</si>
  <si>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</si>
  <si>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</si>
  <si>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</si>
  <si>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</si>
  <si>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</si>
  <si>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</si>
  <si>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</si>
  <si>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</si>
  <si>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</si>
  <si>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</si>
  <si>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</si>
  <si>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</si>
  <si>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</si>
  <si>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</si>
  <si>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</si>
  <si>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</si>
  <si>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</si>
  <si>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</si>
  <si>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</si>
  <si>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</si>
  <si>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</si>
  <si>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</si>
  <si>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</si>
  <si>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</si>
  <si>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</si>
  <si>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</si>
  <si>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</si>
  <si>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</si>
  <si>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</si>
  <si>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</si>
  <si>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</si>
  <si>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</si>
  <si>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</si>
  <si>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</si>
  <si>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</si>
  <si>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</si>
  <si>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</si>
  <si>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</si>
  <si>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</si>
  <si>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</si>
  <si>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</si>
  <si>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</si>
  <si>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</si>
  <si>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</si>
  <si>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</si>
  <si>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</si>
  <si>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</si>
  <si>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</si>
  <si>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</si>
  <si>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</si>
  <si>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</si>
  <si>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</si>
  <si>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</si>
  <si>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</si>
  <si>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</si>
  <si>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</si>
  <si>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</si>
  <si>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</si>
  <si>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</si>
  <si>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</si>
  <si>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</si>
  <si>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</si>
  <si>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</si>
  <si>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</si>
  <si>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</si>
  <si>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</si>
  <si>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</si>
  <si>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</si>
  <si>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</si>
  <si>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</si>
  <si>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</si>
  <si>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</si>
  <si>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</si>
  <si>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</si>
  <si>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</si>
  <si>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</si>
  <si>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</si>
  <si>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</si>
  <si>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</si>
  <si>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</si>
  <si>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</si>
  <si>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</si>
  <si>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</si>
  <si>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</si>
  <si>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</si>
  <si>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</si>
  <si>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</si>
  <si>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</si>
  <si>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</si>
  <si>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</si>
  <si>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</si>
  <si>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</si>
  <si>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</si>
  <si>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</si>
  <si>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</si>
  <si>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</si>
  <si>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</si>
  <si>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</si>
  <si>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</si>
  <si>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</si>
  <si>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</si>
  <si>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</si>
  <si>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</si>
  <si>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</si>
  <si>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</si>
  <si>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</si>
  <si>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</si>
  <si>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</si>
  <si>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</si>
  <si>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</si>
  <si>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</si>
  <si>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</si>
  <si>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</si>
  <si>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</si>
  <si>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</si>
  <si>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</si>
  <si>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</si>
  <si>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</si>
  <si>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</si>
  <si>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</si>
  <si>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</si>
  <si>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</si>
  <si>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</si>
  <si>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</si>
  <si>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</si>
  <si>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</si>
  <si>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</si>
  <si>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</si>
  <si>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</si>
  <si>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</si>
  <si>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</si>
  <si>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</si>
  <si>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</si>
  <si>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</si>
  <si>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</si>
  <si>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</si>
  <si>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</si>
  <si>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</si>
  <si>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</si>
  <si>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</si>
  <si>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</si>
  <si>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</si>
  <si>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</si>
  <si>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</si>
  <si>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</si>
  <si>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</si>
  <si>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</si>
  <si>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</si>
  <si>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</si>
  <si>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</si>
  <si>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</si>
  <si>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</si>
  <si>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</si>
  <si>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</si>
  <si>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</si>
  <si>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</si>
  <si>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</si>
  <si>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</si>
  <si>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</si>
  <si>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</si>
  <si>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</si>
  <si>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</si>
  <si>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</si>
  <si>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</si>
  <si>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</si>
  <si>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</si>
  <si>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</si>
  <si>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</si>
  <si>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</si>
  <si>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</si>
  <si>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</si>
  <si>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</si>
  <si>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</si>
  <si>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</si>
  <si>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</si>
  <si>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</si>
  <si>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</si>
  <si>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</si>
  <si>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</si>
  <si>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</si>
  <si>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</si>
  <si>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</si>
  <si>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</si>
  <si>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</si>
  <si>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</si>
  <si>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</si>
  <si>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</si>
  <si>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</si>
  <si>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</si>
  <si>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</si>
  <si>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</si>
  <si>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</si>
  <si>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</si>
  <si>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</si>
  <si>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</si>
  <si>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</si>
  <si>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</si>
  <si>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</si>
  <si>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</si>
  <si>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</si>
  <si>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</si>
  <si>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</si>
  <si>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</si>
  <si>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</si>
  <si>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2013 - Ostvarenje</t>
  </si>
  <si>
    <t>2014 - plan</t>
  </si>
  <si>
    <t>2013 - ostvarenje</t>
  </si>
  <si>
    <t>Naknada za komunalno opremanje građevinskog zemljišta</t>
  </si>
  <si>
    <t>-</t>
  </si>
  <si>
    <t>Prihodi</t>
  </si>
  <si>
    <t>Rashodi</t>
  </si>
  <si>
    <t>Suficit / deficit</t>
  </si>
  <si>
    <t>PDV</t>
  </si>
  <si>
    <t>2014 -procjena</t>
  </si>
  <si>
    <t>Odstupanje</t>
  </si>
  <si>
    <t>Donations</t>
  </si>
  <si>
    <t>Gross wages</t>
  </si>
  <si>
    <t>Expenditures for material</t>
  </si>
  <si>
    <t>Expenditures for services</t>
  </si>
  <si>
    <t>Expenditures for current maintenance</t>
  </si>
  <si>
    <t>Capital expenditures in Current budget</t>
  </si>
  <si>
    <t>Transfers for social protection</t>
  </si>
  <si>
    <t>Trasfers for social security</t>
  </si>
  <si>
    <t>Redundencies</t>
  </si>
  <si>
    <t>Social protection rights</t>
  </si>
  <si>
    <t>Other health protection transfers</t>
  </si>
  <si>
    <t>Other health insurance transfers</t>
  </si>
  <si>
    <t>Other trasnfers</t>
  </si>
  <si>
    <t>Capital budget</t>
  </si>
  <si>
    <t>Lending and borrowing</t>
  </si>
  <si>
    <t>Reseerve</t>
  </si>
  <si>
    <t>Guarantees</t>
  </si>
  <si>
    <t>Net increase of liabilities</t>
  </si>
  <si>
    <t>Surplus / deficit</t>
  </si>
  <si>
    <t>Debt repayment</t>
  </si>
  <si>
    <t>Debt repayment to residents</t>
  </si>
  <si>
    <t>Debt repayment to non-residents</t>
  </si>
  <si>
    <t>Repayment of liabilities</t>
  </si>
  <si>
    <t>Increase / decrease of depostits</t>
  </si>
  <si>
    <t>Privatization</t>
  </si>
  <si>
    <t>Domestic borrowing</t>
  </si>
  <si>
    <t>Foreign borrowing</t>
  </si>
  <si>
    <t>Transfers from Central Budget</t>
  </si>
  <si>
    <t>Transfers to individuals, institutions, NGOs and public sector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</si>
</sst>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,,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  <numFmt numFmtId="174" formatCode="#,##0.0,,"/>
    <numFmt numFmtId="175" formatCode="0.000000000"/>
    <numFmt numFmtId="176" formatCode="0.000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3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31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4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4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5" fontId="27" fillId="2" borderId="0" xfId="0" applyNumberFormat="1" applyFont="1" applyFill="1" applyBorder="1" applyAlignment="1" applyProtection="1">
      <protection hidden="1"/>
    </xf>
    <xf numFmtId="165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4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4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4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5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5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5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5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4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164" fontId="27" fillId="2" borderId="30" xfId="0" applyNumberFormat="1" applyFont="1" applyFill="1" applyBorder="1"/>
    <xf numFmtId="164" fontId="29" fillId="8" borderId="5" xfId="0" applyNumberFormat="1" applyFont="1" applyFill="1" applyBorder="1"/>
    <xf numFmtId="4" fontId="29" fillId="8" borderId="13" xfId="0" applyNumberFormat="1" applyFont="1" applyFill="1" applyBorder="1"/>
    <xf numFmtId="4" fontId="27" fillId="2" borderId="12" xfId="0" applyNumberFormat="1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4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164" fontId="29" fillId="8" borderId="5" xfId="22" applyNumberFormat="1" applyFont="1" applyFill="1" applyBorder="1" applyAlignment="1">
      <alignment vertical="center"/>
    </xf>
    <xf numFmtId="2" fontId="29" fillId="8" borderId="6" xfId="22" applyNumberFormat="1" applyFont="1" applyFill="1" applyBorder="1" applyAlignment="1">
      <alignment vertical="center"/>
    </xf>
    <xf numFmtId="164" fontId="29" fillId="2" borderId="30" xfId="36" applyNumberFormat="1" applyFont="1" applyFill="1" applyBorder="1" applyAlignment="1">
      <alignment vertical="center"/>
    </xf>
    <xf numFmtId="164" fontId="27" fillId="0" borderId="30" xfId="36" applyNumberFormat="1" applyFont="1" applyFill="1" applyBorder="1" applyAlignment="1">
      <alignment vertical="center"/>
    </xf>
    <xf numFmtId="164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2" xfId="22" applyNumberFormat="1" applyFont="1" applyFill="1" applyBorder="1" applyAlignment="1">
      <alignment vertical="center"/>
    </xf>
    <xf numFmtId="4" fontId="27" fillId="2" borderId="12" xfId="22" applyNumberFormat="1" applyFont="1" applyFill="1" applyBorder="1" applyAlignment="1">
      <alignment vertical="center"/>
    </xf>
    <xf numFmtId="4" fontId="29" fillId="8" borderId="13" xfId="22" applyNumberFormat="1" applyFont="1" applyFill="1" applyBorder="1" applyAlignment="1">
      <alignment vertical="center"/>
    </xf>
    <xf numFmtId="4" fontId="29" fillId="2" borderId="13" xfId="22" applyNumberFormat="1" applyFont="1" applyFill="1" applyBorder="1" applyAlignment="1">
      <alignment vertical="center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4" fontId="29" fillId="5" borderId="5" xfId="36" applyNumberFormat="1" applyFont="1" applyFill="1" applyBorder="1" applyAlignment="1">
      <alignment vertical="center"/>
    </xf>
    <xf numFmtId="164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4" fontId="29" fillId="5" borderId="11" xfId="36" applyNumberFormat="1" applyFont="1" applyFill="1" applyBorder="1" applyAlignment="1">
      <alignment vertical="center"/>
    </xf>
    <xf numFmtId="164" fontId="29" fillId="0" borderId="30" xfId="36" applyNumberFormat="1" applyFont="1" applyFill="1" applyBorder="1" applyAlignment="1">
      <alignment vertical="center"/>
    </xf>
    <xf numFmtId="0" fontId="27" fillId="2" borderId="0" xfId="22" applyFont="1" applyFill="1" applyBorder="1" applyAlignment="1">
      <alignment horizont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4" fontId="29" fillId="6" borderId="5" xfId="22" applyNumberFormat="1" applyFont="1" applyFill="1" applyBorder="1" applyAlignment="1">
      <alignment vertical="center"/>
    </xf>
    <xf numFmtId="4" fontId="29" fillId="6" borderId="24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4" fontId="29" fillId="6" borderId="11" xfId="36" applyNumberFormat="1" applyFont="1" applyFill="1" applyBorder="1" applyAlignment="1">
      <alignment vertical="center"/>
    </xf>
    <xf numFmtId="164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4" fontId="29" fillId="2" borderId="12" xfId="36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4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4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4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4" fontId="27" fillId="2" borderId="21" xfId="39" applyNumberFormat="1" applyFont="1" applyFill="1" applyBorder="1"/>
    <xf numFmtId="0" fontId="27" fillId="2" borderId="21" xfId="39" applyFont="1" applyFill="1" applyBorder="1"/>
    <xf numFmtId="164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164" fontId="27" fillId="2" borderId="0" xfId="39" applyNumberFormat="1" applyFont="1" applyFill="1" applyBorder="1"/>
    <xf numFmtId="164" fontId="27" fillId="2" borderId="21" xfId="36" applyNumberFormat="1" applyFont="1" applyFill="1" applyBorder="1" applyAlignment="1">
      <alignment horizontal="center" vertical="center" wrapText="1"/>
    </xf>
    <xf numFmtId="164" fontId="27" fillId="2" borderId="22" xfId="36" applyNumberFormat="1" applyFont="1" applyFill="1" applyBorder="1" applyAlignment="1">
      <alignment horizontal="center" vertical="center" wrapText="1"/>
    </xf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4" fontId="29" fillId="5" borderId="36" xfId="22" applyNumberFormat="1" applyFont="1" applyFill="1" applyBorder="1" applyAlignment="1">
      <alignment vertical="center"/>
    </xf>
    <xf numFmtId="4" fontId="29" fillId="5" borderId="13" xfId="22" applyNumberFormat="1" applyFont="1" applyFill="1" applyBorder="1" applyAlignment="1">
      <alignment vertical="center"/>
    </xf>
    <xf numFmtId="4" fontId="27" fillId="0" borderId="12" xfId="22" applyNumberFormat="1" applyFont="1" applyFill="1" applyBorder="1" applyAlignment="1">
      <alignment vertical="center"/>
    </xf>
    <xf numFmtId="0" fontId="29" fillId="5" borderId="11" xfId="36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 applyProtection="1">
      <alignment vertical="center"/>
      <protection hidden="1"/>
    </xf>
    <xf numFmtId="165" fontId="27" fillId="2" borderId="0" xfId="0" applyNumberFormat="1" applyFont="1" applyFill="1" applyBorder="1" applyAlignment="1" applyProtection="1">
      <alignment vertical="center"/>
      <protection hidden="1"/>
    </xf>
    <xf numFmtId="4" fontId="29" fillId="14" borderId="12" xfId="22" applyNumberFormat="1" applyFont="1" applyFill="1" applyBorder="1" applyAlignment="1">
      <alignment vertical="center"/>
    </xf>
    <xf numFmtId="4" fontId="27" fillId="14" borderId="12" xfId="22" applyNumberFormat="1" applyFont="1" applyFill="1" applyBorder="1" applyAlignment="1">
      <alignment vertical="center"/>
    </xf>
    <xf numFmtId="4" fontId="29" fillId="14" borderId="12" xfId="36" applyNumberFormat="1" applyFont="1" applyFill="1" applyBorder="1" applyAlignment="1">
      <alignment vertical="center"/>
    </xf>
    <xf numFmtId="4" fontId="29" fillId="14" borderId="13" xfId="22" applyNumberFormat="1" applyFont="1" applyFill="1" applyBorder="1" applyAlignment="1">
      <alignment vertical="center"/>
    </xf>
    <xf numFmtId="164" fontId="29" fillId="14" borderId="29" xfId="0" applyNumberFormat="1" applyFont="1" applyFill="1" applyBorder="1"/>
    <xf numFmtId="4" fontId="29" fillId="14" borderId="34" xfId="0" applyNumberFormat="1" applyFont="1" applyFill="1" applyBorder="1"/>
    <xf numFmtId="164" fontId="27" fillId="14" borderId="30" xfId="0" applyNumberFormat="1" applyFont="1" applyFill="1" applyBorder="1"/>
    <xf numFmtId="4" fontId="27" fillId="14" borderId="12" xfId="0" applyNumberFormat="1" applyFont="1" applyFill="1" applyBorder="1"/>
    <xf numFmtId="164" fontId="29" fillId="14" borderId="30" xfId="22" applyNumberFormat="1" applyFont="1" applyFill="1" applyBorder="1" applyAlignment="1">
      <alignment vertical="center"/>
    </xf>
    <xf numFmtId="164" fontId="27" fillId="14" borderId="30" xfId="0" applyNumberFormat="1" applyFont="1" applyFill="1" applyBorder="1" applyAlignment="1">
      <alignment vertical="center"/>
    </xf>
    <xf numFmtId="4" fontId="27" fillId="14" borderId="12" xfId="0" applyNumberFormat="1" applyFont="1" applyFill="1" applyBorder="1" applyAlignment="1">
      <alignment vertical="center"/>
    </xf>
    <xf numFmtId="164" fontId="27" fillId="14" borderId="30" xfId="22" applyNumberFormat="1" applyFont="1" applyFill="1" applyBorder="1" applyAlignment="1">
      <alignment vertical="center"/>
    </xf>
    <xf numFmtId="164" fontId="29" fillId="14" borderId="30" xfId="0" applyNumberFormat="1" applyFont="1" applyFill="1" applyBorder="1"/>
    <xf numFmtId="4" fontId="29" fillId="14" borderId="12" xfId="0" applyNumberFormat="1" applyFont="1" applyFill="1" applyBorder="1"/>
    <xf numFmtId="164" fontId="29" fillId="14" borderId="11" xfId="0" applyNumberFormat="1" applyFont="1" applyFill="1" applyBorder="1"/>
    <xf numFmtId="4" fontId="29" fillId="14" borderId="36" xfId="0" applyNumberFormat="1" applyFont="1" applyFill="1" applyBorder="1"/>
    <xf numFmtId="164" fontId="29" fillId="14" borderId="15" xfId="0" applyNumberFormat="1" applyFont="1" applyFill="1" applyBorder="1"/>
    <xf numFmtId="4" fontId="29" fillId="14" borderId="53" xfId="0" applyNumberFormat="1" applyFont="1" applyFill="1" applyBorder="1"/>
    <xf numFmtId="164" fontId="29" fillId="14" borderId="5" xfId="0" applyNumberFormat="1" applyFont="1" applyFill="1" applyBorder="1"/>
    <xf numFmtId="4" fontId="29" fillId="14" borderId="13" xfId="0" applyNumberFormat="1" applyFont="1" applyFill="1" applyBorder="1"/>
    <xf numFmtId="164" fontId="27" fillId="14" borderId="29" xfId="0" applyNumberFormat="1" applyFont="1" applyFill="1" applyBorder="1"/>
    <xf numFmtId="4" fontId="27" fillId="14" borderId="34" xfId="0" applyNumberFormat="1" applyFont="1" applyFill="1" applyBorder="1"/>
    <xf numFmtId="164" fontId="29" fillId="14" borderId="5" xfId="22" applyNumberFormat="1" applyFont="1" applyFill="1" applyBorder="1" applyAlignment="1">
      <alignment vertical="center"/>
    </xf>
    <xf numFmtId="164" fontId="29" fillId="14" borderId="30" xfId="36" applyNumberFormat="1" applyFont="1" applyFill="1" applyBorder="1" applyAlignment="1">
      <alignment vertical="center"/>
    </xf>
    <xf numFmtId="4" fontId="29" fillId="14" borderId="14" xfId="22" applyNumberFormat="1" applyFont="1" applyFill="1" applyBorder="1" applyAlignment="1">
      <alignment vertical="center"/>
    </xf>
    <xf numFmtId="164" fontId="27" fillId="14" borderId="30" xfId="36" applyNumberFormat="1" applyFont="1" applyFill="1" applyBorder="1" applyAlignment="1">
      <alignment vertical="center"/>
    </xf>
    <xf numFmtId="4" fontId="27" fillId="14" borderId="14" xfId="22" applyNumberFormat="1" applyFont="1" applyFill="1" applyBorder="1" applyAlignment="1">
      <alignment vertical="center"/>
    </xf>
    <xf numFmtId="4" fontId="29" fillId="14" borderId="0" xfId="22" applyNumberFormat="1" applyFont="1" applyFill="1" applyBorder="1" applyAlignment="1">
      <alignment vertical="center"/>
    </xf>
    <xf numFmtId="164" fontId="29" fillId="14" borderId="5" xfId="36" applyNumberFormat="1" applyFont="1" applyFill="1" applyBorder="1" applyAlignment="1">
      <alignment vertical="center"/>
    </xf>
    <xf numFmtId="4" fontId="29" fillId="14" borderId="24" xfId="22" applyNumberFormat="1" applyFont="1" applyFill="1" applyBorder="1" applyAlignment="1">
      <alignment vertical="center"/>
    </xf>
    <xf numFmtId="4" fontId="27" fillId="14" borderId="12" xfId="0" applyNumberFormat="1" applyFont="1" applyFill="1" applyBorder="1" applyAlignment="1">
      <alignment horizontal="center"/>
    </xf>
    <xf numFmtId="164" fontId="27" fillId="2" borderId="0" xfId="22" applyNumberFormat="1" applyFont="1" applyFill="1" applyBorder="1"/>
    <xf numFmtId="164" fontId="27" fillId="2" borderId="0" xfId="22" applyNumberFormat="1" applyFont="1" applyFill="1" applyBorder="1" applyAlignment="1"/>
    <xf numFmtId="164" fontId="27" fillId="2" borderId="0" xfId="22" applyNumberFormat="1" applyFont="1" applyFill="1" applyBorder="1" applyAlignment="1">
      <alignment wrapText="1"/>
    </xf>
    <xf numFmtId="2" fontId="27" fillId="2" borderId="0" xfId="22" applyNumberFormat="1" applyFont="1" applyFill="1" applyBorder="1"/>
    <xf numFmtId="2" fontId="27" fillId="2" borderId="0" xfId="22" applyNumberFormat="1" applyFont="1" applyFill="1"/>
    <xf numFmtId="175" fontId="27" fillId="2" borderId="0" xfId="22" applyNumberFormat="1" applyFont="1" applyFill="1"/>
    <xf numFmtId="176" fontId="27" fillId="2" borderId="0" xfId="22" applyNumberFormat="1" applyFont="1" applyFill="1"/>
    <xf numFmtId="4" fontId="29" fillId="5" borderId="24" xfId="36" applyNumberFormat="1" applyFont="1" applyFill="1" applyBorder="1" applyAlignment="1">
      <alignment vertical="center"/>
    </xf>
    <xf numFmtId="4" fontId="27" fillId="2" borderId="14" xfId="36" applyNumberFormat="1" applyFont="1" applyFill="1" applyBorder="1" applyAlignment="1">
      <alignment vertical="center"/>
    </xf>
    <xf numFmtId="4" fontId="29" fillId="2" borderId="24" xfId="36" applyNumberFormat="1" applyFont="1" applyFill="1" applyBorder="1" applyAlignment="1">
      <alignment vertical="center"/>
    </xf>
    <xf numFmtId="4" fontId="27" fillId="0" borderId="14" xfId="36" applyNumberFormat="1" applyFont="1" applyFill="1" applyBorder="1" applyAlignment="1">
      <alignment vertical="center"/>
    </xf>
    <xf numFmtId="4" fontId="27" fillId="14" borderId="12" xfId="22" applyNumberFormat="1" applyFont="1" applyFill="1" applyBorder="1" applyAlignment="1">
      <alignment horizontal="center" vertical="center"/>
    </xf>
    <xf numFmtId="4" fontId="29" fillId="14" borderId="13" xfId="22" applyNumberFormat="1" applyFont="1" applyFill="1" applyBorder="1" applyAlignment="1">
      <alignment horizontal="center" vertical="center"/>
    </xf>
    <xf numFmtId="4" fontId="29" fillId="14" borderId="12" xfId="22" applyNumberFormat="1" applyFont="1" applyFill="1" applyBorder="1" applyAlignment="1">
      <alignment horizontal="center" vertical="center"/>
    </xf>
    <xf numFmtId="164" fontId="29" fillId="2" borderId="29" xfId="0" applyNumberFormat="1" applyFont="1" applyFill="1" applyBorder="1"/>
    <xf numFmtId="4" fontId="29" fillId="2" borderId="34" xfId="0" applyNumberFormat="1" applyFont="1" applyFill="1" applyBorder="1"/>
    <xf numFmtId="164" fontId="27" fillId="2" borderId="30" xfId="0" applyNumberFormat="1" applyFont="1" applyFill="1" applyBorder="1" applyAlignment="1">
      <alignment vertical="center"/>
    </xf>
    <xf numFmtId="4" fontId="27" fillId="2" borderId="12" xfId="0" applyNumberFormat="1" applyFont="1" applyFill="1" applyBorder="1" applyAlignment="1">
      <alignment vertical="center"/>
    </xf>
    <xf numFmtId="164" fontId="27" fillId="2" borderId="30" xfId="22" applyNumberFormat="1" applyFont="1" applyFill="1" applyBorder="1" applyAlignment="1">
      <alignment vertical="center"/>
    </xf>
    <xf numFmtId="4" fontId="27" fillId="2" borderId="12" xfId="36" applyNumberFormat="1" applyFont="1" applyFill="1" applyBorder="1" applyAlignment="1">
      <alignment vertical="center"/>
    </xf>
    <xf numFmtId="164" fontId="29" fillId="2" borderId="30" xfId="0" applyNumberFormat="1" applyFont="1" applyFill="1" applyBorder="1"/>
    <xf numFmtId="4" fontId="29" fillId="2" borderId="12" xfId="0" applyNumberFormat="1" applyFont="1" applyFill="1" applyBorder="1"/>
    <xf numFmtId="164" fontId="29" fillId="8" borderId="5" xfId="36" applyNumberFormat="1" applyFont="1" applyFill="1" applyBorder="1" applyAlignment="1">
      <alignment vertical="center"/>
    </xf>
    <xf numFmtId="4" fontId="29" fillId="8" borderId="13" xfId="36" applyNumberFormat="1" applyFont="1" applyFill="1" applyBorder="1" applyAlignment="1">
      <alignment vertical="center"/>
    </xf>
    <xf numFmtId="164" fontId="29" fillId="2" borderId="11" xfId="0" applyNumberFormat="1" applyFont="1" applyFill="1" applyBorder="1"/>
    <xf numFmtId="4" fontId="29" fillId="2" borderId="36" xfId="0" applyNumberFormat="1" applyFont="1" applyFill="1" applyBorder="1"/>
    <xf numFmtId="164" fontId="29" fillId="2" borderId="15" xfId="0" applyNumberFormat="1" applyFont="1" applyFill="1" applyBorder="1"/>
    <xf numFmtId="4" fontId="29" fillId="2" borderId="53" xfId="0" applyNumberFormat="1" applyFont="1" applyFill="1" applyBorder="1"/>
    <xf numFmtId="164" fontId="29" fillId="2" borderId="5" xfId="0" applyNumberFormat="1" applyFont="1" applyFill="1" applyBorder="1"/>
    <xf numFmtId="4" fontId="29" fillId="2" borderId="13" xfId="0" applyNumberFormat="1" applyFont="1" applyFill="1" applyBorder="1"/>
    <xf numFmtId="164" fontId="27" fillId="2" borderId="29" xfId="36" applyNumberFormat="1" applyFont="1" applyFill="1" applyBorder="1"/>
    <xf numFmtId="4" fontId="27" fillId="2" borderId="34" xfId="0" applyNumberFormat="1" applyFont="1" applyFill="1" applyBorder="1"/>
    <xf numFmtId="164" fontId="27" fillId="2" borderId="30" xfId="36" applyNumberFormat="1" applyFont="1" applyFill="1" applyBorder="1"/>
    <xf numFmtId="4" fontId="29" fillId="2" borderId="13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hidden="1"/>
    </xf>
    <xf numFmtId="165" fontId="27" fillId="5" borderId="23" xfId="0" applyNumberFormat="1" applyFont="1" applyFill="1" applyBorder="1" applyAlignment="1" applyProtection="1">
      <alignment horizontal="center" vertical="center"/>
      <protection hidden="1"/>
    </xf>
    <xf numFmtId="165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Fill="1" applyBorder="1" applyAlignment="1" applyProtection="1">
      <alignment horizontal="center" vertical="center"/>
      <protection hidden="1"/>
    </xf>
    <xf numFmtId="165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6" fillId="12" borderId="20" xfId="22" applyFont="1" applyFill="1" applyBorder="1" applyAlignment="1">
      <alignment horizontal="center" vertical="center"/>
    </xf>
    <xf numFmtId="0" fontId="36" fillId="12" borderId="18" xfId="22" applyFont="1" applyFill="1" applyBorder="1" applyAlignment="1">
      <alignment horizontal="center" vertical="center"/>
    </xf>
    <xf numFmtId="0" fontId="29" fillId="8" borderId="51" xfId="22" applyFont="1" applyFill="1" applyBorder="1" applyAlignment="1">
      <alignment horizontal="center" vertical="center"/>
    </xf>
    <xf numFmtId="0" fontId="29" fillId="8" borderId="52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>
      <alignment horizontal="center" vertical="center"/>
    </xf>
    <xf numFmtId="165" fontId="27" fillId="8" borderId="2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 applyProtection="1">
      <alignment horizontal="center" vertical="center"/>
      <protection hidden="1"/>
    </xf>
    <xf numFmtId="165" fontId="27" fillId="8" borderId="23" xfId="0" applyNumberFormat="1" applyFont="1" applyFill="1" applyBorder="1" applyAlignment="1" applyProtection="1">
      <alignment horizontal="center" vertical="center"/>
      <protection hidden="1"/>
    </xf>
    <xf numFmtId="165" fontId="27" fillId="8" borderId="24" xfId="0" applyNumberFormat="1" applyFont="1" applyFill="1" applyBorder="1" applyAlignment="1" applyProtection="1">
      <alignment horizontal="center" vertical="center"/>
      <protection hidden="1"/>
    </xf>
    <xf numFmtId="165" fontId="27" fillId="6" borderId="6" xfId="0" applyNumberFormat="1" applyFont="1" applyFill="1" applyBorder="1" applyAlignment="1">
      <alignment horizontal="center" vertical="center"/>
    </xf>
    <xf numFmtId="165" fontId="27" fillId="6" borderId="24" xfId="0" applyNumberFormat="1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 applyProtection="1">
      <alignment horizontal="center" vertical="center"/>
      <protection hidden="1"/>
    </xf>
    <xf numFmtId="165" fontId="27" fillId="6" borderId="23" xfId="0" applyNumberFormat="1" applyFont="1" applyFill="1" applyBorder="1" applyAlignment="1" applyProtection="1">
      <alignment horizontal="center" vertical="center"/>
      <protection hidden="1"/>
    </xf>
    <xf numFmtId="165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81714785651793"/>
          <c:y val="0.17171296296296368"/>
          <c:w val="0.85862729658792913"/>
          <c:h val="0.74403579760863503"/>
        </c:manualLayout>
      </c:layout>
      <c:barChart>
        <c:barDir val="col"/>
        <c:grouping val="clustered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351975206.79000002</c:v>
                </c:pt>
                <c:pt idx="1">
                  <c:v>117793527.76000001</c:v>
                </c:pt>
                <c:pt idx="2">
                  <c:v>284773148.30000007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340384374.97280413</c:v>
                </c:pt>
                <c:pt idx="1">
                  <c:v>126451730.90557893</c:v>
                </c:pt>
                <c:pt idx="2">
                  <c:v>263868473.2202594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317837900.14999998</c:v>
                </c:pt>
                <c:pt idx="1">
                  <c:v>120627783.31</c:v>
                </c:pt>
                <c:pt idx="2">
                  <c:v>264287645.53</c:v>
                </c:pt>
              </c:numCache>
            </c:numRef>
          </c:val>
        </c:ser>
        <c:gapWidth val="219"/>
        <c:overlap val="-27"/>
        <c:axId val="55942144"/>
        <c:axId val="56038144"/>
      </c:barChart>
      <c:catAx>
        <c:axId val="559421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8144"/>
        <c:crosses val="autoZero"/>
        <c:auto val="1"/>
        <c:lblAlgn val="ctr"/>
        <c:lblOffset val="100"/>
      </c:catAx>
      <c:valAx>
        <c:axId val="56038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2014.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1072365434.9100001</c:v>
                </c:pt>
                <c:pt idx="1">
                  <c:v>1061859086.2992306</c:v>
                </c:pt>
                <c:pt idx="2">
                  <c:v>10506348.61076951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1043446940.602332</c:v>
                </c:pt>
                <c:pt idx="1">
                  <c:v>1098076752.9989047</c:v>
                </c:pt>
                <c:pt idx="2">
                  <c:v>-54629812.396572709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1008009638.9999999</c:v>
                </c:pt>
                <c:pt idx="1">
                  <c:v>1106159354.01</c:v>
                </c:pt>
                <c:pt idx="2">
                  <c:v>-98149715.01000011</c:v>
                </c:pt>
              </c:numCache>
            </c:numRef>
          </c:val>
        </c:ser>
        <c:gapWidth val="219"/>
        <c:overlap val="-27"/>
        <c:axId val="56876032"/>
        <c:axId val="56931072"/>
      </c:barChart>
      <c:catAx>
        <c:axId val="56876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1072"/>
        <c:crosses val="autoZero"/>
        <c:auto val="1"/>
        <c:lblAlgn val="ctr"/>
        <c:lblOffset val="100"/>
      </c:catAx>
      <c:valAx>
        <c:axId val="56931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630087378318533E-2"/>
          <c:y val="9.306722076407202E-2"/>
          <c:w val="0.91423489152463533"/>
          <c:h val="0.80647637795275107"/>
        </c:manualLayout>
      </c:layout>
      <c:lineChart>
        <c:grouping val="standard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marker val="1"/>
        <c:axId val="57462784"/>
        <c:axId val="57464320"/>
      </c:lineChart>
      <c:catAx>
        <c:axId val="574627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7464320"/>
        <c:crosses val="autoZero"/>
        <c:auto val="1"/>
        <c:lblAlgn val="ctr"/>
        <c:lblOffset val="100"/>
      </c:catAx>
      <c:valAx>
        <c:axId val="57464320"/>
        <c:scaling>
          <c:orientation val="minMax"/>
          <c:max val="130000000"/>
          <c:min val="50000000"/>
        </c:scaling>
        <c:axPos val="l"/>
        <c:numFmt formatCode="#,##0.0,,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746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181"/>
          <c:y val="0.63831291921843114"/>
          <c:w val="0.24343466560350838"/>
          <c:h val="0.21760170603674542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marker val="1"/>
        <c:axId val="57591680"/>
        <c:axId val="57593216"/>
      </c:lineChart>
      <c:catAx>
        <c:axId val="575916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7593216"/>
        <c:crosses val="autoZero"/>
        <c:auto val="1"/>
        <c:lblAlgn val="ctr"/>
        <c:lblOffset val="100"/>
      </c:catAx>
      <c:valAx>
        <c:axId val="57593216"/>
        <c:scaling>
          <c:orientation val="minMax"/>
        </c:scaling>
        <c:axPos val="l"/>
        <c:numFmt formatCode="#,##0.0,,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759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18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C92"/>
  <sheetViews>
    <sheetView tabSelected="1" zoomScale="85" zoomScaleNormal="85" workbookViewId="0">
      <selection activeCell="D84" sqref="D84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-3.5970188799954883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92" t="str">
        <f>IF(MasterSheet!$A$1=1,MasterSheet!B67,MasterSheet!B66)</f>
        <v>BDP (u mil. €)</v>
      </c>
      <c r="D11" s="291">
        <v>3393200615</v>
      </c>
      <c r="E11" s="292"/>
      <c r="F11" s="292"/>
      <c r="G11" s="293"/>
      <c r="H11" s="296"/>
      <c r="I11" s="301"/>
      <c r="J11" s="298">
        <v>3335900000</v>
      </c>
      <c r="K11" s="298">
        <v>0</v>
      </c>
      <c r="L11" s="296"/>
      <c r="M11" s="297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12"/>
      <c r="E12" s="212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213"/>
      <c r="E13" s="213"/>
      <c r="F13" s="173"/>
      <c r="G13" s="173"/>
      <c r="H13" s="173"/>
      <c r="I13" s="173"/>
      <c r="J13" s="173"/>
      <c r="K13" s="173"/>
      <c r="L13" s="173"/>
      <c r="M13" s="173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294" t="str">
        <f>IF(MasterSheet!$A$1=1,MasterSheet!B71,MasterSheet!B70)</f>
        <v>Budžet Crne Gore</v>
      </c>
      <c r="D14" s="289" t="s">
        <v>446</v>
      </c>
      <c r="E14" s="290"/>
      <c r="F14" s="289" t="s">
        <v>393</v>
      </c>
      <c r="G14" s="290"/>
      <c r="H14" s="289" t="s">
        <v>457</v>
      </c>
      <c r="I14" s="290"/>
      <c r="J14" s="289" t="s">
        <v>447</v>
      </c>
      <c r="K14" s="290"/>
      <c r="L14" s="299" t="str">
        <f>+H14</f>
        <v>Odstupanje</v>
      </c>
      <c r="M14" s="30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295" t="str">
        <f>IF(MasterSheet!$A$1=1,MasterSheet!B71,MasterSheet!B70)</f>
        <v>Budžet Crne Gore</v>
      </c>
      <c r="D15" s="88" t="str">
        <f>+F15</f>
        <v>mil. €</v>
      </c>
      <c r="E15" s="217" t="str">
        <f>+G15</f>
        <v>% BDP</v>
      </c>
      <c r="F15" s="88" t="s">
        <v>263</v>
      </c>
      <c r="G15" s="89" t="s">
        <v>150</v>
      </c>
      <c r="H15" s="216" t="s">
        <v>263</v>
      </c>
      <c r="I15" s="216" t="s">
        <v>442</v>
      </c>
      <c r="J15" s="88" t="s">
        <v>263</v>
      </c>
      <c r="K15" s="89" t="s">
        <v>150</v>
      </c>
      <c r="L15" s="221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74">
        <f>+D17+D25+D30+D35+D42+D47+D48</f>
        <v>939906274.08000028</v>
      </c>
      <c r="E16" s="218">
        <f>+D16/$D$11*100</f>
        <v>27.699696561560366</v>
      </c>
      <c r="F16" s="174">
        <f>+F17+F25+F30+F35+F42+F47+F48</f>
        <v>916081633.52403045</v>
      </c>
      <c r="G16" s="218">
        <f>+F16/$D$11*100</f>
        <v>26.997567708622803</v>
      </c>
      <c r="H16" s="174">
        <f>+D16-F16</f>
        <v>23824640.555969834</v>
      </c>
      <c r="I16" s="219">
        <f>+IF(ISNUMBER(D16/F16*100-100),D16/F16*100-100,"...")</f>
        <v>2.6007115178502147</v>
      </c>
      <c r="J16" s="174">
        <f>+J17+J25+J30+J35+J42+J47+J48</f>
        <v>883130004.20999992</v>
      </c>
      <c r="K16" s="218">
        <f>+J16/$J$11*100</f>
        <v>26.473515519350098</v>
      </c>
      <c r="L16" s="174">
        <f>+D16-J16</f>
        <v>56776269.870000362</v>
      </c>
      <c r="M16" s="218">
        <f>+D16/J16*100-100</f>
        <v>6.4289820976911756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78" ht="15" customHeight="1" thickTop="1">
      <c r="B17" s="80">
        <v>711</v>
      </c>
      <c r="C17" s="93" t="str">
        <f>IF(MasterSheet!$A$1=1,MasterSheet!C73,MasterSheet!B73)</f>
        <v>Porezi</v>
      </c>
      <c r="D17" s="159">
        <f>+SUM(D18:D24)</f>
        <v>604162316.42000008</v>
      </c>
      <c r="E17" s="165">
        <f t="shared" ref="E17:G80" si="0">+D17/$D$11*100</f>
        <v>17.805086847775431</v>
      </c>
      <c r="F17" s="159">
        <f>+SUM(F18:F24)</f>
        <v>596347124.87319183</v>
      </c>
      <c r="G17" s="165">
        <f t="shared" si="0"/>
        <v>17.574767676186802</v>
      </c>
      <c r="H17" s="247">
        <f t="shared" ref="H17:H80" si="1">+D17-F17</f>
        <v>7815191.5468082428</v>
      </c>
      <c r="I17" s="224">
        <f t="shared" ref="I17:I80" si="2">+IF(ISNUMBER(D17/F17*100-100),D17/F17*100-100,"...")</f>
        <v>1.3105104763387629</v>
      </c>
      <c r="J17" s="159">
        <f>+SUM(J18:J24)</f>
        <v>560089808.12999988</v>
      </c>
      <c r="K17" s="165">
        <f t="shared" ref="K17:K80" si="3">+J17/$J$11*100</f>
        <v>16.789766123984528</v>
      </c>
      <c r="L17" s="247">
        <f t="shared" ref="L17:L49" si="4">+D17-J17</f>
        <v>44072508.2900002</v>
      </c>
      <c r="M17" s="224">
        <f t="shared" ref="M17:M49" si="5">+D17/J17*100-100</f>
        <v>7.8688288289243076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78" ht="15" customHeight="1">
      <c r="B18" s="80">
        <v>7111</v>
      </c>
      <c r="C18" s="97" t="str">
        <f>IF(MasterSheet!$A$1=1,MasterSheet!C74,MasterSheet!B74)</f>
        <v>Porez na dohodak fizičkih lica</v>
      </c>
      <c r="D18" s="160">
        <v>70728405.040000007</v>
      </c>
      <c r="E18" s="166">
        <f t="shared" si="0"/>
        <v>2.0844156613475091</v>
      </c>
      <c r="F18" s="160">
        <v>65759146.916871846</v>
      </c>
      <c r="G18" s="166">
        <f t="shared" si="0"/>
        <v>1.9379681421185835</v>
      </c>
      <c r="H18" s="249">
        <f t="shared" si="1"/>
        <v>4969258.1231281608</v>
      </c>
      <c r="I18" s="225">
        <f t="shared" si="2"/>
        <v>7.556755761156623</v>
      </c>
      <c r="J18" s="161">
        <v>62502113.580000006</v>
      </c>
      <c r="K18" s="166">
        <f t="shared" si="3"/>
        <v>1.8736207194460268</v>
      </c>
      <c r="L18" s="249">
        <f t="shared" si="4"/>
        <v>8226291.4600000009</v>
      </c>
      <c r="M18" s="225">
        <f t="shared" si="5"/>
        <v>13.161621245769069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78" ht="15" customHeight="1">
      <c r="B19" s="80">
        <v>7112</v>
      </c>
      <c r="C19" s="97" t="str">
        <f>IF(MasterSheet!$A$1=1,MasterSheet!C75,MasterSheet!B75)</f>
        <v>Porez na dobit pravnih lica</v>
      </c>
      <c r="D19" s="161">
        <v>41275475.609999999</v>
      </c>
      <c r="E19" s="166">
        <f t="shared" si="0"/>
        <v>1.2164171911185393</v>
      </c>
      <c r="F19" s="161">
        <v>40612431.760872543</v>
      </c>
      <c r="G19" s="166">
        <f t="shared" si="0"/>
        <v>1.1968768242390686</v>
      </c>
      <c r="H19" s="249">
        <f t="shared" si="1"/>
        <v>663043.84912745655</v>
      </c>
      <c r="I19" s="225">
        <f t="shared" si="2"/>
        <v>1.6326130211347163</v>
      </c>
      <c r="J19" s="161">
        <v>37175665.120000005</v>
      </c>
      <c r="K19" s="166">
        <f t="shared" si="3"/>
        <v>1.1144118564705179</v>
      </c>
      <c r="L19" s="249">
        <f t="shared" si="4"/>
        <v>4099810.4899999946</v>
      </c>
      <c r="M19" s="225">
        <f t="shared" si="5"/>
        <v>11.028210192786432</v>
      </c>
      <c r="N19" s="138"/>
      <c r="O19" s="81"/>
      <c r="P19" s="81" t="s">
        <v>455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78" ht="15" customHeight="1">
      <c r="B20" s="80">
        <v>7113</v>
      </c>
      <c r="C20" s="97" t="str">
        <f>IF(MasterSheet!$A$1=1,MasterSheet!C76,MasterSheet!B76)</f>
        <v>Porez na promet nepokretnosti</v>
      </c>
      <c r="D20" s="161">
        <v>1089851.2399999998</v>
      </c>
      <c r="E20" s="166">
        <f t="shared" si="0"/>
        <v>3.2118679785162058E-2</v>
      </c>
      <c r="F20" s="161">
        <v>1090962.4387885663</v>
      </c>
      <c r="G20" s="166">
        <f t="shared" si="0"/>
        <v>3.2151427592163342E-2</v>
      </c>
      <c r="H20" s="249">
        <f t="shared" si="1"/>
        <v>-1111.1987885665148</v>
      </c>
      <c r="I20" s="225">
        <f t="shared" si="2"/>
        <v>-0.10185490802051334</v>
      </c>
      <c r="J20" s="161">
        <v>1017523.69</v>
      </c>
      <c r="K20" s="166">
        <f t="shared" si="3"/>
        <v>3.0502223987529602E-2</v>
      </c>
      <c r="L20" s="249">
        <f t="shared" si="4"/>
        <v>72327.549999999814</v>
      </c>
      <c r="M20" s="225">
        <f t="shared" si="5"/>
        <v>7.1081932254569722</v>
      </c>
      <c r="N20" s="138"/>
      <c r="O20" s="81" t="s">
        <v>446</v>
      </c>
      <c r="P20" s="255">
        <f>+D21</f>
        <v>351975206.79000002</v>
      </c>
      <c r="Q20" s="255">
        <f>+D22</f>
        <v>117793527.76000001</v>
      </c>
      <c r="R20" s="255">
        <f>+D25</f>
        <v>284773148.30000007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78" ht="15" customHeight="1">
      <c r="B21" s="80">
        <v>7114</v>
      </c>
      <c r="C21" s="97" t="str">
        <f>IF(MasterSheet!$A$1=1,MasterSheet!C77,MasterSheet!B77)</f>
        <v>Porez na dodatu vrijednost</v>
      </c>
      <c r="D21" s="160">
        <v>351975206.79000002</v>
      </c>
      <c r="E21" s="166">
        <f t="shared" si="0"/>
        <v>10.372956000127331</v>
      </c>
      <c r="F21" s="160">
        <v>340384374.97280413</v>
      </c>
      <c r="G21" s="166">
        <f t="shared" si="0"/>
        <v>10.031366063889626</v>
      </c>
      <c r="H21" s="249">
        <f t="shared" si="1"/>
        <v>11590831.817195892</v>
      </c>
      <c r="I21" s="225">
        <f t="shared" si="2"/>
        <v>3.4052185321732225</v>
      </c>
      <c r="J21" s="161">
        <v>317837900.14999998</v>
      </c>
      <c r="K21" s="166">
        <f t="shared" si="3"/>
        <v>9.5278005980395086</v>
      </c>
      <c r="L21" s="249">
        <f t="shared" si="4"/>
        <v>34137306.640000045</v>
      </c>
      <c r="M21" s="225">
        <f t="shared" si="5"/>
        <v>10.740477024259647</v>
      </c>
      <c r="O21" s="81" t="s">
        <v>448</v>
      </c>
      <c r="P21" s="255">
        <f>+F21</f>
        <v>340384374.97280413</v>
      </c>
      <c r="Q21" s="255">
        <f>+F22</f>
        <v>126451730.90557893</v>
      </c>
      <c r="R21" s="255">
        <f>+F25</f>
        <v>263868473.2202594</v>
      </c>
    </row>
    <row r="22" spans="2:78" ht="15" customHeight="1">
      <c r="B22" s="80">
        <v>7115</v>
      </c>
      <c r="C22" s="97" t="str">
        <f>IF(MasterSheet!$A$1=1,MasterSheet!C78,MasterSheet!B78)</f>
        <v>Akcize</v>
      </c>
      <c r="D22" s="161">
        <v>117793527.76000001</v>
      </c>
      <c r="E22" s="166">
        <f t="shared" si="0"/>
        <v>3.4714578100475797</v>
      </c>
      <c r="F22" s="161">
        <v>126451730.90557893</v>
      </c>
      <c r="G22" s="166">
        <f t="shared" si="0"/>
        <v>3.726621124214871</v>
      </c>
      <c r="H22" s="249">
        <f t="shared" si="1"/>
        <v>-8658203.1455789208</v>
      </c>
      <c r="I22" s="225">
        <f t="shared" si="2"/>
        <v>-6.8470420164070163</v>
      </c>
      <c r="J22" s="161">
        <v>120627783.31</v>
      </c>
      <c r="K22" s="166">
        <f t="shared" si="3"/>
        <v>3.6160491414610751</v>
      </c>
      <c r="L22" s="249">
        <f t="shared" si="4"/>
        <v>-2834255.549999997</v>
      </c>
      <c r="M22" s="225">
        <f t="shared" si="5"/>
        <v>-2.3495876921789005</v>
      </c>
      <c r="O22" s="137">
        <v>2013</v>
      </c>
      <c r="P22" s="256">
        <f>+J21</f>
        <v>317837900.14999998</v>
      </c>
      <c r="Q22" s="257">
        <f>+J22</f>
        <v>120627783.31</v>
      </c>
      <c r="R22" s="257">
        <f>+J25</f>
        <v>264287645.53</v>
      </c>
    </row>
    <row r="23" spans="2:78" ht="15" customHeight="1">
      <c r="B23" s="80">
        <v>7116</v>
      </c>
      <c r="C23" s="97" t="str">
        <f>IF(MasterSheet!$A$1=1,MasterSheet!C79,MasterSheet!B79)</f>
        <v>Porez na međunarodnu trgovinu i transakcije</v>
      </c>
      <c r="D23" s="161">
        <v>16878989.120000001</v>
      </c>
      <c r="E23" s="166">
        <f t="shared" si="0"/>
        <v>0.49743563776879729</v>
      </c>
      <c r="F23" s="161">
        <v>18186209.013354093</v>
      </c>
      <c r="G23" s="166">
        <f t="shared" si="0"/>
        <v>0.53596032409519334</v>
      </c>
      <c r="H23" s="249">
        <f t="shared" si="1"/>
        <v>-1307219.8933540918</v>
      </c>
      <c r="I23" s="225">
        <f t="shared" si="2"/>
        <v>-7.1879735484960179</v>
      </c>
      <c r="J23" s="161">
        <v>17062970.809999999</v>
      </c>
      <c r="K23" s="166">
        <f t="shared" si="3"/>
        <v>0.51149527293983632</v>
      </c>
      <c r="L23" s="249">
        <f t="shared" si="4"/>
        <v>-183981.68999999762</v>
      </c>
      <c r="M23" s="225">
        <f t="shared" si="5"/>
        <v>-1.0782512145667624</v>
      </c>
      <c r="BX23" s="140"/>
      <c r="BY23" s="140"/>
      <c r="BZ23" s="81"/>
    </row>
    <row r="24" spans="2:78" ht="15" customHeight="1">
      <c r="B24" s="80">
        <v>7118</v>
      </c>
      <c r="C24" s="97" t="str">
        <f>IF(MasterSheet!$A$1=1,MasterSheet!C80,MasterSheet!B80)</f>
        <v>Ostali republički prihodi</v>
      </c>
      <c r="D24" s="161">
        <v>4420860.8600000003</v>
      </c>
      <c r="E24" s="166">
        <f t="shared" si="0"/>
        <v>0.13028586758051147</v>
      </c>
      <c r="F24" s="161">
        <v>3862268.8649217472</v>
      </c>
      <c r="G24" s="166">
        <f t="shared" si="0"/>
        <v>0.11382377003729699</v>
      </c>
      <c r="H24" s="249">
        <f t="shared" si="1"/>
        <v>558591.99507825309</v>
      </c>
      <c r="I24" s="225">
        <f t="shared" si="2"/>
        <v>14.462794140292729</v>
      </c>
      <c r="J24" s="161">
        <v>3865851.4699999997</v>
      </c>
      <c r="K24" s="166">
        <f t="shared" si="3"/>
        <v>0.11588631164003715</v>
      </c>
      <c r="L24" s="249">
        <f t="shared" si="4"/>
        <v>555009.3900000006</v>
      </c>
      <c r="M24" s="225">
        <f t="shared" si="5"/>
        <v>14.356717900494004</v>
      </c>
      <c r="BX24" s="140"/>
      <c r="BY24" s="140"/>
      <c r="BZ24" s="81"/>
    </row>
    <row r="25" spans="2:78" ht="15" customHeight="1">
      <c r="B25" s="80">
        <v>712</v>
      </c>
      <c r="C25" s="93" t="str">
        <f>IF(MasterSheet!$A$1=1,MasterSheet!C81,MasterSheet!B81)</f>
        <v>Doprinosi</v>
      </c>
      <c r="D25" s="159">
        <f>+SUM(D26:D29)</f>
        <v>284773148.30000007</v>
      </c>
      <c r="E25" s="165">
        <f t="shared" si="0"/>
        <v>8.3924642427898437</v>
      </c>
      <c r="F25" s="159">
        <f>+SUM(F26:F29)</f>
        <v>263868473.2202594</v>
      </c>
      <c r="G25" s="165">
        <f t="shared" si="0"/>
        <v>7.7763888186805419</v>
      </c>
      <c r="H25" s="247">
        <f t="shared" si="1"/>
        <v>20904675.079740673</v>
      </c>
      <c r="I25" s="224">
        <f t="shared" si="2"/>
        <v>7.9223845215835524</v>
      </c>
      <c r="J25" s="159">
        <f>+SUM(J26:J29)</f>
        <v>264287645.53</v>
      </c>
      <c r="K25" s="165">
        <f t="shared" si="3"/>
        <v>7.9225290185557116</v>
      </c>
      <c r="L25" s="247">
        <f t="shared" si="4"/>
        <v>20485502.77000007</v>
      </c>
      <c r="M25" s="224">
        <f t="shared" si="5"/>
        <v>7.7512146770684751</v>
      </c>
      <c r="BX25" s="140"/>
      <c r="BY25" s="140"/>
      <c r="BZ25" s="81"/>
    </row>
    <row r="26" spans="2:78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61">
        <v>173649012.32000002</v>
      </c>
      <c r="E26" s="166">
        <f t="shared" si="0"/>
        <v>5.1175580822532662</v>
      </c>
      <c r="F26" s="161">
        <v>155797555.75082597</v>
      </c>
      <c r="G26" s="166">
        <f t="shared" si="0"/>
        <v>4.5914631472747738</v>
      </c>
      <c r="H26" s="249">
        <f t="shared" si="1"/>
        <v>17851456.569174051</v>
      </c>
      <c r="I26" s="225">
        <f t="shared" si="2"/>
        <v>11.458110804847735</v>
      </c>
      <c r="J26" s="161">
        <v>160485071.53999999</v>
      </c>
      <c r="K26" s="166">
        <f t="shared" si="3"/>
        <v>4.8108477933990823</v>
      </c>
      <c r="L26" s="249">
        <f t="shared" si="4"/>
        <v>13163940.780000031</v>
      </c>
      <c r="M26" s="225">
        <f t="shared" si="5"/>
        <v>8.2025952032049219</v>
      </c>
      <c r="BX26" s="140"/>
      <c r="BY26" s="140"/>
      <c r="BZ26" s="81"/>
    </row>
    <row r="27" spans="2:78" ht="15" customHeight="1">
      <c r="B27" s="80">
        <v>7122</v>
      </c>
      <c r="C27" s="97" t="str">
        <f>IF(MasterSheet!$A$1=1,MasterSheet!C83,MasterSheet!B83)</f>
        <v>Doprinosi za zdravstveno osiguranje</v>
      </c>
      <c r="D27" s="161">
        <v>96553528.709999993</v>
      </c>
      <c r="E27" s="166">
        <f t="shared" si="0"/>
        <v>2.845500153547508</v>
      </c>
      <c r="F27" s="161">
        <v>91726161.937093228</v>
      </c>
      <c r="G27" s="166">
        <f t="shared" si="0"/>
        <v>2.7032342718437596</v>
      </c>
      <c r="H27" s="249">
        <f t="shared" si="1"/>
        <v>4827366.7729067653</v>
      </c>
      <c r="I27" s="225">
        <f t="shared" si="2"/>
        <v>5.2628025319727527</v>
      </c>
      <c r="J27" s="161">
        <v>89104436.180000007</v>
      </c>
      <c r="K27" s="166">
        <f t="shared" si="3"/>
        <v>2.6710763566054139</v>
      </c>
      <c r="L27" s="249">
        <f t="shared" si="4"/>
        <v>7449092.5299999863</v>
      </c>
      <c r="M27" s="225">
        <f t="shared" si="5"/>
        <v>8.3599569778457123</v>
      </c>
      <c r="BX27" s="140"/>
      <c r="BY27" s="140"/>
      <c r="BZ27" s="81"/>
    </row>
    <row r="28" spans="2:78" ht="15" customHeight="1">
      <c r="B28" s="80">
        <v>7123</v>
      </c>
      <c r="C28" s="97" t="str">
        <f>IF(MasterSheet!$A$1=1,MasterSheet!C84,MasterSheet!B84)</f>
        <v>Doprinosi za osiguranje od nezaposlenosti</v>
      </c>
      <c r="D28" s="161">
        <v>7768242.3599999994</v>
      </c>
      <c r="E28" s="166">
        <f t="shared" si="0"/>
        <v>0.22893554615249292</v>
      </c>
      <c r="F28" s="161">
        <v>7656251.2490933668</v>
      </c>
      <c r="G28" s="166">
        <f t="shared" si="0"/>
        <v>0.22563508963331264</v>
      </c>
      <c r="H28" s="249">
        <f t="shared" si="1"/>
        <v>111991.11090663262</v>
      </c>
      <c r="I28" s="225">
        <f t="shared" si="2"/>
        <v>1.4627408017715595</v>
      </c>
      <c r="J28" s="161">
        <v>7097920.7799999993</v>
      </c>
      <c r="K28" s="166">
        <f t="shared" si="3"/>
        <v>0.21277378758356064</v>
      </c>
      <c r="L28" s="249">
        <f t="shared" si="4"/>
        <v>670321.58000000007</v>
      </c>
      <c r="M28" s="225">
        <f t="shared" si="5"/>
        <v>9.4439146445362212</v>
      </c>
      <c r="BX28" s="140"/>
      <c r="BY28" s="140"/>
      <c r="BZ28" s="81"/>
    </row>
    <row r="29" spans="2:78" ht="15" customHeight="1">
      <c r="B29" s="80">
        <v>7124</v>
      </c>
      <c r="C29" s="97" t="str">
        <f>IF(MasterSheet!$A$1=1,MasterSheet!C85,MasterSheet!B85)</f>
        <v>Ostali doprinosi</v>
      </c>
      <c r="D29" s="160">
        <v>6802364.9100000001</v>
      </c>
      <c r="E29" s="166">
        <f t="shared" si="0"/>
        <v>0.2004704608365751</v>
      </c>
      <c r="F29" s="160">
        <v>8688504.2832468487</v>
      </c>
      <c r="G29" s="166">
        <f t="shared" si="0"/>
        <v>0.25605630992869688</v>
      </c>
      <c r="H29" s="249">
        <f t="shared" si="1"/>
        <v>-1886139.3732468486</v>
      </c>
      <c r="I29" s="225">
        <f t="shared" si="2"/>
        <v>-21.708447297237313</v>
      </c>
      <c r="J29" s="161">
        <v>7600217.0300000003</v>
      </c>
      <c r="K29" s="166">
        <f t="shared" si="3"/>
        <v>0.22783108096765492</v>
      </c>
      <c r="L29" s="249">
        <f t="shared" si="4"/>
        <v>-797852.12000000011</v>
      </c>
      <c r="M29" s="225">
        <f t="shared" si="5"/>
        <v>-10.497754430573153</v>
      </c>
      <c r="BX29" s="81"/>
      <c r="BY29" s="81"/>
      <c r="BZ29" s="81"/>
    </row>
    <row r="30" spans="2:78" ht="15" customHeight="1">
      <c r="B30" s="80">
        <v>713</v>
      </c>
      <c r="C30" s="93" t="str">
        <f>IF(MasterSheet!$A$1=1,MasterSheet!C86,MasterSheet!B86)</f>
        <v>Takse</v>
      </c>
      <c r="D30" s="159">
        <f>+SUM(D31:D34)</f>
        <v>11646094.33</v>
      </c>
      <c r="E30" s="165">
        <f t="shared" si="0"/>
        <v>0.34321856121672312</v>
      </c>
      <c r="F30" s="159">
        <f>+SUM(F31:F34)</f>
        <v>14363033.178240603</v>
      </c>
      <c r="G30" s="165">
        <f t="shared" si="0"/>
        <v>0.42328865304183028</v>
      </c>
      <c r="H30" s="247">
        <f t="shared" si="1"/>
        <v>-2716938.8482406028</v>
      </c>
      <c r="I30" s="224">
        <f t="shared" si="2"/>
        <v>-18.916191409741018</v>
      </c>
      <c r="J30" s="159">
        <f>+SUM(J31:J34)</f>
        <v>18272203.859999999</v>
      </c>
      <c r="K30" s="165">
        <f t="shared" si="3"/>
        <v>0.54774435264846066</v>
      </c>
      <c r="L30" s="247">
        <f t="shared" si="4"/>
        <v>-6626109.5299999993</v>
      </c>
      <c r="M30" s="224">
        <f t="shared" si="5"/>
        <v>-36.263329704334858</v>
      </c>
      <c r="BX30" s="81"/>
      <c r="BY30" s="81"/>
      <c r="BZ30" s="81"/>
    </row>
    <row r="31" spans="2:78" ht="15" customHeight="1">
      <c r="B31" s="80">
        <v>7131</v>
      </c>
      <c r="C31" s="97" t="str">
        <f>IF(MasterSheet!$A$1=1,MasterSheet!C87,MasterSheet!B87)</f>
        <v>Administrativne takse</v>
      </c>
      <c r="D31" s="161">
        <v>5853766.4300000006</v>
      </c>
      <c r="E31" s="166">
        <f t="shared" si="0"/>
        <v>0.17251459887525691</v>
      </c>
      <c r="F31" s="161">
        <v>6191016.1756315259</v>
      </c>
      <c r="G31" s="166">
        <f t="shared" si="0"/>
        <v>0.18245358521578381</v>
      </c>
      <c r="H31" s="249">
        <f t="shared" si="1"/>
        <v>-337249.74563152529</v>
      </c>
      <c r="I31" s="225">
        <f t="shared" si="2"/>
        <v>-5.4474053380602498</v>
      </c>
      <c r="J31" s="161">
        <v>6021829.4399999995</v>
      </c>
      <c r="K31" s="166">
        <f t="shared" si="3"/>
        <v>0.18051588596780477</v>
      </c>
      <c r="L31" s="249">
        <f t="shared" si="4"/>
        <v>-168063.00999999885</v>
      </c>
      <c r="M31" s="225">
        <f t="shared" si="5"/>
        <v>-2.7908962164162432</v>
      </c>
      <c r="BX31" s="81"/>
      <c r="BY31" s="81"/>
      <c r="BZ31" s="81"/>
    </row>
    <row r="32" spans="2:78" ht="15" customHeight="1">
      <c r="B32" s="80">
        <v>7132</v>
      </c>
      <c r="C32" s="97" t="str">
        <f>IF(MasterSheet!$A$1=1,MasterSheet!C88,MasterSheet!B88)</f>
        <v>Sudske takse</v>
      </c>
      <c r="D32" s="161">
        <v>3158143.98</v>
      </c>
      <c r="E32" s="166">
        <f t="shared" si="0"/>
        <v>9.3072716244335593E-2</v>
      </c>
      <c r="F32" s="161">
        <v>2118160.4080585255</v>
      </c>
      <c r="G32" s="166">
        <f t="shared" si="0"/>
        <v>6.2423671582958418E-2</v>
      </c>
      <c r="H32" s="249">
        <f t="shared" si="1"/>
        <v>1039983.5719414745</v>
      </c>
      <c r="I32" s="225">
        <f t="shared" si="2"/>
        <v>49.098433149107336</v>
      </c>
      <c r="J32" s="161">
        <v>2626200.63</v>
      </c>
      <c r="K32" s="166">
        <f t="shared" si="3"/>
        <v>7.8725400341736862E-2</v>
      </c>
      <c r="L32" s="249">
        <f t="shared" si="4"/>
        <v>531943.35000000009</v>
      </c>
      <c r="M32" s="225">
        <f t="shared" si="5"/>
        <v>20.255244169977999</v>
      </c>
      <c r="BX32" s="140"/>
      <c r="BY32" s="140"/>
      <c r="BZ32" s="140"/>
    </row>
    <row r="33" spans="2:81" ht="15" customHeight="1">
      <c r="B33" s="80">
        <v>7133</v>
      </c>
      <c r="C33" s="97" t="str">
        <f>IF(MasterSheet!$A$1=1,MasterSheet!C89,MasterSheet!B89)</f>
        <v>Boravišne takse</v>
      </c>
      <c r="D33" s="161">
        <v>565262.40999999992</v>
      </c>
      <c r="E33" s="166">
        <f t="shared" si="0"/>
        <v>1.665867934542974E-2</v>
      </c>
      <c r="F33" s="161">
        <v>669245.29470049322</v>
      </c>
      <c r="G33" s="166">
        <f t="shared" si="0"/>
        <v>1.9723127826336704E-2</v>
      </c>
      <c r="H33" s="249">
        <f t="shared" si="1"/>
        <v>-103982.8847004933</v>
      </c>
      <c r="I33" s="225">
        <f t="shared" si="2"/>
        <v>-15.537335192924843</v>
      </c>
      <c r="J33" s="161">
        <v>674007.22</v>
      </c>
      <c r="K33" s="166">
        <f t="shared" si="3"/>
        <v>2.0204659012560328E-2</v>
      </c>
      <c r="L33" s="249">
        <f t="shared" si="4"/>
        <v>-108744.81000000006</v>
      </c>
      <c r="M33" s="225">
        <f t="shared" si="5"/>
        <v>-16.134071976261637</v>
      </c>
      <c r="BX33" s="140"/>
      <c r="BY33" s="140"/>
      <c r="BZ33" s="140"/>
    </row>
    <row r="34" spans="2:81" ht="15" customHeight="1">
      <c r="B34" s="80">
        <v>7136</v>
      </c>
      <c r="C34" s="97" t="str">
        <f>IF(MasterSheet!$A$1=1,MasterSheet!C90,MasterSheet!B90)</f>
        <v>Ostale takse</v>
      </c>
      <c r="D34" s="160">
        <v>2068921.5099999998</v>
      </c>
      <c r="E34" s="166">
        <f t="shared" si="0"/>
        <v>6.0972566751700874E-2</v>
      </c>
      <c r="F34" s="160">
        <v>5384611.2998500578</v>
      </c>
      <c r="G34" s="166">
        <f t="shared" si="0"/>
        <v>0.15868826841675135</v>
      </c>
      <c r="H34" s="249">
        <f t="shared" si="1"/>
        <v>-3315689.789850058</v>
      </c>
      <c r="I34" s="225">
        <f t="shared" si="2"/>
        <v>-61.577142809591258</v>
      </c>
      <c r="J34" s="160">
        <v>8950166.5700000003</v>
      </c>
      <c r="K34" s="166">
        <f t="shared" si="3"/>
        <v>0.26829840732635873</v>
      </c>
      <c r="L34" s="249">
        <f t="shared" si="4"/>
        <v>-6881245.0600000005</v>
      </c>
      <c r="M34" s="225">
        <f t="shared" si="5"/>
        <v>-76.883988763574493</v>
      </c>
      <c r="BX34" s="140"/>
      <c r="BY34" s="140"/>
      <c r="BZ34" s="140"/>
    </row>
    <row r="35" spans="2:81" ht="15" customHeight="1">
      <c r="B35" s="80">
        <v>714</v>
      </c>
      <c r="C35" s="93" t="str">
        <f>IF(MasterSheet!$A$1=1,MasterSheet!C91,MasterSheet!B91)</f>
        <v>Naknade</v>
      </c>
      <c r="D35" s="159">
        <f>+SUM(D36:D41)</f>
        <v>11632633.619999999</v>
      </c>
      <c r="E35" s="165">
        <f t="shared" si="0"/>
        <v>0.34282186466007109</v>
      </c>
      <c r="F35" s="159">
        <f>+SUM(F36:F41)</f>
        <v>9572415.3083725721</v>
      </c>
      <c r="G35" s="165">
        <f t="shared" si="0"/>
        <v>0.28210578726340857</v>
      </c>
      <c r="H35" s="247">
        <f t="shared" si="1"/>
        <v>2060218.3116274271</v>
      </c>
      <c r="I35" s="224">
        <f t="shared" si="2"/>
        <v>21.522450136753307</v>
      </c>
      <c r="J35" s="159">
        <f>+SUM(J36:J41)</f>
        <v>9711148.7699999996</v>
      </c>
      <c r="K35" s="165">
        <f t="shared" si="3"/>
        <v>0.29111030816271466</v>
      </c>
      <c r="L35" s="247">
        <f t="shared" si="4"/>
        <v>1921484.8499999996</v>
      </c>
      <c r="M35" s="224">
        <f t="shared" si="5"/>
        <v>19.786380535492512</v>
      </c>
      <c r="BX35" s="140"/>
      <c r="BY35" s="140"/>
      <c r="BZ35" s="140"/>
    </row>
    <row r="36" spans="2:81" ht="15" customHeight="1">
      <c r="B36" s="80">
        <v>7141</v>
      </c>
      <c r="C36" s="97" t="str">
        <f>IF(MasterSheet!$A$1=1,MasterSheet!C92,MasterSheet!B92)</f>
        <v>Naknade za korišćenje dobara od opšteg interesa</v>
      </c>
      <c r="D36" s="161">
        <v>471013.65</v>
      </c>
      <c r="E36" s="166">
        <f t="shared" si="0"/>
        <v>1.3881102340894158E-2</v>
      </c>
      <c r="F36" s="161">
        <v>421169.33627362142</v>
      </c>
      <c r="G36" s="166">
        <f t="shared" si="0"/>
        <v>1.2412155485643794E-2</v>
      </c>
      <c r="H36" s="249">
        <f t="shared" si="1"/>
        <v>49844.313726378605</v>
      </c>
      <c r="I36" s="225">
        <f t="shared" si="2"/>
        <v>11.83474423076143</v>
      </c>
      <c r="J36" s="161">
        <v>390193.05</v>
      </c>
      <c r="K36" s="166">
        <f t="shared" si="3"/>
        <v>1.1696784975568811E-2</v>
      </c>
      <c r="L36" s="249">
        <f t="shared" si="4"/>
        <v>80820.600000000035</v>
      </c>
      <c r="M36" s="225">
        <f t="shared" si="5"/>
        <v>20.712977845197415</v>
      </c>
      <c r="BX36" s="140"/>
      <c r="BY36" s="140"/>
      <c r="BZ36" s="140"/>
    </row>
    <row r="37" spans="2:81" ht="15" customHeight="1">
      <c r="B37" s="80">
        <v>7142</v>
      </c>
      <c r="C37" s="97" t="str">
        <f>IF(MasterSheet!$A$1=1,MasterSheet!C93,MasterSheet!B93)</f>
        <v>Naknade za korišćenje prirodnih dobara</v>
      </c>
      <c r="D37" s="161">
        <v>1366344.23</v>
      </c>
      <c r="E37" s="166">
        <f t="shared" si="0"/>
        <v>4.0267121960308849E-2</v>
      </c>
      <c r="F37" s="161">
        <v>1566322.4004568211</v>
      </c>
      <c r="G37" s="166">
        <f t="shared" si="0"/>
        <v>4.6160618783714948E-2</v>
      </c>
      <c r="H37" s="249">
        <f t="shared" si="1"/>
        <v>-199978.1704568211</v>
      </c>
      <c r="I37" s="225">
        <f t="shared" si="2"/>
        <v>-12.767369629553727</v>
      </c>
      <c r="J37" s="161">
        <v>1564141.32</v>
      </c>
      <c r="K37" s="166">
        <f t="shared" si="3"/>
        <v>4.6888135735483678E-2</v>
      </c>
      <c r="L37" s="249">
        <f t="shared" si="4"/>
        <v>-197797.09000000008</v>
      </c>
      <c r="M37" s="225">
        <f t="shared" si="5"/>
        <v>-12.645730118554766</v>
      </c>
      <c r="BX37" s="140"/>
      <c r="BY37" s="140"/>
      <c r="BZ37" s="140"/>
    </row>
    <row r="38" spans="2:81" ht="15" customHeight="1">
      <c r="B38" s="80">
        <v>7143</v>
      </c>
      <c r="C38" s="97" t="str">
        <f>IF(MasterSheet!$A$1=1,MasterSheet!C94,MasterSheet!B94)</f>
        <v>Ekološke naknade</v>
      </c>
      <c r="D38" s="161">
        <v>101375.42000000001</v>
      </c>
      <c r="E38" s="166">
        <f t="shared" si="0"/>
        <v>2.9876046689329039E-3</v>
      </c>
      <c r="F38" s="161">
        <v>367073.33873416984</v>
      </c>
      <c r="G38" s="166">
        <f t="shared" si="0"/>
        <v>1.0817908528941189E-2</v>
      </c>
      <c r="H38" s="249">
        <f t="shared" si="1"/>
        <v>-265697.9187341698</v>
      </c>
      <c r="I38" s="225">
        <f t="shared" si="2"/>
        <v>-72.382788586720295</v>
      </c>
      <c r="J38" s="161">
        <v>268013.98</v>
      </c>
      <c r="K38" s="166">
        <f t="shared" si="3"/>
        <v>8.0342330405587699E-3</v>
      </c>
      <c r="L38" s="249">
        <f t="shared" si="4"/>
        <v>-166638.55999999997</v>
      </c>
      <c r="M38" s="225">
        <f t="shared" si="5"/>
        <v>-62.175323839450456</v>
      </c>
      <c r="BX38" s="140"/>
      <c r="BY38" s="140"/>
      <c r="BZ38" s="140"/>
      <c r="CA38" s="81"/>
      <c r="CB38" s="81"/>
    </row>
    <row r="39" spans="2:81" ht="15" customHeight="1">
      <c r="B39" s="80">
        <v>7144</v>
      </c>
      <c r="C39" s="97" t="str">
        <f>IF(MasterSheet!$A$1=1,MasterSheet!C95,MasterSheet!B95)</f>
        <v>Naknade za priređivanje igara na sreću</v>
      </c>
      <c r="D39" s="161">
        <v>3675111.35</v>
      </c>
      <c r="E39" s="166">
        <f t="shared" si="0"/>
        <v>0.10830810691692629</v>
      </c>
      <c r="F39" s="161">
        <v>2304817.6013957988</v>
      </c>
      <c r="G39" s="166">
        <f t="shared" si="0"/>
        <v>6.7924589875620986E-2</v>
      </c>
      <c r="H39" s="249">
        <f t="shared" si="1"/>
        <v>1370293.7486042012</v>
      </c>
      <c r="I39" s="225">
        <f t="shared" si="2"/>
        <v>59.453457305009749</v>
      </c>
      <c r="J39" s="161">
        <v>2345626.87</v>
      </c>
      <c r="K39" s="166">
        <f t="shared" si="3"/>
        <v>7.0314663808867167E-2</v>
      </c>
      <c r="L39" s="249">
        <f t="shared" si="4"/>
        <v>1329484.48</v>
      </c>
      <c r="M39" s="225">
        <f t="shared" si="5"/>
        <v>56.679282498157932</v>
      </c>
      <c r="BX39" s="140"/>
      <c r="BY39" s="140"/>
      <c r="BZ39" s="140"/>
      <c r="CA39" s="81"/>
      <c r="CB39" s="81"/>
    </row>
    <row r="40" spans="2:81" ht="15" customHeight="1">
      <c r="B40" s="80">
        <v>7148</v>
      </c>
      <c r="C40" s="97" t="str">
        <f>IF(MasterSheet!$A$1=1,MasterSheet!C96,MasterSheet!B96)</f>
        <v>Naknada za puteve</v>
      </c>
      <c r="D40" s="161">
        <v>2470793.2599999998</v>
      </c>
      <c r="E40" s="166">
        <f t="shared" si="0"/>
        <v>7.28160088465621E-2</v>
      </c>
      <c r="F40" s="161">
        <v>2404152.9525579521</v>
      </c>
      <c r="G40" s="166">
        <f t="shared" si="0"/>
        <v>7.0852072286269815E-2</v>
      </c>
      <c r="H40" s="249">
        <f t="shared" si="1"/>
        <v>66640.307442047633</v>
      </c>
      <c r="I40" s="225">
        <f t="shared" si="2"/>
        <v>2.7718830189711525</v>
      </c>
      <c r="J40" s="161">
        <v>2621425.4699999997</v>
      </c>
      <c r="K40" s="166">
        <f t="shared" si="3"/>
        <v>7.8582255763062436E-2</v>
      </c>
      <c r="L40" s="249">
        <f t="shared" si="4"/>
        <v>-150632.20999999996</v>
      </c>
      <c r="M40" s="225">
        <f t="shared" si="5"/>
        <v>-5.7461946457703448</v>
      </c>
      <c r="BX40" s="140"/>
      <c r="BY40" s="140"/>
      <c r="BZ40" s="140"/>
      <c r="CA40" s="81"/>
      <c r="CB40" s="81"/>
    </row>
    <row r="41" spans="2:81" ht="15" customHeight="1">
      <c r="B41" s="80">
        <v>7149</v>
      </c>
      <c r="C41" s="97" t="str">
        <f>IF(MasterSheet!$A$1=1,MasterSheet!C97,MasterSheet!B97)</f>
        <v>Ostale naknade</v>
      </c>
      <c r="D41" s="161">
        <v>3547995.7099999995</v>
      </c>
      <c r="E41" s="166">
        <f t="shared" si="0"/>
        <v>0.10456191992644678</v>
      </c>
      <c r="F41" s="161">
        <v>2508879.6789542083</v>
      </c>
      <c r="G41" s="166">
        <f t="shared" si="0"/>
        <v>7.3938442303217847E-2</v>
      </c>
      <c r="H41" s="249">
        <f t="shared" si="1"/>
        <v>1039116.0310457912</v>
      </c>
      <c r="I41" s="225">
        <f t="shared" si="2"/>
        <v>41.417531488753269</v>
      </c>
      <c r="J41" s="161">
        <v>2521748.08</v>
      </c>
      <c r="K41" s="166">
        <f t="shared" si="3"/>
        <v>7.5594234839173838E-2</v>
      </c>
      <c r="L41" s="249">
        <f t="shared" si="4"/>
        <v>1026247.6299999994</v>
      </c>
      <c r="M41" s="225">
        <f t="shared" si="5"/>
        <v>40.695882278613624</v>
      </c>
      <c r="BX41" s="81"/>
      <c r="BY41" s="81"/>
      <c r="BZ41" s="81"/>
      <c r="CA41" s="81"/>
      <c r="CB41" s="81"/>
    </row>
    <row r="42" spans="2:81" ht="15" customHeight="1">
      <c r="B42" s="80">
        <v>715</v>
      </c>
      <c r="C42" s="93" t="str">
        <f>IF(MasterSheet!$A$1=1,MasterSheet!C98,MasterSheet!B98)</f>
        <v>Ostali prihodi</v>
      </c>
      <c r="D42" s="159">
        <f>+SUM(D43:D46)</f>
        <v>21634226.060000002</v>
      </c>
      <c r="E42" s="165">
        <f t="shared" si="0"/>
        <v>0.63757580274987669</v>
      </c>
      <c r="F42" s="159">
        <f>+SUM(F43:F46)</f>
        <v>20307676.336737271</v>
      </c>
      <c r="G42" s="165">
        <f t="shared" si="0"/>
        <v>0.5984814527901785</v>
      </c>
      <c r="H42" s="247">
        <f t="shared" si="1"/>
        <v>1326549.723262731</v>
      </c>
      <c r="I42" s="224">
        <f t="shared" si="2"/>
        <v>6.5322575624418278</v>
      </c>
      <c r="J42" s="159">
        <f>+SUM(J43:J46)</f>
        <v>21380775.330000002</v>
      </c>
      <c r="K42" s="165">
        <f t="shared" si="3"/>
        <v>0.64092974399712233</v>
      </c>
      <c r="L42" s="247">
        <f t="shared" si="4"/>
        <v>253450.73000000045</v>
      </c>
      <c r="M42" s="224">
        <f t="shared" si="5"/>
        <v>1.185414121275457</v>
      </c>
      <c r="BX42" s="81"/>
      <c r="BY42" s="81"/>
      <c r="BZ42" s="81"/>
      <c r="CA42" s="81"/>
      <c r="CB42" s="81"/>
    </row>
    <row r="43" spans="2:81" ht="15" customHeight="1">
      <c r="B43" s="80">
        <v>7151</v>
      </c>
      <c r="C43" s="97" t="str">
        <f>IF(MasterSheet!$A$1=1,MasterSheet!C99,MasterSheet!B99)</f>
        <v>Prihodi od kapitala</v>
      </c>
      <c r="D43" s="161">
        <v>2344101.06</v>
      </c>
      <c r="E43" s="166">
        <f t="shared" si="0"/>
        <v>6.908230092961952E-2</v>
      </c>
      <c r="F43" s="161">
        <v>1420965.8436927416</v>
      </c>
      <c r="G43" s="166">
        <f t="shared" si="0"/>
        <v>4.1876859193388467E-2</v>
      </c>
      <c r="H43" s="249">
        <f t="shared" si="1"/>
        <v>923135.21630725847</v>
      </c>
      <c r="I43" s="225">
        <f t="shared" si="2"/>
        <v>64.965334698563652</v>
      </c>
      <c r="J43" s="161">
        <v>1637412.5300000005</v>
      </c>
      <c r="K43" s="166">
        <f t="shared" si="3"/>
        <v>4.9084580772804955E-2</v>
      </c>
      <c r="L43" s="249">
        <f t="shared" si="4"/>
        <v>706688.52999999956</v>
      </c>
      <c r="M43" s="225">
        <f t="shared" si="5"/>
        <v>43.158856858143082</v>
      </c>
      <c r="BX43" s="137"/>
      <c r="BY43" s="137"/>
      <c r="BZ43" s="137"/>
      <c r="CA43" s="137"/>
      <c r="CB43" s="137"/>
      <c r="CC43" s="142"/>
    </row>
    <row r="44" spans="2:81" ht="15" customHeight="1">
      <c r="B44" s="80">
        <v>7152</v>
      </c>
      <c r="C44" s="97" t="str">
        <f>IF(MasterSheet!$A$1=1,MasterSheet!C100,MasterSheet!B100)</f>
        <v>Novčane kazne i oduzete imovinske koristi</v>
      </c>
      <c r="D44" s="161">
        <v>10708507.66</v>
      </c>
      <c r="E44" s="166">
        <f t="shared" si="0"/>
        <v>0.31558722501292485</v>
      </c>
      <c r="F44" s="161">
        <v>9043154.4419813324</v>
      </c>
      <c r="G44" s="166">
        <f t="shared" si="0"/>
        <v>0.26650809863717217</v>
      </c>
      <c r="H44" s="249">
        <f t="shared" si="1"/>
        <v>1665353.2180186678</v>
      </c>
      <c r="I44" s="225">
        <f t="shared" si="2"/>
        <v>18.415622874774144</v>
      </c>
      <c r="J44" s="161">
        <v>9419919.5</v>
      </c>
      <c r="K44" s="166">
        <f t="shared" si="3"/>
        <v>0.28238015228274227</v>
      </c>
      <c r="L44" s="249">
        <f t="shared" si="4"/>
        <v>1288588.1600000001</v>
      </c>
      <c r="M44" s="225">
        <f t="shared" si="5"/>
        <v>13.679396729451881</v>
      </c>
      <c r="BX44" s="137"/>
      <c r="BY44" s="137"/>
      <c r="BZ44" s="139"/>
      <c r="CA44" s="139"/>
      <c r="CB44" s="176"/>
      <c r="CC44" s="142"/>
    </row>
    <row r="45" spans="2:81" ht="15" customHeight="1">
      <c r="B45" s="80">
        <v>7153</v>
      </c>
      <c r="C45" s="97" t="str">
        <f>IF(MasterSheet!$A$1=1,MasterSheet!C101,MasterSheet!B101)</f>
        <v>Prihodi koje organi ostvaruju vršenjem svoje djelatnosti</v>
      </c>
      <c r="D45" s="161">
        <v>1769488.3</v>
      </c>
      <c r="E45" s="166">
        <f t="shared" si="0"/>
        <v>5.2148060217182296E-2</v>
      </c>
      <c r="F45" s="161">
        <v>1639743.243434326</v>
      </c>
      <c r="G45" s="166">
        <f t="shared" si="0"/>
        <v>4.8324382477878514E-2</v>
      </c>
      <c r="H45" s="249">
        <f t="shared" si="1"/>
        <v>129745.05656567402</v>
      </c>
      <c r="I45" s="225">
        <f t="shared" si="2"/>
        <v>7.9125227126371414</v>
      </c>
      <c r="J45" s="161">
        <v>1609613.84</v>
      </c>
      <c r="K45" s="166">
        <f t="shared" si="3"/>
        <v>4.825126172846908E-2</v>
      </c>
      <c r="L45" s="249">
        <f t="shared" si="4"/>
        <v>159874.45999999996</v>
      </c>
      <c r="M45" s="225">
        <f t="shared" si="5"/>
        <v>9.9324729961317786</v>
      </c>
      <c r="BX45" s="81"/>
      <c r="BY45" s="81"/>
      <c r="BZ45" s="145"/>
      <c r="CA45" s="145"/>
      <c r="CB45" s="145"/>
      <c r="CC45" s="142"/>
    </row>
    <row r="46" spans="2:81" ht="15" customHeight="1">
      <c r="B46" s="80">
        <v>7155</v>
      </c>
      <c r="C46" s="97" t="str">
        <f>IF(MasterSheet!$A$1=1,MasterSheet!C102,MasterSheet!B102)</f>
        <v>Ostali prihodi</v>
      </c>
      <c r="D46" s="161">
        <v>6812129.04</v>
      </c>
      <c r="E46" s="166">
        <f t="shared" si="0"/>
        <v>0.20075821659014995</v>
      </c>
      <c r="F46" s="161">
        <v>8203812.80762887</v>
      </c>
      <c r="G46" s="166">
        <f t="shared" si="0"/>
        <v>0.24177211248173933</v>
      </c>
      <c r="H46" s="249">
        <f t="shared" si="1"/>
        <v>-1391683.76762887</v>
      </c>
      <c r="I46" s="225">
        <f t="shared" si="2"/>
        <v>-16.96386546429629</v>
      </c>
      <c r="J46" s="161">
        <v>8713829.4600000009</v>
      </c>
      <c r="K46" s="166">
        <f t="shared" si="3"/>
        <v>0.26121374921310597</v>
      </c>
      <c r="L46" s="249">
        <f t="shared" si="4"/>
        <v>-1901700.4200000009</v>
      </c>
      <c r="M46" s="225">
        <f t="shared" si="5"/>
        <v>-21.823934341721667</v>
      </c>
      <c r="BW46" s="100"/>
      <c r="BX46" s="100"/>
      <c r="BY46" s="99"/>
      <c r="BZ46" s="145"/>
      <c r="CA46" s="145"/>
      <c r="CB46" s="145"/>
      <c r="CC46" s="142"/>
    </row>
    <row r="47" spans="2:81" ht="25.5">
      <c r="B47" s="80">
        <v>73</v>
      </c>
      <c r="C47" s="101" t="str">
        <f>IF(MasterSheet!$A$1=1,MasterSheet!C103,MasterSheet!B103)</f>
        <v>Primici od otplate kredita i sredstva prenijeta iz prethodne godine</v>
      </c>
      <c r="D47" s="159">
        <v>2903471.64</v>
      </c>
      <c r="E47" s="165">
        <f t="shared" si="0"/>
        <v>8.556734391609204E-2</v>
      </c>
      <c r="F47" s="159">
        <v>5622910.6072286079</v>
      </c>
      <c r="G47" s="165">
        <f t="shared" si="0"/>
        <v>0.16571111599980093</v>
      </c>
      <c r="H47" s="247">
        <f t="shared" si="1"/>
        <v>-2719438.9672286077</v>
      </c>
      <c r="I47" s="224">
        <f t="shared" si="2"/>
        <v>-48.363546162953341</v>
      </c>
      <c r="J47" s="159">
        <v>6036458.1000000006</v>
      </c>
      <c r="K47" s="165">
        <f t="shared" si="3"/>
        <v>0.18095440810575858</v>
      </c>
      <c r="L47" s="247">
        <f t="shared" si="4"/>
        <v>-3132986.4600000004</v>
      </c>
      <c r="M47" s="224">
        <f t="shared" si="5"/>
        <v>-51.901071921629011</v>
      </c>
      <c r="BW47" s="100"/>
      <c r="BX47" s="100"/>
      <c r="BY47" s="99"/>
      <c r="BZ47" s="145"/>
      <c r="CA47" s="145"/>
      <c r="CB47" s="145"/>
      <c r="CC47" s="142"/>
    </row>
    <row r="48" spans="2:81" ht="13.5" customHeight="1" thickBot="1">
      <c r="B48" s="80">
        <v>74</v>
      </c>
      <c r="C48" s="93" t="s">
        <v>458</v>
      </c>
      <c r="D48" s="159">
        <v>3154383.71</v>
      </c>
      <c r="E48" s="165">
        <f t="shared" si="0"/>
        <v>9.2961898452325956E-2</v>
      </c>
      <c r="F48" s="159">
        <v>6000000</v>
      </c>
      <c r="G48" s="165">
        <f t="shared" si="0"/>
        <v>0.17682420466023638</v>
      </c>
      <c r="H48" s="247">
        <f t="shared" si="1"/>
        <v>-2845616.29</v>
      </c>
      <c r="I48" s="224">
        <f t="shared" si="2"/>
        <v>-47.426938166666666</v>
      </c>
      <c r="J48" s="159">
        <v>3351964.49</v>
      </c>
      <c r="K48" s="165">
        <f t="shared" si="3"/>
        <v>0.10048156389580025</v>
      </c>
      <c r="L48" s="247">
        <f t="shared" si="4"/>
        <v>-197580.78000000026</v>
      </c>
      <c r="M48" s="224">
        <f t="shared" si="5"/>
        <v>-5.8944771219816943</v>
      </c>
      <c r="BX48" s="170"/>
      <c r="BY48" s="170"/>
      <c r="BZ48" s="145"/>
      <c r="CA48" s="145"/>
      <c r="CB48" s="145"/>
      <c r="CC48" s="142"/>
    </row>
    <row r="49" spans="1:81" ht="15" customHeight="1" thickTop="1" thickBot="1">
      <c r="B49" s="102"/>
      <c r="C49" s="90" t="str">
        <f>IF(MasterSheet!$A$1=1,MasterSheet!C104,MasterSheet!B104)</f>
        <v>Izdaci</v>
      </c>
      <c r="D49" s="91">
        <f>+D51+D62+D68+SUM(D71:D75)</f>
        <v>963219427.47923064</v>
      </c>
      <c r="E49" s="219">
        <f t="shared" si="0"/>
        <v>28.386751529550537</v>
      </c>
      <c r="F49" s="91">
        <f>+F51+F62+F68+SUM(F71:F75)</f>
        <v>1003203802.365</v>
      </c>
      <c r="G49" s="262">
        <f>F49/D$11*100</f>
        <v>29.56511907755268</v>
      </c>
      <c r="H49" s="91">
        <f t="shared" si="1"/>
        <v>-39984374.885769367</v>
      </c>
      <c r="I49" s="219">
        <f t="shared" si="2"/>
        <v>-3.9856681953864523</v>
      </c>
      <c r="J49" s="171">
        <f>+J51+J62+J68+SUM(J71:J75)</f>
        <v>1013064888.4300001</v>
      </c>
      <c r="K49" s="219">
        <f t="shared" si="3"/>
        <v>30.368562859498187</v>
      </c>
      <c r="L49" s="91">
        <f t="shared" si="4"/>
        <v>-49845460.950769424</v>
      </c>
      <c r="M49" s="219">
        <f t="shared" si="5"/>
        <v>-4.9202634026747916</v>
      </c>
      <c r="BX49" s="81"/>
      <c r="BY49" s="81"/>
      <c r="BZ49" s="145"/>
      <c r="CA49" s="145"/>
      <c r="CB49" s="145"/>
      <c r="CC49" s="142"/>
    </row>
    <row r="50" spans="1:81" ht="13.5" customHeight="1" thickTop="1" thickBot="1">
      <c r="C50" s="90" t="str">
        <f>IF(MasterSheet!$A$1=1,MasterSheet!C105,MasterSheet!B105)</f>
        <v>Tekuća budžetska potrošnja</v>
      </c>
      <c r="D50" s="91">
        <f>+D49-D71</f>
        <v>921411504.19923067</v>
      </c>
      <c r="E50" s="219">
        <f t="shared" si="0"/>
        <v>27.154642732470176</v>
      </c>
      <c r="F50" s="91">
        <f>+F49-F71</f>
        <v>926838427.36500001</v>
      </c>
      <c r="G50" s="262">
        <f t="shared" ref="G50:G87" si="6">F50/D$11*100</f>
        <v>27.314577961226732</v>
      </c>
      <c r="H50" s="91">
        <f t="shared" si="1"/>
        <v>-5426923.1657693386</v>
      </c>
      <c r="I50" s="219">
        <f t="shared" si="2"/>
        <v>-0.58553066052711245</v>
      </c>
      <c r="J50" s="171">
        <f>+J49-J71</f>
        <v>980673561.19000006</v>
      </c>
      <c r="K50" s="219">
        <f t="shared" si="3"/>
        <v>29.397570706256182</v>
      </c>
      <c r="L50" s="91">
        <f t="shared" ref="L50:L87" si="7">+D50-J50</f>
        <v>-59262056.990769386</v>
      </c>
      <c r="M50" s="219">
        <f t="shared" ref="M50:M87" si="8">+D50/J50*100-100</f>
        <v>-6.0429952775373863</v>
      </c>
      <c r="BX50" s="170"/>
      <c r="BY50" s="170"/>
      <c r="BZ50" s="145"/>
      <c r="CA50" s="145"/>
      <c r="CB50" s="145"/>
      <c r="CC50" s="142"/>
    </row>
    <row r="51" spans="1:81" ht="13.5" customHeight="1" thickTop="1">
      <c r="A51" s="80">
        <v>41</v>
      </c>
      <c r="C51" s="93" t="s">
        <v>341</v>
      </c>
      <c r="D51" s="94">
        <f>+SUM(D52:D61)</f>
        <v>458394682.53923059</v>
      </c>
      <c r="E51" s="165">
        <f t="shared" si="0"/>
        <v>13.509212526746833</v>
      </c>
      <c r="F51" s="94">
        <f>+SUM(F52:F61)</f>
        <v>469144855.09500009</v>
      </c>
      <c r="G51" s="169">
        <f t="shared" si="6"/>
        <v>13.826027645435873</v>
      </c>
      <c r="H51" s="232">
        <f t="shared" si="1"/>
        <v>-10750172.555769503</v>
      </c>
      <c r="I51" s="224">
        <f t="shared" si="2"/>
        <v>-2.2914399335345195</v>
      </c>
      <c r="J51" s="159">
        <f>+SUM(J52:J61)</f>
        <v>443452591.95000011</v>
      </c>
      <c r="K51" s="165">
        <f t="shared" si="3"/>
        <v>13.293341885248362</v>
      </c>
      <c r="L51" s="232">
        <f t="shared" si="7"/>
        <v>14942090.589230478</v>
      </c>
      <c r="M51" s="224">
        <f t="shared" si="8"/>
        <v>3.3694899658891302</v>
      </c>
      <c r="BX51" s="170"/>
      <c r="BY51" s="170"/>
      <c r="BZ51" s="145"/>
      <c r="CA51" s="145"/>
      <c r="CB51" s="145"/>
      <c r="CC51" s="142"/>
    </row>
    <row r="52" spans="1:81" ht="13.5" customHeight="1">
      <c r="B52" s="80">
        <v>411</v>
      </c>
      <c r="C52" s="93" t="s">
        <v>459</v>
      </c>
      <c r="D52" s="159">
        <v>286122364.13923061</v>
      </c>
      <c r="E52" s="165">
        <f t="shared" si="0"/>
        <v>8.4322265790709992</v>
      </c>
      <c r="F52" s="159">
        <v>289866520.29000002</v>
      </c>
      <c r="G52" s="169">
        <f t="shared" si="6"/>
        <v>8.5425694846515885</v>
      </c>
      <c r="H52" s="247">
        <f t="shared" si="1"/>
        <v>-3744156.1507694125</v>
      </c>
      <c r="I52" s="224">
        <f t="shared" si="2"/>
        <v>-1.2916828570003673</v>
      </c>
      <c r="J52" s="159">
        <v>277574467.28000003</v>
      </c>
      <c r="K52" s="165">
        <f t="shared" si="3"/>
        <v>8.3208269816241511</v>
      </c>
      <c r="L52" s="247">
        <f t="shared" si="7"/>
        <v>8547896.8592305779</v>
      </c>
      <c r="M52" s="224">
        <f t="shared" si="8"/>
        <v>3.0794968078270699</v>
      </c>
      <c r="BX52" s="170"/>
      <c r="BY52" s="170"/>
      <c r="BZ52" s="145"/>
      <c r="CA52" s="145"/>
      <c r="CB52" s="145"/>
      <c r="CC52" s="142"/>
    </row>
    <row r="53" spans="1:81" ht="13.5" customHeight="1">
      <c r="B53" s="80">
        <v>412</v>
      </c>
      <c r="C53" s="93" t="s">
        <v>76</v>
      </c>
      <c r="D53" s="159">
        <v>7243739.0599999996</v>
      </c>
      <c r="E53" s="165">
        <f t="shared" si="0"/>
        <v>0.21347806634179806</v>
      </c>
      <c r="F53" s="159">
        <v>8608622.9700000007</v>
      </c>
      <c r="G53" s="169">
        <f t="shared" si="6"/>
        <v>0.25370215164834869</v>
      </c>
      <c r="H53" s="247">
        <f t="shared" si="1"/>
        <v>-1364883.9100000011</v>
      </c>
      <c r="I53" s="224">
        <f t="shared" si="2"/>
        <v>-15.854845946401113</v>
      </c>
      <c r="J53" s="159">
        <v>8478194.5499999989</v>
      </c>
      <c r="K53" s="165">
        <f t="shared" si="3"/>
        <v>0.2541501408915135</v>
      </c>
      <c r="L53" s="247">
        <f t="shared" si="7"/>
        <v>-1234455.4899999993</v>
      </c>
      <c r="M53" s="224">
        <f t="shared" si="8"/>
        <v>-14.560358136627087</v>
      </c>
      <c r="BX53" s="170"/>
      <c r="BY53" s="170"/>
      <c r="BZ53" s="145"/>
      <c r="CA53" s="145"/>
      <c r="CB53" s="145"/>
      <c r="CC53" s="142"/>
    </row>
    <row r="54" spans="1:81" ht="13.5" customHeight="1">
      <c r="B54" s="80">
        <v>413</v>
      </c>
      <c r="C54" s="93" t="s">
        <v>460</v>
      </c>
      <c r="D54" s="159">
        <v>17225946.27</v>
      </c>
      <c r="E54" s="165">
        <f t="shared" si="0"/>
        <v>0.50766070811878594</v>
      </c>
      <c r="F54" s="159">
        <v>21971477.122500002</v>
      </c>
      <c r="G54" s="169">
        <f t="shared" si="6"/>
        <v>0.64751482789944037</v>
      </c>
      <c r="H54" s="247">
        <f t="shared" si="1"/>
        <v>-4745530.8525000028</v>
      </c>
      <c r="I54" s="224">
        <f t="shared" si="2"/>
        <v>-21.598597245154352</v>
      </c>
      <c r="J54" s="159">
        <v>17043000.25</v>
      </c>
      <c r="K54" s="165">
        <f t="shared" si="3"/>
        <v>0.51089661710482925</v>
      </c>
      <c r="L54" s="247">
        <f t="shared" si="7"/>
        <v>182946.01999999955</v>
      </c>
      <c r="M54" s="224">
        <f t="shared" si="8"/>
        <v>1.0734378766437942</v>
      </c>
      <c r="BX54" s="170"/>
      <c r="BY54" s="170"/>
      <c r="BZ54" s="145"/>
      <c r="CA54" s="145"/>
      <c r="CB54" s="145"/>
      <c r="CC54" s="142"/>
    </row>
    <row r="55" spans="1:81" ht="13.5" customHeight="1">
      <c r="B55" s="80">
        <v>414</v>
      </c>
      <c r="C55" s="93" t="s">
        <v>461</v>
      </c>
      <c r="D55" s="159">
        <v>31352942.640000001</v>
      </c>
      <c r="E55" s="165">
        <f t="shared" si="0"/>
        <v>0.92399319101266875</v>
      </c>
      <c r="F55" s="159">
        <v>30519634.349999998</v>
      </c>
      <c r="G55" s="169">
        <f t="shared" si="6"/>
        <v>0.89943501174333007</v>
      </c>
      <c r="H55" s="247">
        <f t="shared" si="1"/>
        <v>833308.29000000283</v>
      </c>
      <c r="I55" s="224">
        <f t="shared" si="2"/>
        <v>2.730400634698313</v>
      </c>
      <c r="J55" s="159">
        <v>29863849.419999998</v>
      </c>
      <c r="K55" s="165">
        <f t="shared" si="3"/>
        <v>0.89522615845798736</v>
      </c>
      <c r="L55" s="247">
        <f t="shared" si="7"/>
        <v>1489093.2200000025</v>
      </c>
      <c r="M55" s="224">
        <f t="shared" si="8"/>
        <v>4.9862735344585047</v>
      </c>
      <c r="BX55" s="170"/>
      <c r="BY55" s="170"/>
      <c r="BZ55" s="145"/>
      <c r="CA55" s="145"/>
      <c r="CB55" s="145"/>
      <c r="CC55" s="142"/>
    </row>
    <row r="56" spans="1:81" ht="13.5" customHeight="1">
      <c r="B56" s="80">
        <v>415</v>
      </c>
      <c r="C56" s="93" t="s">
        <v>462</v>
      </c>
      <c r="D56" s="159">
        <v>14120192.540000001</v>
      </c>
      <c r="E56" s="165">
        <f t="shared" si="0"/>
        <v>0.41613196925581725</v>
      </c>
      <c r="F56" s="159">
        <v>16241552.400000002</v>
      </c>
      <c r="G56" s="169">
        <f t="shared" si="6"/>
        <v>0.47864993092959235</v>
      </c>
      <c r="H56" s="247">
        <f t="shared" si="1"/>
        <v>-2121359.8600000013</v>
      </c>
      <c r="I56" s="224">
        <f t="shared" si="2"/>
        <v>-13.061312168656997</v>
      </c>
      <c r="J56" s="159">
        <v>12856399.289999999</v>
      </c>
      <c r="K56" s="165">
        <f t="shared" si="3"/>
        <v>0.38539522437722951</v>
      </c>
      <c r="L56" s="247">
        <f t="shared" si="7"/>
        <v>1263793.2500000019</v>
      </c>
      <c r="M56" s="224">
        <f t="shared" si="8"/>
        <v>9.8300715580840006</v>
      </c>
      <c r="BX56" s="170"/>
      <c r="BY56" s="170"/>
      <c r="BZ56" s="145"/>
      <c r="CA56" s="145"/>
      <c r="CB56" s="145"/>
      <c r="CC56" s="142"/>
    </row>
    <row r="57" spans="1:81" ht="13.5" customHeight="1">
      <c r="B57" s="80">
        <v>416</v>
      </c>
      <c r="C57" s="93" t="s">
        <v>193</v>
      </c>
      <c r="D57" s="159">
        <v>63488301.899999999</v>
      </c>
      <c r="E57" s="165">
        <f t="shared" si="0"/>
        <v>1.871044748116079</v>
      </c>
      <c r="F57" s="159">
        <v>54987092.340000004</v>
      </c>
      <c r="G57" s="169">
        <f t="shared" si="6"/>
        <v>1.6205081449332464</v>
      </c>
      <c r="H57" s="247">
        <f t="shared" si="1"/>
        <v>8501209.5599999949</v>
      </c>
      <c r="I57" s="224">
        <f t="shared" si="2"/>
        <v>15.460372967958975</v>
      </c>
      <c r="J57" s="159">
        <v>60764402.330000013</v>
      </c>
      <c r="K57" s="165">
        <f t="shared" si="3"/>
        <v>1.8215294921910132</v>
      </c>
      <c r="L57" s="247">
        <f t="shared" si="7"/>
        <v>2723899.5699999854</v>
      </c>
      <c r="M57" s="224">
        <f t="shared" si="8"/>
        <v>4.4827225572087457</v>
      </c>
      <c r="BX57" s="170"/>
      <c r="BY57" s="170"/>
      <c r="BZ57" s="145"/>
      <c r="CA57" s="145"/>
      <c r="CB57" s="145"/>
      <c r="CC57" s="142"/>
    </row>
    <row r="58" spans="1:81" ht="13.5" customHeight="1">
      <c r="B58" s="80">
        <v>417</v>
      </c>
      <c r="C58" s="93" t="s">
        <v>83</v>
      </c>
      <c r="D58" s="159">
        <v>6003495.9799999995</v>
      </c>
      <c r="E58" s="165">
        <f t="shared" si="0"/>
        <v>0.17692723364073773</v>
      </c>
      <c r="F58" s="159">
        <v>6129601.6049999995</v>
      </c>
      <c r="G58" s="169">
        <f t="shared" si="6"/>
        <v>0.18064365478137223</v>
      </c>
      <c r="H58" s="247">
        <f t="shared" si="1"/>
        <v>-126105.625</v>
      </c>
      <c r="I58" s="224">
        <f t="shared" si="2"/>
        <v>-2.0573217172407112</v>
      </c>
      <c r="J58" s="159">
        <v>5799419.5999999996</v>
      </c>
      <c r="K58" s="165">
        <f t="shared" si="3"/>
        <v>0.17384872448214875</v>
      </c>
      <c r="L58" s="247">
        <f t="shared" si="7"/>
        <v>204076.37999999989</v>
      </c>
      <c r="M58" s="224">
        <f t="shared" si="8"/>
        <v>3.5189104095864963</v>
      </c>
      <c r="BX58" s="170"/>
      <c r="BY58" s="170"/>
      <c r="BZ58" s="145"/>
      <c r="CA58" s="145"/>
      <c r="CB58" s="145"/>
      <c r="CC58" s="142"/>
    </row>
    <row r="59" spans="1:81" ht="13.5" customHeight="1">
      <c r="B59" s="80">
        <v>418</v>
      </c>
      <c r="C59" s="93" t="s">
        <v>85</v>
      </c>
      <c r="D59" s="159">
        <v>12079768.83</v>
      </c>
      <c r="E59" s="165">
        <f t="shared" si="0"/>
        <v>0.35599925264071075</v>
      </c>
      <c r="F59" s="159">
        <v>14155950</v>
      </c>
      <c r="G59" s="169">
        <f t="shared" si="6"/>
        <v>0.41718576666001222</v>
      </c>
      <c r="H59" s="247">
        <f t="shared" si="1"/>
        <v>-2076181.17</v>
      </c>
      <c r="I59" s="224">
        <f t="shared" si="2"/>
        <v>-14.666491263391009</v>
      </c>
      <c r="J59" s="159">
        <v>10106105.279999999</v>
      </c>
      <c r="K59" s="165">
        <f t="shared" si="3"/>
        <v>0.30294988698701997</v>
      </c>
      <c r="L59" s="247">
        <f t="shared" si="7"/>
        <v>1973663.5500000007</v>
      </c>
      <c r="M59" s="224">
        <f t="shared" si="8"/>
        <v>19.529418062820739</v>
      </c>
      <c r="BX59" s="170"/>
      <c r="BY59" s="170"/>
      <c r="BZ59" s="145"/>
      <c r="CA59" s="145"/>
      <c r="CB59" s="145"/>
      <c r="CC59" s="142"/>
    </row>
    <row r="60" spans="1:81" ht="13.5" customHeight="1">
      <c r="B60" s="80">
        <v>419</v>
      </c>
      <c r="C60" s="93" t="s">
        <v>342</v>
      </c>
      <c r="D60" s="159">
        <v>16037132.720000003</v>
      </c>
      <c r="E60" s="165">
        <f t="shared" si="0"/>
        <v>0.47262553970744231</v>
      </c>
      <c r="F60" s="159">
        <v>18787181.5275</v>
      </c>
      <c r="G60" s="169">
        <f t="shared" si="6"/>
        <v>0.55367140523461211</v>
      </c>
      <c r="H60" s="247">
        <f t="shared" si="1"/>
        <v>-2750048.8074999973</v>
      </c>
      <c r="I60" s="224">
        <f t="shared" si="2"/>
        <v>-14.637899801386254</v>
      </c>
      <c r="J60" s="159">
        <v>14614516.460000001</v>
      </c>
      <c r="K60" s="165">
        <f>+J59/$J$11*100</f>
        <v>0.30294988698701997</v>
      </c>
      <c r="L60" s="247">
        <f t="shared" si="7"/>
        <v>1422616.2600000016</v>
      </c>
      <c r="M60" s="224">
        <f t="shared" si="8"/>
        <v>9.7342684165686109</v>
      </c>
      <c r="BX60" s="170"/>
      <c r="BY60" s="170"/>
      <c r="BZ60" s="145"/>
      <c r="CA60" s="145"/>
      <c r="CB60" s="145"/>
      <c r="CC60" s="142"/>
    </row>
    <row r="61" spans="1:81" ht="13.5" customHeight="1">
      <c r="B61" s="80">
        <v>441</v>
      </c>
      <c r="C61" s="93" t="s">
        <v>463</v>
      </c>
      <c r="D61" s="159">
        <v>4720798.459999999</v>
      </c>
      <c r="E61" s="190">
        <f t="shared" si="0"/>
        <v>0.13912523884179476</v>
      </c>
      <c r="F61" s="159">
        <v>7877222.4900000002</v>
      </c>
      <c r="G61" s="169">
        <f t="shared" si="6"/>
        <v>0.23214726695432952</v>
      </c>
      <c r="H61" s="247">
        <f t="shared" si="1"/>
        <v>-3156424.0300000012</v>
      </c>
      <c r="I61" s="226">
        <f t="shared" si="2"/>
        <v>-40.070266315405298</v>
      </c>
      <c r="J61" s="159">
        <v>6352237.4899999993</v>
      </c>
      <c r="K61" s="190">
        <f>+J60/$J$11*100</f>
        <v>0.43809815821817205</v>
      </c>
      <c r="L61" s="247">
        <f t="shared" si="7"/>
        <v>-1631439.0300000003</v>
      </c>
      <c r="M61" s="226">
        <f t="shared" si="8"/>
        <v>-25.682903584261311</v>
      </c>
      <c r="BX61" s="170"/>
      <c r="BY61" s="170"/>
      <c r="BZ61" s="145"/>
      <c r="CA61" s="145"/>
      <c r="CB61" s="145"/>
      <c r="CC61" s="142"/>
    </row>
    <row r="62" spans="1:81" ht="13.5" customHeight="1">
      <c r="A62" s="80">
        <v>42</v>
      </c>
      <c r="B62" s="80" t="s">
        <v>428</v>
      </c>
      <c r="C62" s="93" t="s">
        <v>464</v>
      </c>
      <c r="D62" s="159">
        <f>+SUM(D63:D67)</f>
        <v>367964729.97000003</v>
      </c>
      <c r="E62" s="165">
        <f t="shared" si="0"/>
        <v>10.844178453327318</v>
      </c>
      <c r="F62" s="159">
        <f>+SUM(F63:F67)</f>
        <v>373667549.22749996</v>
      </c>
      <c r="G62" s="169">
        <f t="shared" si="6"/>
        <v>11.012244533248735</v>
      </c>
      <c r="H62" s="232">
        <f t="shared" si="1"/>
        <v>-5702819.2574999332</v>
      </c>
      <c r="I62" s="224">
        <f t="shared" si="2"/>
        <v>-1.5261746087637675</v>
      </c>
      <c r="J62" s="159">
        <f>+SUM(J63:J67)</f>
        <v>356719291.72000003</v>
      </c>
      <c r="K62" s="165">
        <f t="shared" si="3"/>
        <v>10.693344876045446</v>
      </c>
      <c r="L62" s="232">
        <f t="shared" si="7"/>
        <v>11245438.25</v>
      </c>
      <c r="M62" s="224">
        <f t="shared" si="8"/>
        <v>3.1524614762991092</v>
      </c>
      <c r="BX62" s="170"/>
      <c r="BY62" s="170"/>
      <c r="BZ62" s="145"/>
      <c r="CA62" s="145"/>
      <c r="CB62" s="145"/>
      <c r="CC62" s="142"/>
    </row>
    <row r="63" spans="1:81" ht="13.5" customHeight="1">
      <c r="B63" s="80">
        <v>421</v>
      </c>
      <c r="C63" s="97" t="s">
        <v>467</v>
      </c>
      <c r="D63" s="161">
        <v>46046808.619999997</v>
      </c>
      <c r="E63" s="166">
        <f t="shared" si="0"/>
        <v>1.3570317185622693</v>
      </c>
      <c r="F63" s="161">
        <v>43983750</v>
      </c>
      <c r="G63" s="263">
        <f t="shared" si="6"/>
        <v>1.2962319352874454</v>
      </c>
      <c r="H63" s="249">
        <f t="shared" si="1"/>
        <v>2063058.6199999973</v>
      </c>
      <c r="I63" s="225">
        <f t="shared" si="2"/>
        <v>4.6905018785346755</v>
      </c>
      <c r="J63" s="161">
        <v>48299455.719999999</v>
      </c>
      <c r="K63" s="166">
        <f t="shared" si="3"/>
        <v>1.4478688126142871</v>
      </c>
      <c r="L63" s="249">
        <f t="shared" si="7"/>
        <v>-2252647.1000000015</v>
      </c>
      <c r="M63" s="225">
        <f t="shared" si="8"/>
        <v>-4.6639181879377105</v>
      </c>
      <c r="BX63" s="170"/>
      <c r="BY63" s="170"/>
      <c r="BZ63" s="145"/>
      <c r="CA63" s="145"/>
      <c r="CB63" s="145"/>
      <c r="CC63" s="142"/>
    </row>
    <row r="64" spans="1:81" ht="13.5" customHeight="1">
      <c r="B64" s="80">
        <v>422</v>
      </c>
      <c r="C64" s="97" t="s">
        <v>466</v>
      </c>
      <c r="D64" s="161">
        <v>17052455.700000003</v>
      </c>
      <c r="E64" s="166">
        <f t="shared" si="0"/>
        <v>0.50254781944273585</v>
      </c>
      <c r="F64" s="161">
        <v>15568593</v>
      </c>
      <c r="G64" s="263">
        <f t="shared" si="6"/>
        <v>0.45881734581732059</v>
      </c>
      <c r="H64" s="249">
        <f t="shared" si="1"/>
        <v>1483862.700000003</v>
      </c>
      <c r="I64" s="225">
        <f t="shared" si="2"/>
        <v>9.5311291135942895</v>
      </c>
      <c r="J64" s="161">
        <v>9073203.1300000008</v>
      </c>
      <c r="K64" s="166">
        <f t="shared" si="3"/>
        <v>0.27198666416859019</v>
      </c>
      <c r="L64" s="249">
        <f t="shared" si="7"/>
        <v>7979252.5700000022</v>
      </c>
      <c r="M64" s="225">
        <f t="shared" si="8"/>
        <v>87.943061074176569</v>
      </c>
      <c r="BX64" s="170"/>
      <c r="BY64" s="170"/>
      <c r="BZ64" s="145"/>
      <c r="CA64" s="145"/>
      <c r="CB64" s="145"/>
      <c r="CC64" s="142"/>
    </row>
    <row r="65" spans="1:81" ht="13.5" customHeight="1">
      <c r="B65" s="80">
        <v>423</v>
      </c>
      <c r="C65" s="97" t="s">
        <v>465</v>
      </c>
      <c r="D65" s="161">
        <v>288390330.13000005</v>
      </c>
      <c r="E65" s="166">
        <f t="shared" si="0"/>
        <v>8.4990651261567116</v>
      </c>
      <c r="F65" s="161">
        <v>297990206.22749996</v>
      </c>
      <c r="G65" s="263">
        <f t="shared" si="6"/>
        <v>8.7819802021195841</v>
      </c>
      <c r="H65" s="249">
        <f t="shared" si="1"/>
        <v>-9599876.097499907</v>
      </c>
      <c r="I65" s="225">
        <f t="shared" si="2"/>
        <v>-3.2215408080126338</v>
      </c>
      <c r="J65" s="161">
        <v>283420638.44</v>
      </c>
      <c r="K65" s="166">
        <f t="shared" si="3"/>
        <v>8.4960771737761931</v>
      </c>
      <c r="L65" s="249">
        <f t="shared" si="7"/>
        <v>4969691.6900000572</v>
      </c>
      <c r="M65" s="225">
        <f t="shared" si="8"/>
        <v>1.753468525564756</v>
      </c>
      <c r="BX65" s="170"/>
      <c r="BY65" s="170"/>
      <c r="BZ65" s="145"/>
      <c r="CA65" s="145"/>
      <c r="CB65" s="145"/>
      <c r="CC65" s="142"/>
    </row>
    <row r="66" spans="1:81" ht="13.5" customHeight="1">
      <c r="B66" s="80">
        <v>424</v>
      </c>
      <c r="C66" s="97" t="s">
        <v>468</v>
      </c>
      <c r="D66" s="161">
        <v>10816800</v>
      </c>
      <c r="E66" s="166">
        <f t="shared" si="0"/>
        <v>0.31877867616147415</v>
      </c>
      <c r="F66" s="161">
        <v>10875000</v>
      </c>
      <c r="G66" s="263">
        <f t="shared" si="6"/>
        <v>0.32049387094667847</v>
      </c>
      <c r="H66" s="249">
        <f t="shared" si="1"/>
        <v>-58200</v>
      </c>
      <c r="I66" s="225">
        <f t="shared" si="2"/>
        <v>-0.53517241379310576</v>
      </c>
      <c r="J66" s="161">
        <v>10432934.17</v>
      </c>
      <c r="K66" s="166">
        <f t="shared" si="3"/>
        <v>0.31274720974849363</v>
      </c>
      <c r="L66" s="249">
        <f t="shared" si="7"/>
        <v>383865.83000000007</v>
      </c>
      <c r="M66" s="225">
        <f t="shared" si="8"/>
        <v>3.6793659745674461</v>
      </c>
      <c r="BX66" s="170"/>
      <c r="BY66" s="170"/>
      <c r="BZ66" s="145"/>
      <c r="CA66" s="145"/>
      <c r="CB66" s="145"/>
      <c r="CC66" s="142"/>
    </row>
    <row r="67" spans="1:81" ht="13.5" customHeight="1">
      <c r="B67" s="80">
        <v>425</v>
      </c>
      <c r="C67" s="97" t="s">
        <v>469</v>
      </c>
      <c r="D67" s="161">
        <v>5658335.5199999996</v>
      </c>
      <c r="E67" s="166">
        <f t="shared" si="0"/>
        <v>0.16675511300412751</v>
      </c>
      <c r="F67" s="161">
        <v>5250000</v>
      </c>
      <c r="G67" s="263">
        <f t="shared" si="6"/>
        <v>0.15472117907770686</v>
      </c>
      <c r="H67" s="249">
        <f t="shared" si="1"/>
        <v>408335.51999999955</v>
      </c>
      <c r="I67" s="225">
        <f t="shared" si="2"/>
        <v>7.7778194285714335</v>
      </c>
      <c r="J67" s="161">
        <v>5493060.2600000007</v>
      </c>
      <c r="K67" s="166">
        <f t="shared" si="3"/>
        <v>0.16466501573788184</v>
      </c>
      <c r="L67" s="249">
        <f t="shared" si="7"/>
        <v>165275.25999999885</v>
      </c>
      <c r="M67" s="225">
        <f t="shared" si="8"/>
        <v>3.0088011450287553</v>
      </c>
      <c r="BX67" s="170"/>
      <c r="BY67" s="170"/>
      <c r="BZ67" s="145"/>
      <c r="CA67" s="145"/>
      <c r="CB67" s="145"/>
      <c r="CC67" s="142"/>
    </row>
    <row r="68" spans="1:81" ht="13.5" customHeight="1">
      <c r="A68" s="80">
        <v>43</v>
      </c>
      <c r="C68" s="93" t="s">
        <v>486</v>
      </c>
      <c r="D68" s="159">
        <f>+SUM(D69:D70)</f>
        <v>69115089.489999995</v>
      </c>
      <c r="E68" s="165">
        <f t="shared" si="0"/>
        <v>2.0368701215150522</v>
      </c>
      <c r="F68" s="159">
        <f>+SUM(F69:F70)</f>
        <v>75780035.714999989</v>
      </c>
      <c r="G68" s="169">
        <f t="shared" si="6"/>
        <v>2.2332907574048635</v>
      </c>
      <c r="H68" s="232">
        <f t="shared" si="1"/>
        <v>-6664946.224999994</v>
      </c>
      <c r="I68" s="224">
        <f t="shared" si="2"/>
        <v>-8.7951215146771489</v>
      </c>
      <c r="J68" s="159">
        <f>+SUM(J69:J70)</f>
        <v>64403546.030000001</v>
      </c>
      <c r="K68" s="165">
        <f t="shared" si="3"/>
        <v>1.9306198036511888</v>
      </c>
      <c r="L68" s="232">
        <f t="shared" si="7"/>
        <v>4711543.4599999934</v>
      </c>
      <c r="M68" s="224">
        <f t="shared" si="8"/>
        <v>7.3156584542802818</v>
      </c>
      <c r="BX68" s="170"/>
      <c r="BY68" s="170"/>
      <c r="BZ68" s="145"/>
      <c r="CA68" s="145"/>
      <c r="CB68" s="145"/>
      <c r="CC68" s="142"/>
    </row>
    <row r="69" spans="1:81" ht="13.5" customHeight="1">
      <c r="A69" s="80" t="s">
        <v>428</v>
      </c>
      <c r="B69" s="80">
        <v>431</v>
      </c>
      <c r="C69" s="97" t="s">
        <v>486</v>
      </c>
      <c r="D69" s="161">
        <v>68708509.949999988</v>
      </c>
      <c r="E69" s="166">
        <f t="shared" si="0"/>
        <v>2.024887937549781</v>
      </c>
      <c r="F69" s="161">
        <v>75780035.714999989</v>
      </c>
      <c r="G69" s="263">
        <f t="shared" si="6"/>
        <v>2.2332907574048635</v>
      </c>
      <c r="H69" s="249">
        <f t="shared" si="1"/>
        <v>-7071525.7650000006</v>
      </c>
      <c r="I69" s="225">
        <f t="shared" si="2"/>
        <v>-9.3316474428637122</v>
      </c>
      <c r="J69" s="161">
        <v>64372746.030000001</v>
      </c>
      <c r="K69" s="166">
        <f t="shared" si="3"/>
        <v>1.9296965145837706</v>
      </c>
      <c r="L69" s="249">
        <f t="shared" si="7"/>
        <v>4335763.9199999869</v>
      </c>
      <c r="M69" s="225">
        <f t="shared" si="8"/>
        <v>6.7354030818871138</v>
      </c>
      <c r="BX69" s="170"/>
      <c r="BY69" s="170"/>
      <c r="BZ69" s="145"/>
      <c r="CA69" s="145"/>
      <c r="CB69" s="145"/>
      <c r="CC69" s="142"/>
    </row>
    <row r="70" spans="1:81" ht="13.5" customHeight="1" thickBot="1">
      <c r="A70" s="80" t="s">
        <v>428</v>
      </c>
      <c r="B70" s="80">
        <v>432</v>
      </c>
      <c r="C70" s="97" t="s">
        <v>470</v>
      </c>
      <c r="D70" s="161">
        <v>406579.54000000004</v>
      </c>
      <c r="E70" s="166">
        <f t="shared" si="0"/>
        <v>1.1982183965270796E-2</v>
      </c>
      <c r="F70" s="161">
        <v>0</v>
      </c>
      <c r="G70" s="263">
        <f t="shared" si="6"/>
        <v>0</v>
      </c>
      <c r="H70" s="249">
        <f t="shared" si="1"/>
        <v>406579.54000000004</v>
      </c>
      <c r="I70" s="266" t="str">
        <f t="shared" si="2"/>
        <v>...</v>
      </c>
      <c r="J70" s="161">
        <v>30800</v>
      </c>
      <c r="K70" s="166">
        <f t="shared" si="3"/>
        <v>9.2328906741808803E-4</v>
      </c>
      <c r="L70" s="249">
        <f t="shared" si="7"/>
        <v>375779.54000000004</v>
      </c>
      <c r="M70" s="225">
        <f t="shared" si="8"/>
        <v>1220.0634415584418</v>
      </c>
      <c r="BX70" s="170"/>
      <c r="BY70" s="170"/>
      <c r="BZ70" s="145"/>
      <c r="CA70" s="145"/>
      <c r="CB70" s="145"/>
      <c r="CC70" s="142"/>
    </row>
    <row r="71" spans="1:81" ht="13.5" customHeight="1" thickTop="1" thickBot="1">
      <c r="B71" s="80">
        <v>44</v>
      </c>
      <c r="C71" s="90" t="s">
        <v>471</v>
      </c>
      <c r="D71" s="171">
        <v>41807923.280000001</v>
      </c>
      <c r="E71" s="219">
        <f t="shared" si="0"/>
        <v>1.2321087970803637</v>
      </c>
      <c r="F71" s="171">
        <v>76365375</v>
      </c>
      <c r="G71" s="262">
        <f t="shared" si="6"/>
        <v>2.2505411163259499</v>
      </c>
      <c r="H71" s="171">
        <f t="shared" si="1"/>
        <v>-34557451.719999999</v>
      </c>
      <c r="I71" s="219">
        <f t="shared" si="2"/>
        <v>-45.252775515081275</v>
      </c>
      <c r="J71" s="171">
        <v>32391327.240000002</v>
      </c>
      <c r="K71" s="219">
        <f t="shared" si="3"/>
        <v>0.97099215324200372</v>
      </c>
      <c r="L71" s="171">
        <f t="shared" si="7"/>
        <v>9416596.0399999991</v>
      </c>
      <c r="M71" s="219">
        <f t="shared" si="8"/>
        <v>29.071349778997188</v>
      </c>
      <c r="BX71" s="170"/>
      <c r="BY71" s="170"/>
      <c r="BZ71" s="145"/>
      <c r="CA71" s="145"/>
      <c r="CB71" s="145"/>
      <c r="CC71" s="142"/>
    </row>
    <row r="72" spans="1:81" ht="13.5" customHeight="1" thickTop="1">
      <c r="B72" s="80">
        <v>451</v>
      </c>
      <c r="C72" s="93" t="s">
        <v>472</v>
      </c>
      <c r="D72" s="159">
        <v>1775010.46</v>
      </c>
      <c r="E72" s="165">
        <f t="shared" si="0"/>
        <v>5.2310802142183394E-2</v>
      </c>
      <c r="F72" s="159">
        <v>1605000</v>
      </c>
      <c r="G72" s="169">
        <f t="shared" si="6"/>
        <v>4.7300474746613239E-2</v>
      </c>
      <c r="H72" s="247">
        <f t="shared" si="1"/>
        <v>170010.45999999996</v>
      </c>
      <c r="I72" s="224">
        <f t="shared" si="2"/>
        <v>10.592552024922114</v>
      </c>
      <c r="J72" s="159">
        <v>1320472.3899999999</v>
      </c>
      <c r="K72" s="165">
        <f t="shared" si="3"/>
        <v>3.9583692256962136E-2</v>
      </c>
      <c r="L72" s="159">
        <f t="shared" si="7"/>
        <v>454538.07000000007</v>
      </c>
      <c r="M72" s="224">
        <f t="shared" si="8"/>
        <v>34.422383492622686</v>
      </c>
      <c r="BX72" s="170"/>
      <c r="BY72" s="170"/>
      <c r="BZ72" s="145"/>
      <c r="CA72" s="145"/>
      <c r="CB72" s="145"/>
      <c r="CC72" s="142"/>
    </row>
    <row r="73" spans="1:81" ht="13.5" customHeight="1" thickBot="1">
      <c r="B73" s="80">
        <v>47</v>
      </c>
      <c r="C73" s="93" t="s">
        <v>473</v>
      </c>
      <c r="D73" s="159">
        <v>8903060.7899999991</v>
      </c>
      <c r="E73" s="165">
        <f t="shared" si="0"/>
        <v>0.26237944053891427</v>
      </c>
      <c r="F73" s="159">
        <v>6640987.3274999997</v>
      </c>
      <c r="G73" s="169">
        <f t="shared" si="6"/>
        <v>0.19571455039064939</v>
      </c>
      <c r="H73" s="247">
        <f t="shared" si="1"/>
        <v>2262073.4624999994</v>
      </c>
      <c r="I73" s="224">
        <f t="shared" si="2"/>
        <v>34.062306565965969</v>
      </c>
      <c r="J73" s="159">
        <v>11675364.719999999</v>
      </c>
      <c r="K73" s="165">
        <f t="shared" si="3"/>
        <v>0.34999144818489758</v>
      </c>
      <c r="L73" s="159">
        <f t="shared" si="7"/>
        <v>-2772303.9299999997</v>
      </c>
      <c r="M73" s="224">
        <f t="shared" si="8"/>
        <v>-23.744902163536011</v>
      </c>
      <c r="BX73" s="170"/>
      <c r="BY73" s="170"/>
      <c r="BZ73" s="145"/>
      <c r="CA73" s="145"/>
      <c r="CB73" s="145"/>
      <c r="CC73" s="142"/>
    </row>
    <row r="74" spans="1:81" ht="13.5" customHeight="1" thickTop="1" thickBot="1">
      <c r="B74" s="80">
        <v>462</v>
      </c>
      <c r="C74" s="152" t="s">
        <v>474</v>
      </c>
      <c r="D74" s="172">
        <v>15258930.949999999</v>
      </c>
      <c r="E74" s="168">
        <f t="shared" si="0"/>
        <v>0.4496913881998692</v>
      </c>
      <c r="F74" s="172">
        <v>0</v>
      </c>
      <c r="G74" s="264">
        <f t="shared" si="6"/>
        <v>0</v>
      </c>
      <c r="H74" s="252">
        <f t="shared" si="1"/>
        <v>15258930.949999999</v>
      </c>
      <c r="I74" s="267" t="str">
        <f t="shared" si="2"/>
        <v>...</v>
      </c>
      <c r="J74" s="172">
        <v>103102294.38</v>
      </c>
      <c r="K74" s="168">
        <f t="shared" si="3"/>
        <v>3.0906890008693306</v>
      </c>
      <c r="L74" s="172">
        <f t="shared" si="7"/>
        <v>-87843363.429999992</v>
      </c>
      <c r="M74" s="227">
        <f t="shared" si="8"/>
        <v>-85.200202341025729</v>
      </c>
      <c r="BX74" s="170"/>
      <c r="BY74" s="170"/>
      <c r="BZ74" s="145"/>
      <c r="CA74" s="145"/>
      <c r="CB74" s="145"/>
      <c r="CC74" s="142"/>
    </row>
    <row r="75" spans="1:81" ht="13.5" customHeight="1" thickTop="1" thickBot="1">
      <c r="B75" s="80">
        <v>990</v>
      </c>
      <c r="C75" s="215" t="s">
        <v>475</v>
      </c>
      <c r="D75" s="159">
        <v>0</v>
      </c>
      <c r="E75" s="165">
        <f t="shared" si="0"/>
        <v>0</v>
      </c>
      <c r="F75" s="159">
        <v>0</v>
      </c>
      <c r="G75" s="169">
        <f t="shared" si="6"/>
        <v>0</v>
      </c>
      <c r="H75" s="247">
        <f t="shared" si="1"/>
        <v>0</v>
      </c>
      <c r="I75" s="268" t="str">
        <f t="shared" si="2"/>
        <v>...</v>
      </c>
      <c r="J75" s="159">
        <v>0</v>
      </c>
      <c r="K75" s="165">
        <f t="shared" si="3"/>
        <v>0</v>
      </c>
      <c r="L75" s="159">
        <f t="shared" si="7"/>
        <v>0</v>
      </c>
      <c r="M75" s="224" t="e">
        <f t="shared" si="8"/>
        <v>#DIV/0!</v>
      </c>
      <c r="BX75" s="170"/>
      <c r="BY75" s="170"/>
      <c r="BZ75" s="145"/>
      <c r="CA75" s="145"/>
      <c r="CB75" s="145"/>
      <c r="CC75" s="142"/>
    </row>
    <row r="76" spans="1:81" ht="13.5" customHeight="1" thickTop="1" thickBot="1">
      <c r="C76" s="90" t="s">
        <v>476</v>
      </c>
      <c r="D76" s="91">
        <f>+D16-D49</f>
        <v>-23313153.399230361</v>
      </c>
      <c r="E76" s="219">
        <f t="shared" si="0"/>
        <v>-0.68705496799016585</v>
      </c>
      <c r="F76" s="91">
        <f>+F16-F49</f>
        <v>-87122168.840969563</v>
      </c>
      <c r="G76" s="262">
        <f t="shared" si="6"/>
        <v>-2.5675513689298786</v>
      </c>
      <c r="H76" s="91">
        <f t="shared" si="1"/>
        <v>63809015.441739202</v>
      </c>
      <c r="I76" s="219">
        <f t="shared" si="2"/>
        <v>-73.240848214206466</v>
      </c>
      <c r="J76" s="91">
        <f>+J16-J49</f>
        <v>-129934884.22000015</v>
      </c>
      <c r="K76" s="219">
        <f t="shared" si="3"/>
        <v>-3.8950473401480905</v>
      </c>
      <c r="L76" s="91">
        <f t="shared" si="7"/>
        <v>106621730.82076979</v>
      </c>
      <c r="M76" s="219">
        <f t="shared" si="8"/>
        <v>-82.057818006935278</v>
      </c>
      <c r="BX76" s="170"/>
      <c r="BY76" s="170"/>
      <c r="BZ76" s="145"/>
      <c r="CA76" s="145"/>
      <c r="CB76" s="145"/>
      <c r="CC76" s="142"/>
    </row>
    <row r="77" spans="1:81" ht="13.5" customHeight="1" thickTop="1" thickBot="1">
      <c r="C77" s="90" t="s">
        <v>178</v>
      </c>
      <c r="D77" s="91">
        <f>+D76+D57</f>
        <v>40175148.500769638</v>
      </c>
      <c r="E77" s="219">
        <f t="shared" si="0"/>
        <v>1.1839897801259132</v>
      </c>
      <c r="F77" s="91">
        <f>+F76+F57</f>
        <v>-32135076.500969559</v>
      </c>
      <c r="G77" s="262">
        <f t="shared" si="6"/>
        <v>-0.94704322399663232</v>
      </c>
      <c r="H77" s="91">
        <f t="shared" si="1"/>
        <v>72310225.001739204</v>
      </c>
      <c r="I77" s="219">
        <f t="shared" si="2"/>
        <v>-225.01961369084495</v>
      </c>
      <c r="J77" s="91">
        <f>+J76+J56</f>
        <v>-117078484.93000016</v>
      </c>
      <c r="K77" s="219">
        <f t="shared" si="3"/>
        <v>-3.5096521157708609</v>
      </c>
      <c r="L77" s="91">
        <f t="shared" si="7"/>
        <v>157253633.4307698</v>
      </c>
      <c r="M77" s="219">
        <f t="shared" si="8"/>
        <v>-134.31471506040575</v>
      </c>
      <c r="BX77" s="170"/>
      <c r="BY77" s="170"/>
      <c r="BZ77" s="145"/>
      <c r="CA77" s="145"/>
      <c r="CB77" s="145"/>
      <c r="CC77" s="142"/>
    </row>
    <row r="78" spans="1:81" ht="13.5" customHeight="1" thickTop="1" thickBot="1">
      <c r="C78" s="90" t="s">
        <v>477</v>
      </c>
      <c r="D78" s="91">
        <f>+SUM(D79:D81)</f>
        <v>200582922.88</v>
      </c>
      <c r="E78" s="219">
        <f t="shared" si="0"/>
        <v>5.9113193011135889</v>
      </c>
      <c r="F78" s="91">
        <f>+SUM(F79:F81)</f>
        <v>128570179.11750001</v>
      </c>
      <c r="G78" s="262">
        <f t="shared" si="6"/>
        <v>3.7890532775793453</v>
      </c>
      <c r="H78" s="91">
        <f t="shared" si="1"/>
        <v>72012743.762499988</v>
      </c>
      <c r="I78" s="219">
        <f t="shared" si="2"/>
        <v>56.010456123490115</v>
      </c>
      <c r="J78" s="91">
        <f>+SUM(J79:J81)</f>
        <v>138734611.16</v>
      </c>
      <c r="K78" s="219">
        <f t="shared" si="3"/>
        <v>4.1588360310560866</v>
      </c>
      <c r="L78" s="91">
        <f t="shared" si="7"/>
        <v>61848311.719999999</v>
      </c>
      <c r="M78" s="219">
        <f t="shared" si="8"/>
        <v>44.580304224640457</v>
      </c>
      <c r="BX78" s="170"/>
      <c r="BY78" s="170"/>
      <c r="BZ78" s="145"/>
      <c r="CA78" s="145"/>
      <c r="CB78" s="145"/>
      <c r="CC78" s="142"/>
    </row>
    <row r="79" spans="1:81" ht="13.5" customHeight="1" thickTop="1">
      <c r="B79" s="80">
        <v>4611</v>
      </c>
      <c r="C79" s="97" t="s">
        <v>478</v>
      </c>
      <c r="D79" s="161">
        <v>84614722.280000001</v>
      </c>
      <c r="E79" s="166">
        <f t="shared" si="0"/>
        <v>2.4936551616179639</v>
      </c>
      <c r="F79" s="161">
        <v>22506258.952500001</v>
      </c>
      <c r="G79" s="263">
        <f t="shared" si="6"/>
        <v>0.66327522319218957</v>
      </c>
      <c r="H79" s="249">
        <f t="shared" si="1"/>
        <v>62108463.327500001</v>
      </c>
      <c r="I79" s="225">
        <f t="shared" si="2"/>
        <v>275.96084919568995</v>
      </c>
      <c r="J79" s="161">
        <v>46190167.449999996</v>
      </c>
      <c r="K79" s="166">
        <f t="shared" si="3"/>
        <v>1.38463885158428</v>
      </c>
      <c r="L79" s="249">
        <f t="shared" si="7"/>
        <v>38424554.830000006</v>
      </c>
      <c r="M79" s="225">
        <f t="shared" si="8"/>
        <v>83.187736592628454</v>
      </c>
      <c r="BX79" s="170"/>
      <c r="BY79" s="170"/>
      <c r="BZ79" s="145"/>
      <c r="CA79" s="145"/>
      <c r="CB79" s="145"/>
      <c r="CC79" s="142"/>
    </row>
    <row r="80" spans="1:81" ht="13.5" customHeight="1">
      <c r="B80" s="80">
        <v>4612</v>
      </c>
      <c r="C80" s="97" t="s">
        <v>479</v>
      </c>
      <c r="D80" s="161">
        <v>77049518.530000016</v>
      </c>
      <c r="E80" s="166">
        <f t="shared" si="0"/>
        <v>2.2707033055868999</v>
      </c>
      <c r="F80" s="161">
        <v>81060300.1875</v>
      </c>
      <c r="G80" s="263">
        <f t="shared" si="6"/>
        <v>2.3889038516957832</v>
      </c>
      <c r="H80" s="249">
        <f t="shared" si="1"/>
        <v>-4010781.6574999839</v>
      </c>
      <c r="I80" s="225">
        <f t="shared" si="2"/>
        <v>-4.9478988459488562</v>
      </c>
      <c r="J80" s="161">
        <v>45011392.269999996</v>
      </c>
      <c r="K80" s="166">
        <f t="shared" si="3"/>
        <v>1.3493028049401958</v>
      </c>
      <c r="L80" s="249">
        <f t="shared" si="7"/>
        <v>32038126.26000002</v>
      </c>
      <c r="M80" s="225">
        <f t="shared" si="8"/>
        <v>71.177816646550099</v>
      </c>
      <c r="BX80" s="170"/>
      <c r="BY80" s="170"/>
      <c r="BZ80" s="145"/>
      <c r="CA80" s="145"/>
      <c r="CB80" s="145"/>
      <c r="CC80" s="142"/>
    </row>
    <row r="81" spans="2:81" ht="13.5" customHeight="1" thickBot="1">
      <c r="B81" s="80">
        <v>4630</v>
      </c>
      <c r="C81" s="97" t="s">
        <v>480</v>
      </c>
      <c r="D81" s="161">
        <v>38918682.07</v>
      </c>
      <c r="E81" s="166">
        <f t="shared" ref="E81:E87" si="9">+D81/$D$11*100</f>
        <v>1.1469608339087254</v>
      </c>
      <c r="F81" s="161">
        <v>25003619.977499999</v>
      </c>
      <c r="G81" s="263">
        <f t="shared" si="6"/>
        <v>0.73687420269137249</v>
      </c>
      <c r="H81" s="249">
        <f t="shared" ref="H81:H87" si="10">+D81-F81</f>
        <v>13915062.092500001</v>
      </c>
      <c r="I81" s="225">
        <f t="shared" ref="I81:I87" si="11">+IF(ISNUMBER(D81/F81*100-100),D81/F81*100-100,"...")</f>
        <v>55.652189982977461</v>
      </c>
      <c r="J81" s="161">
        <v>47533051.439999998</v>
      </c>
      <c r="K81" s="166">
        <f t="shared" ref="K81:K87" si="12">+J81/$J$11*100</f>
        <v>1.4248943745316105</v>
      </c>
      <c r="L81" s="249">
        <f t="shared" si="7"/>
        <v>-8614369.3699999973</v>
      </c>
      <c r="M81" s="225">
        <f t="shared" si="8"/>
        <v>-18.122904187781302</v>
      </c>
      <c r="BX81" s="170"/>
      <c r="BY81" s="170"/>
      <c r="BZ81" s="145"/>
      <c r="CA81" s="145"/>
      <c r="CB81" s="145"/>
      <c r="CC81" s="142"/>
    </row>
    <row r="82" spans="2:81" ht="13.5" customHeight="1" thickTop="1" thickBot="1">
      <c r="C82" s="90" t="s">
        <v>142</v>
      </c>
      <c r="D82" s="91">
        <f>+D76-D78</f>
        <v>-223896076.27923036</v>
      </c>
      <c r="E82" s="219">
        <f t="shared" si="9"/>
        <v>-6.5983742691037541</v>
      </c>
      <c r="F82" s="171">
        <f>+F76-F78</f>
        <v>-215692347.95846957</v>
      </c>
      <c r="G82" s="262">
        <f t="shared" si="6"/>
        <v>-6.3566046465092247</v>
      </c>
      <c r="H82" s="91">
        <f t="shared" si="10"/>
        <v>-8203728.3207607865</v>
      </c>
      <c r="I82" s="219">
        <f t="shared" si="11"/>
        <v>3.8034396669187203</v>
      </c>
      <c r="J82" s="91">
        <f>+J76-J78</f>
        <v>-268669495.38000011</v>
      </c>
      <c r="K82" s="219">
        <f t="shared" si="12"/>
        <v>-8.0538833712041757</v>
      </c>
      <c r="L82" s="91">
        <f t="shared" si="7"/>
        <v>44773419.100769758</v>
      </c>
      <c r="M82" s="219">
        <f t="shared" si="8"/>
        <v>-16.664868870745167</v>
      </c>
      <c r="BX82" s="170"/>
      <c r="BY82" s="170"/>
      <c r="BZ82" s="145"/>
      <c r="CA82" s="145"/>
      <c r="CB82" s="145"/>
      <c r="CC82" s="142"/>
    </row>
    <row r="83" spans="2:81" ht="13.5" customHeight="1" thickTop="1" thickBot="1">
      <c r="C83" s="90" t="s">
        <v>288</v>
      </c>
      <c r="D83" s="91">
        <f>+SUM(D84:D87)</f>
        <v>223896076.27923036</v>
      </c>
      <c r="E83" s="219">
        <f t="shared" si="9"/>
        <v>6.5983742691037541</v>
      </c>
      <c r="F83" s="171">
        <f>+SUM(F84:F87)</f>
        <v>215692347.95846957</v>
      </c>
      <c r="G83" s="262">
        <f t="shared" si="6"/>
        <v>6.3566046465092247</v>
      </c>
      <c r="H83" s="91">
        <f t="shared" si="10"/>
        <v>8203728.3207607865</v>
      </c>
      <c r="I83" s="219">
        <f t="shared" si="11"/>
        <v>3.8034396669187203</v>
      </c>
      <c r="J83" s="91">
        <f>+SUM(J84:J87)</f>
        <v>268669495.38000011</v>
      </c>
      <c r="K83" s="219">
        <f t="shared" si="12"/>
        <v>8.0538833712041757</v>
      </c>
      <c r="L83" s="91">
        <f t="shared" si="7"/>
        <v>-44773419.100769758</v>
      </c>
      <c r="M83" s="219">
        <f t="shared" si="8"/>
        <v>-16.664868870745167</v>
      </c>
      <c r="BX83" s="170"/>
      <c r="BY83" s="170"/>
      <c r="BZ83" s="145"/>
      <c r="CA83" s="145"/>
      <c r="CB83" s="145"/>
      <c r="CC83" s="142"/>
    </row>
    <row r="84" spans="2:81" ht="13.5" customHeight="1" thickTop="1">
      <c r="B84" s="80">
        <v>7511</v>
      </c>
      <c r="C84" s="97" t="s">
        <v>483</v>
      </c>
      <c r="D84" s="161">
        <v>98410759.670000002</v>
      </c>
      <c r="E84" s="166">
        <f t="shared" si="9"/>
        <v>2.900234051442903</v>
      </c>
      <c r="F84" s="161">
        <v>0</v>
      </c>
      <c r="G84" s="263">
        <f t="shared" si="6"/>
        <v>0</v>
      </c>
      <c r="H84" s="249">
        <f t="shared" si="10"/>
        <v>98410759.670000002</v>
      </c>
      <c r="I84" s="225" t="str">
        <f t="shared" si="11"/>
        <v>...</v>
      </c>
      <c r="J84" s="161">
        <v>125350142</v>
      </c>
      <c r="K84" s="166">
        <f t="shared" si="12"/>
        <v>3.7576108996073025</v>
      </c>
      <c r="L84" s="249">
        <f t="shared" si="7"/>
        <v>-26939382.329999998</v>
      </c>
      <c r="M84" s="225">
        <f t="shared" si="8"/>
        <v>-21.491305793654377</v>
      </c>
      <c r="O84" s="100"/>
      <c r="BX84" s="170"/>
      <c r="BY84" s="170"/>
      <c r="BZ84" s="145"/>
      <c r="CA84" s="145"/>
      <c r="CB84" s="145"/>
      <c r="CC84" s="142"/>
    </row>
    <row r="85" spans="2:81" ht="13.5" customHeight="1">
      <c r="B85" s="80">
        <v>7512</v>
      </c>
      <c r="C85" s="97" t="s">
        <v>484</v>
      </c>
      <c r="D85" s="161">
        <v>192849834.42000002</v>
      </c>
      <c r="E85" s="166">
        <f t="shared" si="9"/>
        <v>5.6834197650291314</v>
      </c>
      <c r="F85" s="161">
        <v>170981681.89712209</v>
      </c>
      <c r="G85" s="263">
        <f t="shared" si="6"/>
        <v>5.0389499854880251</v>
      </c>
      <c r="H85" s="249">
        <f t="shared" si="10"/>
        <v>21868152.522877932</v>
      </c>
      <c r="I85" s="225">
        <f t="shared" si="11"/>
        <v>12.78976337128077</v>
      </c>
      <c r="J85" s="161">
        <v>103638344.62</v>
      </c>
      <c r="K85" s="166">
        <f t="shared" si="12"/>
        <v>3.1067581348361761</v>
      </c>
      <c r="L85" s="249">
        <f t="shared" si="7"/>
        <v>89211489.800000012</v>
      </c>
      <c r="M85" s="225">
        <f t="shared" si="8"/>
        <v>86.079616696988523</v>
      </c>
      <c r="O85" s="100"/>
      <c r="BX85" s="170"/>
      <c r="BY85" s="170"/>
      <c r="BZ85" s="145"/>
      <c r="CA85" s="145"/>
      <c r="CB85" s="145"/>
      <c r="CC85" s="142"/>
    </row>
    <row r="86" spans="2:81" ht="13.5" customHeight="1" thickBot="1">
      <c r="B86" s="80">
        <v>72</v>
      </c>
      <c r="C86" s="103" t="s">
        <v>482</v>
      </c>
      <c r="D86" s="161">
        <v>3154114.38</v>
      </c>
      <c r="E86" s="220">
        <f t="shared" si="9"/>
        <v>9.2953961108485764E-2</v>
      </c>
      <c r="F86" s="161">
        <v>3750000</v>
      </c>
      <c r="G86" s="265">
        <f t="shared" si="6"/>
        <v>0.11051512791264775</v>
      </c>
      <c r="H86" s="249">
        <f t="shared" si="10"/>
        <v>-595885.62000000011</v>
      </c>
      <c r="I86" s="225">
        <f t="shared" si="11"/>
        <v>-15.890283199999999</v>
      </c>
      <c r="J86" s="161">
        <v>1618249.32</v>
      </c>
      <c r="K86" s="220">
        <f t="shared" si="12"/>
        <v>4.8510126802362184E-2</v>
      </c>
      <c r="L86" s="249">
        <f t="shared" si="7"/>
        <v>1535865.0599999998</v>
      </c>
      <c r="M86" s="225">
        <f t="shared" si="8"/>
        <v>94.909050232136025</v>
      </c>
      <c r="O86" s="100"/>
      <c r="BX86" s="170"/>
      <c r="BY86" s="170"/>
      <c r="BZ86" s="145"/>
      <c r="CA86" s="145"/>
      <c r="CB86" s="145"/>
      <c r="CC86" s="142"/>
    </row>
    <row r="87" spans="2:81" ht="13.5" customHeight="1" thickTop="1" thickBot="1">
      <c r="C87" s="152" t="s">
        <v>481</v>
      </c>
      <c r="D87" s="172">
        <f>-D82-SUM(D84:D86)</f>
        <v>-70518632.190769672</v>
      </c>
      <c r="E87" s="168">
        <f t="shared" si="9"/>
        <v>-2.0782335084767651</v>
      </c>
      <c r="F87" s="172">
        <f>-F82-SUM(F84:F86)</f>
        <v>40960666.061347485</v>
      </c>
      <c r="G87" s="264">
        <f t="shared" si="6"/>
        <v>1.2071395331085513</v>
      </c>
      <c r="H87" s="246">
        <f t="shared" si="10"/>
        <v>-111479298.25211716</v>
      </c>
      <c r="I87" s="227">
        <f t="shared" si="11"/>
        <v>-272.16182980314022</v>
      </c>
      <c r="J87" s="153">
        <f>-J82-SUM(J84:J86)</f>
        <v>38062759.440000117</v>
      </c>
      <c r="K87" s="168">
        <f t="shared" si="12"/>
        <v>1.1410042099583355</v>
      </c>
      <c r="L87" s="246">
        <f t="shared" si="7"/>
        <v>-108581391.63076979</v>
      </c>
      <c r="M87" s="227">
        <f t="shared" si="8"/>
        <v>-285.26936362018387</v>
      </c>
      <c r="BX87" s="170"/>
      <c r="BY87" s="170"/>
      <c r="BZ87" s="145"/>
      <c r="CA87" s="145"/>
      <c r="CB87" s="145"/>
      <c r="CC87" s="142"/>
    </row>
    <row r="88" spans="2:81" s="201" customFormat="1" ht="13.5" thickTop="1">
      <c r="C88" s="202" t="str">
        <f>IF([1]MasterSheet!$A$1=1,[1]MasterSheet!C151,[1]MasterSheet!B151)</f>
        <v>Izvor: Ministarstvo finansija Crne Gore</v>
      </c>
      <c r="D88" s="207"/>
      <c r="E88" s="207"/>
      <c r="F88" s="206"/>
      <c r="G88" s="207"/>
      <c r="H88" s="207"/>
      <c r="I88" s="207"/>
      <c r="J88" s="206"/>
      <c r="K88" s="207"/>
      <c r="L88" s="207"/>
      <c r="M88" s="207"/>
    </row>
    <row r="89" spans="2:81" s="201" customFormat="1">
      <c r="C89" s="204"/>
      <c r="D89" s="203"/>
      <c r="E89" s="203"/>
      <c r="F89" s="208"/>
      <c r="G89" s="203"/>
      <c r="H89" s="203"/>
      <c r="I89" s="203"/>
      <c r="J89" s="208"/>
      <c r="K89" s="214"/>
      <c r="L89" s="203"/>
      <c r="M89" s="203"/>
    </row>
    <row r="90" spans="2:81" s="201" customFormat="1">
      <c r="D90" s="203"/>
      <c r="E90" s="203"/>
      <c r="F90" s="211"/>
      <c r="G90" s="203"/>
      <c r="H90" s="203"/>
      <c r="I90" s="203"/>
      <c r="J90" s="211"/>
      <c r="K90" s="203"/>
      <c r="L90" s="203"/>
      <c r="M90" s="203"/>
    </row>
    <row r="91" spans="2:81" s="201" customFormat="1">
      <c r="F91" s="203"/>
      <c r="G91" s="203"/>
      <c r="H91" s="203"/>
      <c r="I91" s="203"/>
      <c r="J91" s="203"/>
      <c r="K91" s="203"/>
      <c r="L91" s="203"/>
      <c r="M91" s="203"/>
    </row>
    <row r="92" spans="2:81" s="201" customFormat="1">
      <c r="C92" s="205"/>
    </row>
  </sheetData>
  <sheetProtection formatCells="0" formatColumns="0" formatRows="0" sort="0" autoFilter="0"/>
  <mergeCells count="10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F92"/>
  <sheetViews>
    <sheetView topLeftCell="A19" zoomScale="85" zoomScaleNormal="85" workbookViewId="0">
      <selection activeCell="C42" sqref="C42:C51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5" t="str">
        <f>+'Cental Budget'!C11</f>
        <v>BDP (u mil. €)</v>
      </c>
      <c r="D11" s="311">
        <f>+'Cental Budget'!D11:G11</f>
        <v>3393200615</v>
      </c>
      <c r="E11" s="312"/>
      <c r="F11" s="312"/>
      <c r="G11" s="313"/>
      <c r="H11" s="306"/>
      <c r="I11" s="307"/>
      <c r="J11" s="308">
        <f>+'Cental Budget'!J11:K11</f>
        <v>3335900000</v>
      </c>
      <c r="K11" s="309" t="e">
        <f>+'Cental Budget'!#REF!</f>
        <v>#REF!</v>
      </c>
      <c r="L11" s="306"/>
      <c r="M11" s="310"/>
      <c r="N11" s="222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02" t="s">
        <v>259</v>
      </c>
      <c r="D14" s="304" t="s">
        <v>456</v>
      </c>
      <c r="E14" s="305"/>
      <c r="F14" s="304" t="s">
        <v>448</v>
      </c>
      <c r="G14" s="305"/>
      <c r="H14" s="304" t="str">
        <f>+'Cental Budget'!H14:I14</f>
        <v>Odstupanje</v>
      </c>
      <c r="I14" s="305"/>
      <c r="J14" s="304" t="s">
        <v>449</v>
      </c>
      <c r="K14" s="305"/>
      <c r="L14" s="304" t="e">
        <f>+'Cental Budget'!H14:I14</f>
        <v>#VALUE!</v>
      </c>
      <c r="M14" s="30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03" t="str">
        <f>IF(MasterSheet!$A$1=1,MasterSheet!B71,MasterSheet!B70)</f>
        <v>Budžet Crne Gore</v>
      </c>
      <c r="D15" s="156" t="str">
        <f>IF(MasterSheet!$A$1=1,MasterSheet!C71,MasterSheet!C70)</f>
        <v>mil. €</v>
      </c>
      <c r="E15" s="164" t="str">
        <f>IF(MasterSheet!$A$1=1,MasterSheet!D71,MasterSheet!D70)</f>
        <v>% BDP</v>
      </c>
      <c r="F15" s="156" t="str">
        <f>IF(MasterSheet!$A$1=1,MasterSheet!E71,MasterSheet!E70)</f>
        <v>mil. €</v>
      </c>
      <c r="G15" s="164" t="str">
        <f>IF(MasterSheet!$A$1=1,MasterSheet!F71,MasterSheet!F70)</f>
        <v>% BDP</v>
      </c>
      <c r="H15" s="156" t="str">
        <f>IF(MasterSheet!$A$1=1,MasterSheet!G71,MasterSheet!G70)</f>
        <v>mil. €</v>
      </c>
      <c r="I15" s="164" t="s">
        <v>442</v>
      </c>
      <c r="J15" s="156" t="str">
        <f>IF(MasterSheet!$A$1=1,MasterSheet!I71,MasterSheet!I70)</f>
        <v>mil. €</v>
      </c>
      <c r="K15" s="164" t="str">
        <f>IF(MasterSheet!$A$1=1,MasterSheet!J71,MasterSheet!J70)</f>
        <v>% BDP</v>
      </c>
      <c r="L15" s="156" t="str">
        <f>IF(MasterSheet!$A$1=1,MasterSheet!K71,MasterSheet!K70)</f>
        <v>mil. €</v>
      </c>
      <c r="M15" s="164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8" t="str">
        <f>IF(MasterSheet!$A$1=1,MasterSheet!C72,MasterSheet!B72)</f>
        <v>Izvorni prihodi</v>
      </c>
      <c r="D16" s="148">
        <f>+D17+D21+D27+D33+D38+D39</f>
        <v>132459160.83</v>
      </c>
      <c r="E16" s="149">
        <f>+D16/$D$11*100</f>
        <v>3.9036642939545145</v>
      </c>
      <c r="F16" s="148">
        <f>+F17+F21+F27+F33+F38+F39</f>
        <v>127365307.07830173</v>
      </c>
      <c r="G16" s="149">
        <f>+F16/$D$11*100</f>
        <v>3.7535448542379135</v>
      </c>
      <c r="H16" s="148">
        <f>+D16-F16</f>
        <v>5093853.7516982704</v>
      </c>
      <c r="I16" s="149">
        <f>+D16/F16*100-100</f>
        <v>3.9994044442311747</v>
      </c>
      <c r="J16" s="148">
        <f>+J17+J21+J27+J33+J38+J39</f>
        <v>124879634.78999998</v>
      </c>
      <c r="K16" s="149">
        <f>+J16/$J$11*100</f>
        <v>3.7435065436613799</v>
      </c>
      <c r="L16" s="148">
        <f>+D16-J16</f>
        <v>7579526.0400000215</v>
      </c>
      <c r="M16" s="149">
        <f>+D16/J16*100-100</f>
        <v>6.0694652516768599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69">
        <f>+SUM(D18:D20)</f>
        <v>80125579.469999999</v>
      </c>
      <c r="E17" s="270">
        <f t="shared" ref="E17:G75" si="0">+D17/$D$11*100</f>
        <v>2.3613569771205523</v>
      </c>
      <c r="F17" s="269">
        <f>+SUM(F18:F20)</f>
        <v>72307952.581231803</v>
      </c>
      <c r="G17" s="270">
        <f t="shared" si="0"/>
        <v>2.1309660342977335</v>
      </c>
      <c r="H17" s="228">
        <f t="shared" ref="H17:H75" si="1">+D17-F17</f>
        <v>7817626.8887681961</v>
      </c>
      <c r="I17" s="229">
        <f t="shared" ref="I17:I75" si="2">+D17/F17*100-100</f>
        <v>10.811572738124141</v>
      </c>
      <c r="J17" s="269">
        <f>+SUM(J18:J20)</f>
        <v>73524727.230000004</v>
      </c>
      <c r="K17" s="270">
        <f t="shared" ref="K17:K75" si="3">+J17/$J$11*100</f>
        <v>2.2040447024790915</v>
      </c>
      <c r="L17" s="228">
        <f t="shared" ref="L17:L75" si="4">+D17-J17</f>
        <v>6600852.2399999946</v>
      </c>
      <c r="M17" s="229">
        <f t="shared" ref="M17:M75" si="5">+D17/J17*100-100</f>
        <v>8.9777310146982501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147">
        <v>22846508.789999999</v>
      </c>
      <c r="E18" s="150">
        <f t="shared" si="0"/>
        <v>0.67330262434247501</v>
      </c>
      <c r="F18" s="147">
        <v>20107664.260608919</v>
      </c>
      <c r="G18" s="150">
        <f t="shared" si="0"/>
        <v>0.5925869567428721</v>
      </c>
      <c r="H18" s="230">
        <f t="shared" si="1"/>
        <v>2738844.5293910801</v>
      </c>
      <c r="I18" s="231">
        <f t="shared" si="2"/>
        <v>13.620898448938703</v>
      </c>
      <c r="J18" s="147">
        <v>18967165.02</v>
      </c>
      <c r="K18" s="150">
        <f t="shared" si="3"/>
        <v>0.56857714619742805</v>
      </c>
      <c r="L18" s="230">
        <f t="shared" si="4"/>
        <v>3879343.7699999996</v>
      </c>
      <c r="M18" s="231">
        <f t="shared" si="5"/>
        <v>20.452944685773616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147">
        <v>9835067.1699999981</v>
      </c>
      <c r="E19" s="150">
        <f t="shared" si="0"/>
        <v>0.28984632168587526</v>
      </c>
      <c r="F19" s="147">
        <v>11400288.320622878</v>
      </c>
      <c r="G19" s="150">
        <f t="shared" si="0"/>
        <v>0.33597448586525375</v>
      </c>
      <c r="H19" s="230">
        <f t="shared" si="1"/>
        <v>-1565221.1506228801</v>
      </c>
      <c r="I19" s="231">
        <f t="shared" si="2"/>
        <v>-13.729662852398462</v>
      </c>
      <c r="J19" s="147">
        <v>8929272.0000000019</v>
      </c>
      <c r="K19" s="150">
        <f t="shared" si="3"/>
        <v>0.26767205251956</v>
      </c>
      <c r="L19" s="230">
        <f t="shared" si="4"/>
        <v>905795.1699999962</v>
      </c>
      <c r="M19" s="231">
        <f t="shared" si="5"/>
        <v>10.144109956556321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282</v>
      </c>
      <c r="D20" s="147">
        <v>47444003.510000005</v>
      </c>
      <c r="E20" s="150">
        <f t="shared" si="0"/>
        <v>1.3982080310922025</v>
      </c>
      <c r="F20" s="147">
        <v>40800000</v>
      </c>
      <c r="G20" s="150">
        <f t="shared" si="0"/>
        <v>1.2024045916896076</v>
      </c>
      <c r="H20" s="230">
        <f t="shared" si="1"/>
        <v>6644003.5100000054</v>
      </c>
      <c r="I20" s="231">
        <f t="shared" si="2"/>
        <v>16.284322328431372</v>
      </c>
      <c r="J20" s="147">
        <v>45628290.210000001</v>
      </c>
      <c r="K20" s="150">
        <f t="shared" si="3"/>
        <v>1.3677955037621032</v>
      </c>
      <c r="L20" s="230">
        <f t="shared" si="4"/>
        <v>1815713.3000000045</v>
      </c>
      <c r="M20" s="231">
        <f t="shared" si="5"/>
        <v>3.9793586208103591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v>4562427.46</v>
      </c>
      <c r="E21" s="165">
        <f t="shared" si="0"/>
        <v>0.13445793448908708</v>
      </c>
      <c r="F21" s="94">
        <v>5888495.4567471361</v>
      </c>
      <c r="G21" s="165">
        <f t="shared" si="0"/>
        <v>0.17353808763078796</v>
      </c>
      <c r="H21" s="232">
        <f t="shared" si="1"/>
        <v>-1326067.9967471361</v>
      </c>
      <c r="I21" s="224">
        <f t="shared" si="2"/>
        <v>-22.519640313684974</v>
      </c>
      <c r="J21" s="159">
        <v>4913598.9400000004</v>
      </c>
      <c r="K21" s="190">
        <f t="shared" si="3"/>
        <v>0.14729455139542552</v>
      </c>
      <c r="L21" s="232">
        <f t="shared" si="4"/>
        <v>-351171.48000000045</v>
      </c>
      <c r="M21" s="224">
        <f t="shared" si="5"/>
        <v>-7.1469300667017848</v>
      </c>
      <c r="O21" s="81"/>
      <c r="CA21" s="81"/>
      <c r="CB21" s="81"/>
      <c r="CC21" s="81"/>
    </row>
    <row r="22" spans="2:83" ht="15" hidden="1" customHeight="1">
      <c r="B22" s="80">
        <v>7131</v>
      </c>
      <c r="C22" s="97" t="str">
        <f>IF(MasterSheet!$A$1=1,MasterSheet!C87,MasterSheet!B87)</f>
        <v>Administrativne takse</v>
      </c>
      <c r="D22" s="147"/>
      <c r="E22" s="150">
        <f t="shared" si="0"/>
        <v>0</v>
      </c>
      <c r="F22" s="147"/>
      <c r="G22" s="150">
        <f t="shared" si="0"/>
        <v>0</v>
      </c>
      <c r="H22" s="230">
        <f t="shared" si="1"/>
        <v>0</v>
      </c>
      <c r="I22" s="231" t="e">
        <f t="shared" si="2"/>
        <v>#DIV/0!</v>
      </c>
      <c r="J22" s="147"/>
      <c r="K22" s="150">
        <f t="shared" si="3"/>
        <v>0</v>
      </c>
      <c r="L22" s="230">
        <f t="shared" si="4"/>
        <v>0</v>
      </c>
      <c r="M22" s="231" t="e">
        <f t="shared" si="5"/>
        <v>#DIV/0!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147"/>
      <c r="E23" s="150">
        <f t="shared" si="0"/>
        <v>0</v>
      </c>
      <c r="F23" s="147"/>
      <c r="G23" s="150">
        <f t="shared" si="0"/>
        <v>0</v>
      </c>
      <c r="H23" s="230">
        <f t="shared" si="1"/>
        <v>0</v>
      </c>
      <c r="I23" s="231" t="e">
        <f t="shared" si="2"/>
        <v>#DIV/0!</v>
      </c>
      <c r="J23" s="147"/>
      <c r="K23" s="150">
        <f t="shared" si="3"/>
        <v>0</v>
      </c>
      <c r="L23" s="230">
        <f t="shared" si="4"/>
        <v>0</v>
      </c>
      <c r="M23" s="231" t="e">
        <f t="shared" si="5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147"/>
      <c r="E24" s="150">
        <f t="shared" si="0"/>
        <v>0</v>
      </c>
      <c r="F24" s="147"/>
      <c r="G24" s="150">
        <f t="shared" si="0"/>
        <v>0</v>
      </c>
      <c r="H24" s="230">
        <f t="shared" si="1"/>
        <v>0</v>
      </c>
      <c r="I24" s="231" t="e">
        <f t="shared" si="2"/>
        <v>#DIV/0!</v>
      </c>
      <c r="J24" s="147"/>
      <c r="K24" s="150">
        <f t="shared" si="3"/>
        <v>0</v>
      </c>
      <c r="L24" s="230">
        <f t="shared" si="4"/>
        <v>0</v>
      </c>
      <c r="M24" s="231" t="e">
        <f t="shared" si="5"/>
        <v>#DIV/0!</v>
      </c>
      <c r="O24" s="81"/>
      <c r="CA24" s="140"/>
      <c r="CB24" s="140"/>
      <c r="CC24" s="140"/>
    </row>
    <row r="25" spans="2:83" ht="15" hidden="1" customHeight="1">
      <c r="B25" s="80">
        <v>7135</v>
      </c>
      <c r="C25" s="97" t="s">
        <v>36</v>
      </c>
      <c r="D25" s="147"/>
      <c r="E25" s="150">
        <f t="shared" si="0"/>
        <v>0</v>
      </c>
      <c r="F25" s="147"/>
      <c r="G25" s="150">
        <f t="shared" si="0"/>
        <v>0</v>
      </c>
      <c r="H25" s="230">
        <f t="shared" si="1"/>
        <v>0</v>
      </c>
      <c r="I25" s="231" t="e">
        <f t="shared" si="2"/>
        <v>#DIV/0!</v>
      </c>
      <c r="J25" s="147"/>
      <c r="K25" s="150">
        <f t="shared" si="3"/>
        <v>0</v>
      </c>
      <c r="L25" s="230">
        <f t="shared" si="4"/>
        <v>0</v>
      </c>
      <c r="M25" s="231" t="e">
        <f t="shared" si="5"/>
        <v>#DIV/0!</v>
      </c>
      <c r="O25" s="81"/>
      <c r="CA25" s="140"/>
      <c r="CB25" s="140"/>
      <c r="CC25" s="140"/>
    </row>
    <row r="26" spans="2:83" ht="15" hidden="1" customHeight="1">
      <c r="B26" s="80">
        <v>7136</v>
      </c>
      <c r="C26" s="97" t="s">
        <v>37</v>
      </c>
      <c r="D26" s="147"/>
      <c r="E26" s="150">
        <f t="shared" si="0"/>
        <v>0</v>
      </c>
      <c r="F26" s="147"/>
      <c r="G26" s="150">
        <f t="shared" si="0"/>
        <v>0</v>
      </c>
      <c r="H26" s="230">
        <f t="shared" si="1"/>
        <v>0</v>
      </c>
      <c r="I26" s="231" t="e">
        <f t="shared" si="2"/>
        <v>#DIV/0!</v>
      </c>
      <c r="J26" s="147"/>
      <c r="K26" s="150">
        <f t="shared" si="3"/>
        <v>0</v>
      </c>
      <c r="L26" s="230">
        <f t="shared" si="4"/>
        <v>0</v>
      </c>
      <c r="M26" s="231" t="e">
        <f t="shared" si="5"/>
        <v>#DIV/0!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v>35864025.82</v>
      </c>
      <c r="E27" s="165">
        <f t="shared" si="0"/>
        <v>1.0569379735892803</v>
      </c>
      <c r="F27" s="94">
        <v>34618805.521010801</v>
      </c>
      <c r="G27" s="165">
        <f t="shared" si="0"/>
        <v>1.0202404587566893</v>
      </c>
      <c r="H27" s="232">
        <f t="shared" si="1"/>
        <v>1245220.2989891991</v>
      </c>
      <c r="I27" s="224">
        <f t="shared" si="2"/>
        <v>3.5969476134393119</v>
      </c>
      <c r="J27" s="159">
        <v>35075820.119999997</v>
      </c>
      <c r="K27" s="190">
        <f t="shared" si="3"/>
        <v>1.0514649755688119</v>
      </c>
      <c r="L27" s="232">
        <f t="shared" si="4"/>
        <v>788205.70000000298</v>
      </c>
      <c r="M27" s="224">
        <f t="shared" si="5"/>
        <v>2.2471483127220608</v>
      </c>
      <c r="O27" s="81"/>
      <c r="CA27" s="140"/>
      <c r="CB27" s="140"/>
      <c r="CC27" s="140"/>
    </row>
    <row r="28" spans="2:83" ht="15" hidden="1" customHeight="1">
      <c r="B28" s="80">
        <v>7141</v>
      </c>
      <c r="C28" s="97" t="str">
        <f>IF(MasterSheet!$A$1=1,MasterSheet!C92,MasterSheet!B92)</f>
        <v>Naknade za korišćenje dobara od opšteg interesa</v>
      </c>
      <c r="D28" s="271"/>
      <c r="E28" s="272">
        <f t="shared" si="0"/>
        <v>0</v>
      </c>
      <c r="F28" s="271"/>
      <c r="G28" s="272">
        <f t="shared" si="0"/>
        <v>0</v>
      </c>
      <c r="H28" s="233">
        <f t="shared" si="1"/>
        <v>0</v>
      </c>
      <c r="I28" s="234" t="e">
        <f t="shared" si="2"/>
        <v>#DIV/0!</v>
      </c>
      <c r="J28" s="271"/>
      <c r="K28" s="272">
        <f t="shared" si="3"/>
        <v>0</v>
      </c>
      <c r="L28" s="233">
        <f t="shared" si="4"/>
        <v>0</v>
      </c>
      <c r="M28" s="234" t="e">
        <f t="shared" si="5"/>
        <v>#DIV/0!</v>
      </c>
      <c r="O28" s="81"/>
      <c r="CA28" s="140"/>
      <c r="CB28" s="140"/>
      <c r="CC28" s="140"/>
    </row>
    <row r="29" spans="2:83" ht="15" hidden="1" customHeight="1">
      <c r="B29" s="80">
        <v>7142</v>
      </c>
      <c r="C29" s="97" t="str">
        <f>IF(MasterSheet!$A$1=1,MasterSheet!C93,MasterSheet!B93)</f>
        <v>Naknade za korišćenje prirodnih dobara</v>
      </c>
      <c r="D29" s="273"/>
      <c r="E29" s="166">
        <f t="shared" si="0"/>
        <v>0</v>
      </c>
      <c r="F29" s="161"/>
      <c r="G29" s="166">
        <f t="shared" si="0"/>
        <v>0</v>
      </c>
      <c r="H29" s="235">
        <f t="shared" si="1"/>
        <v>0</v>
      </c>
      <c r="I29" s="225" t="e">
        <f t="shared" si="2"/>
        <v>#DIV/0!</v>
      </c>
      <c r="J29" s="161"/>
      <c r="K29" s="274">
        <f t="shared" si="3"/>
        <v>0</v>
      </c>
      <c r="L29" s="235">
        <f t="shared" si="4"/>
        <v>0</v>
      </c>
      <c r="M29" s="225" t="e">
        <f t="shared" si="5"/>
        <v>#DIV/0!</v>
      </c>
      <c r="O29" s="81"/>
      <c r="CA29" s="140"/>
      <c r="CB29" s="140"/>
      <c r="CC29" s="140"/>
    </row>
    <row r="30" spans="2:83" ht="15" hidden="1" customHeight="1">
      <c r="B30" s="80">
        <v>7146</v>
      </c>
      <c r="C30" s="97" t="s">
        <v>450</v>
      </c>
      <c r="D30" s="271"/>
      <c r="E30" s="166">
        <f t="shared" si="0"/>
        <v>0</v>
      </c>
      <c r="F30" s="271"/>
      <c r="G30" s="166">
        <f t="shared" si="0"/>
        <v>0</v>
      </c>
      <c r="H30" s="233">
        <f t="shared" si="1"/>
        <v>0</v>
      </c>
      <c r="I30" s="225" t="e">
        <f t="shared" si="2"/>
        <v>#DIV/0!</v>
      </c>
      <c r="J30" s="271"/>
      <c r="K30" s="274">
        <f t="shared" si="3"/>
        <v>0</v>
      </c>
      <c r="L30" s="233">
        <f t="shared" si="4"/>
        <v>0</v>
      </c>
      <c r="M30" s="225" t="e">
        <f t="shared" si="5"/>
        <v>#DIV/0!</v>
      </c>
      <c r="O30" s="81"/>
      <c r="CA30" s="140"/>
      <c r="CB30" s="140"/>
      <c r="CC30" s="140"/>
    </row>
    <row r="31" spans="2:83" ht="25.5" hidden="1">
      <c r="B31" s="163">
        <v>7147</v>
      </c>
      <c r="C31" s="162" t="s">
        <v>436</v>
      </c>
      <c r="D31" s="271"/>
      <c r="E31" s="166">
        <f t="shared" si="0"/>
        <v>0</v>
      </c>
      <c r="F31" s="271"/>
      <c r="G31" s="166">
        <f t="shared" si="0"/>
        <v>0</v>
      </c>
      <c r="H31" s="233">
        <f t="shared" si="1"/>
        <v>0</v>
      </c>
      <c r="I31" s="225" t="e">
        <f t="shared" si="2"/>
        <v>#DIV/0!</v>
      </c>
      <c r="J31" s="271"/>
      <c r="K31" s="274">
        <f t="shared" si="3"/>
        <v>0</v>
      </c>
      <c r="L31" s="235">
        <f t="shared" si="4"/>
        <v>0</v>
      </c>
      <c r="M31" s="225" t="e">
        <f t="shared" si="5"/>
        <v>#DIV/0!</v>
      </c>
      <c r="O31" s="81"/>
      <c r="CA31" s="140"/>
      <c r="CB31" s="140"/>
      <c r="CC31" s="140"/>
    </row>
    <row r="32" spans="2:83" ht="15" hidden="1" customHeight="1">
      <c r="B32" s="80">
        <v>7149</v>
      </c>
      <c r="C32" s="97" t="str">
        <f>IF(MasterSheet!$A$1=1,MasterSheet!C97,MasterSheet!B97)</f>
        <v>Ostale naknade</v>
      </c>
      <c r="D32" s="147"/>
      <c r="E32" s="150">
        <f t="shared" si="0"/>
        <v>0</v>
      </c>
      <c r="F32" s="147"/>
      <c r="G32" s="150">
        <f t="shared" si="0"/>
        <v>0</v>
      </c>
      <c r="H32" s="230">
        <f t="shared" si="1"/>
        <v>0</v>
      </c>
      <c r="I32" s="231" t="e">
        <f t="shared" si="2"/>
        <v>#DIV/0!</v>
      </c>
      <c r="J32" s="147"/>
      <c r="K32" s="150">
        <f t="shared" si="3"/>
        <v>0</v>
      </c>
      <c r="L32" s="230">
        <f t="shared" si="4"/>
        <v>0</v>
      </c>
      <c r="M32" s="231" t="e">
        <f t="shared" si="5"/>
        <v>#DIV/0!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75">
        <v>9730146.8900000006</v>
      </c>
      <c r="E33" s="276">
        <f t="shared" si="0"/>
        <v>0.28675424750858713</v>
      </c>
      <c r="F33" s="275">
        <v>11467726.909312</v>
      </c>
      <c r="G33" s="276">
        <f t="shared" si="0"/>
        <v>0.33796194833331422</v>
      </c>
      <c r="H33" s="236">
        <f t="shared" si="1"/>
        <v>-1737580.0193119999</v>
      </c>
      <c r="I33" s="237">
        <f t="shared" si="2"/>
        <v>-15.151913130239038</v>
      </c>
      <c r="J33" s="275">
        <v>9293361.5399999991</v>
      </c>
      <c r="K33" s="276">
        <f t="shared" si="3"/>
        <v>0.2785863347222638</v>
      </c>
      <c r="L33" s="236">
        <f t="shared" si="4"/>
        <v>436785.35000000149</v>
      </c>
      <c r="M33" s="237">
        <f t="shared" si="5"/>
        <v>4.6999715670160072</v>
      </c>
      <c r="O33" s="81"/>
      <c r="CA33" s="81"/>
      <c r="CB33" s="81"/>
      <c r="CC33" s="81"/>
      <c r="CD33" s="81"/>
      <c r="CE33" s="81"/>
    </row>
    <row r="34" spans="1:84" ht="15" hidden="1" customHeight="1">
      <c r="B34" s="80">
        <v>7151</v>
      </c>
      <c r="C34" s="97" t="str">
        <f>IF(MasterSheet!$A$1=1,MasterSheet!C99,MasterSheet!B99)</f>
        <v>Prihodi od kapitala</v>
      </c>
      <c r="D34" s="147"/>
      <c r="E34" s="150">
        <f t="shared" si="0"/>
        <v>0</v>
      </c>
      <c r="F34" s="147"/>
      <c r="G34" s="150">
        <f t="shared" si="0"/>
        <v>0</v>
      </c>
      <c r="H34" s="230">
        <f t="shared" si="1"/>
        <v>0</v>
      </c>
      <c r="I34" s="231" t="e">
        <f t="shared" si="2"/>
        <v>#DIV/0!</v>
      </c>
      <c r="J34" s="147"/>
      <c r="K34" s="150">
        <f t="shared" si="3"/>
        <v>0</v>
      </c>
      <c r="L34" s="230">
        <f t="shared" si="4"/>
        <v>0</v>
      </c>
      <c r="M34" s="231" t="e">
        <f t="shared" si="5"/>
        <v>#DIV/0!</v>
      </c>
      <c r="O34" s="81"/>
      <c r="CA34" s="141"/>
      <c r="CB34" s="141"/>
      <c r="CC34" s="141"/>
      <c r="CD34" s="141"/>
      <c r="CE34" s="141"/>
      <c r="CF34" s="142"/>
    </row>
    <row r="35" spans="1:84" ht="15" hidden="1" customHeight="1">
      <c r="B35" s="80">
        <v>7152</v>
      </c>
      <c r="C35" s="97" t="str">
        <f>IF(MasterSheet!$A$1=1,MasterSheet!C100,MasterSheet!B100)</f>
        <v>Novčane kazne i oduzete imovinske koristi</v>
      </c>
      <c r="D35" s="147"/>
      <c r="E35" s="150">
        <f t="shared" si="0"/>
        <v>0</v>
      </c>
      <c r="F35" s="147"/>
      <c r="G35" s="150">
        <f t="shared" si="0"/>
        <v>0</v>
      </c>
      <c r="H35" s="230">
        <f t="shared" si="1"/>
        <v>0</v>
      </c>
      <c r="I35" s="231" t="e">
        <f t="shared" si="2"/>
        <v>#DIV/0!</v>
      </c>
      <c r="J35" s="147"/>
      <c r="K35" s="150">
        <f t="shared" si="3"/>
        <v>0</v>
      </c>
      <c r="L35" s="230">
        <f t="shared" si="4"/>
        <v>0</v>
      </c>
      <c r="M35" s="231" t="e">
        <f t="shared" si="5"/>
        <v>#DIV/0!</v>
      </c>
      <c r="O35" s="81"/>
      <c r="CA35" s="141"/>
      <c r="CB35" s="141"/>
      <c r="CC35" s="143"/>
      <c r="CD35" s="143"/>
      <c r="CE35" s="144"/>
      <c r="CF35" s="142"/>
    </row>
    <row r="36" spans="1:84" ht="15" hidden="1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147"/>
      <c r="E36" s="150">
        <f t="shared" si="0"/>
        <v>0</v>
      </c>
      <c r="F36" s="147"/>
      <c r="G36" s="150">
        <f t="shared" si="0"/>
        <v>0</v>
      </c>
      <c r="H36" s="230">
        <f t="shared" si="1"/>
        <v>0</v>
      </c>
      <c r="I36" s="231" t="e">
        <f t="shared" si="2"/>
        <v>#DIV/0!</v>
      </c>
      <c r="J36" s="147"/>
      <c r="K36" s="150">
        <f t="shared" si="3"/>
        <v>0</v>
      </c>
      <c r="L36" s="230">
        <f t="shared" si="4"/>
        <v>0</v>
      </c>
      <c r="M36" s="231" t="e">
        <f t="shared" si="5"/>
        <v>#DIV/0!</v>
      </c>
      <c r="O36" s="81"/>
      <c r="CA36" s="81"/>
      <c r="CB36" s="81"/>
      <c r="CC36" s="145"/>
      <c r="CD36" s="145"/>
      <c r="CE36" s="145"/>
      <c r="CF36" s="142"/>
    </row>
    <row r="37" spans="1:84" ht="15" hidden="1" customHeight="1">
      <c r="B37" s="80">
        <v>7154</v>
      </c>
      <c r="C37" s="97" t="str">
        <f>IF(MasterSheet!$A$1=1,MasterSheet!C102,MasterSheet!B102)</f>
        <v>Ostali prihodi</v>
      </c>
      <c r="D37" s="147"/>
      <c r="E37" s="150">
        <f t="shared" si="0"/>
        <v>0</v>
      </c>
      <c r="F37" s="147"/>
      <c r="G37" s="150">
        <f t="shared" si="0"/>
        <v>0</v>
      </c>
      <c r="H37" s="230">
        <f t="shared" si="1"/>
        <v>0</v>
      </c>
      <c r="I37" s="231" t="e">
        <f t="shared" si="2"/>
        <v>#DIV/0!</v>
      </c>
      <c r="J37" s="147"/>
      <c r="K37" s="150">
        <f t="shared" si="3"/>
        <v>0</v>
      </c>
      <c r="L37" s="230">
        <f t="shared" si="4"/>
        <v>0</v>
      </c>
      <c r="M37" s="231" t="e">
        <f t="shared" si="5"/>
        <v>#DIV/0!</v>
      </c>
      <c r="O37" s="81"/>
      <c r="BZ37" s="100"/>
      <c r="CA37" s="100"/>
      <c r="CB37" s="99"/>
      <c r="CC37" s="145"/>
      <c r="CD37" s="145"/>
      <c r="CE37" s="145"/>
      <c r="CF37" s="142"/>
    </row>
    <row r="38" spans="1:84" ht="25.5">
      <c r="B38" s="80">
        <v>73</v>
      </c>
      <c r="C38" s="101" t="str">
        <f>IF(MasterSheet!$A$1=1,MasterSheet!C103,MasterSheet!B103)</f>
        <v>Primici od otplate kredita i sredstva prenijeta iz prethodne godine</v>
      </c>
      <c r="D38" s="275">
        <v>82326.610000000015</v>
      </c>
      <c r="E38" s="276">
        <f t="shared" si="0"/>
        <v>2.4262228892705778E-3</v>
      </c>
      <c r="F38" s="275">
        <v>82326.610000000015</v>
      </c>
      <c r="G38" s="276">
        <f t="shared" si="0"/>
        <v>2.4262228892705778E-3</v>
      </c>
      <c r="H38" s="236">
        <f t="shared" si="1"/>
        <v>0</v>
      </c>
      <c r="I38" s="237">
        <f t="shared" si="2"/>
        <v>0</v>
      </c>
      <c r="J38" s="275">
        <v>35389.83</v>
      </c>
      <c r="K38" s="276">
        <f t="shared" si="3"/>
        <v>1.0608780239215803E-3</v>
      </c>
      <c r="L38" s="236">
        <f t="shared" si="4"/>
        <v>46936.780000000013</v>
      </c>
      <c r="M38" s="237">
        <f t="shared" si="5"/>
        <v>132.62787642664574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75">
        <v>2094654.5800000003</v>
      </c>
      <c r="E39" s="276">
        <f t="shared" si="0"/>
        <v>6.1730938357736923E-2</v>
      </c>
      <c r="F39" s="275">
        <v>3000000</v>
      </c>
      <c r="G39" s="276">
        <f t="shared" si="0"/>
        <v>8.8412102330118189E-2</v>
      </c>
      <c r="H39" s="236">
        <f t="shared" si="1"/>
        <v>-905345.41999999969</v>
      </c>
      <c r="I39" s="237">
        <f t="shared" si="2"/>
        <v>-30.178180666666648</v>
      </c>
      <c r="J39" s="275">
        <v>2036737.13</v>
      </c>
      <c r="K39" s="276">
        <f t="shared" si="3"/>
        <v>6.1055101471866657E-2</v>
      </c>
      <c r="L39" s="236">
        <f t="shared" si="4"/>
        <v>57917.450000000419</v>
      </c>
      <c r="M39" s="237">
        <f t="shared" si="5"/>
        <v>2.8436389334150647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8" t="str">
        <f>IF(MasterSheet!$A$1=1,MasterSheet!C104,MasterSheet!B104)</f>
        <v>Izdaci</v>
      </c>
      <c r="D40" s="157">
        <f>+D42++D52+D55+D58+D59+D60</f>
        <v>99913021.480000004</v>
      </c>
      <c r="E40" s="167">
        <f t="shared" si="0"/>
        <v>2.9445067597336858</v>
      </c>
      <c r="F40" s="157">
        <f>+F42++F52+F55+F58+F59+F60</f>
        <v>96072950.633904591</v>
      </c>
      <c r="G40" s="167">
        <f t="shared" si="0"/>
        <v>2.8313371808670555</v>
      </c>
      <c r="H40" s="157">
        <f t="shared" si="1"/>
        <v>3840070.846095413</v>
      </c>
      <c r="I40" s="167">
        <f t="shared" si="2"/>
        <v>3.9970364402862799</v>
      </c>
      <c r="J40" s="277">
        <f>+J42++J52+J55+J58+J59+J60</f>
        <v>93729963.5</v>
      </c>
      <c r="K40" s="278">
        <f t="shared" si="3"/>
        <v>2.8097354087352739</v>
      </c>
      <c r="L40" s="157">
        <f t="shared" si="4"/>
        <v>6183057.9800000042</v>
      </c>
      <c r="M40" s="167">
        <f t="shared" si="5"/>
        <v>6.5966717036009612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8" t="str">
        <f>IF(MasterSheet!$A$1=1,MasterSheet!C105,MasterSheet!B105)</f>
        <v>Tekuća budžetska potrošnja</v>
      </c>
      <c r="D41" s="157">
        <f>+D40-D58</f>
        <v>69054377.700000003</v>
      </c>
      <c r="E41" s="167">
        <f t="shared" si="0"/>
        <v>2.0350809025183438</v>
      </c>
      <c r="F41" s="157">
        <f>+F40-F58</f>
        <v>71572950.633904591</v>
      </c>
      <c r="G41" s="167">
        <f t="shared" si="0"/>
        <v>2.109305011837757</v>
      </c>
      <c r="H41" s="157">
        <f t="shared" si="1"/>
        <v>-2518572.9339045882</v>
      </c>
      <c r="I41" s="167">
        <f t="shared" si="2"/>
        <v>-3.518889345204002</v>
      </c>
      <c r="J41" s="277">
        <f>+J40-J58</f>
        <v>69537606.780000001</v>
      </c>
      <c r="K41" s="278">
        <f t="shared" si="3"/>
        <v>2.0845231205971402</v>
      </c>
      <c r="L41" s="157">
        <f t="shared" si="4"/>
        <v>-483229.07999999821</v>
      </c>
      <c r="M41" s="167">
        <f t="shared" si="5"/>
        <v>-0.69491761706555621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Budget'!C51</f>
        <v>Current expenditures</v>
      </c>
      <c r="D42" s="94">
        <f>+SUM(D43:D51)</f>
        <v>42283284.24000001</v>
      </c>
      <c r="E42" s="165">
        <f t="shared" si="0"/>
        <v>1.2461180176934517</v>
      </c>
      <c r="F42" s="94">
        <f>+SUM(F43:F51)</f>
        <v>44285758.398000002</v>
      </c>
      <c r="G42" s="165">
        <f t="shared" si="0"/>
        <v>1.3051323344169559</v>
      </c>
      <c r="H42" s="232">
        <f t="shared" si="1"/>
        <v>-2002474.1579999924</v>
      </c>
      <c r="I42" s="224">
        <f t="shared" si="2"/>
        <v>-4.5217113366414026</v>
      </c>
      <c r="J42" s="159">
        <f>+SUM(J43:J51)</f>
        <v>43482120.529999994</v>
      </c>
      <c r="K42" s="190">
        <f t="shared" si="3"/>
        <v>1.3034599517371621</v>
      </c>
      <c r="L42" s="232">
        <f t="shared" si="4"/>
        <v>-1198836.2899999842</v>
      </c>
      <c r="M42" s="224">
        <f t="shared" si="5"/>
        <v>-2.7570787150844325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Budget'!C52</f>
        <v>Gross wages</v>
      </c>
      <c r="D43" s="275">
        <v>25045947.940000001</v>
      </c>
      <c r="E43" s="276">
        <f t="shared" si="0"/>
        <v>0.73812163740869774</v>
      </c>
      <c r="F43" s="275">
        <v>25228432.627999999</v>
      </c>
      <c r="G43" s="276">
        <f t="shared" si="0"/>
        <v>0.74349958904507629</v>
      </c>
      <c r="H43" s="236">
        <f t="shared" si="1"/>
        <v>-182484.68799999729</v>
      </c>
      <c r="I43" s="237">
        <f t="shared" si="2"/>
        <v>-0.72332946993094538</v>
      </c>
      <c r="J43" s="275">
        <v>25281056.260000005</v>
      </c>
      <c r="K43" s="276">
        <f t="shared" si="3"/>
        <v>0.75784814472855921</v>
      </c>
      <c r="L43" s="236">
        <f t="shared" si="4"/>
        <v>-235108.32000000402</v>
      </c>
      <c r="M43" s="237">
        <f t="shared" si="5"/>
        <v>-0.9299782318510097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Budget'!C53</f>
        <v>Other personal income</v>
      </c>
      <c r="D44" s="275">
        <v>1485862.33</v>
      </c>
      <c r="E44" s="276">
        <f t="shared" si="0"/>
        <v>4.3789404122809288E-2</v>
      </c>
      <c r="F44" s="275">
        <v>1738573.6689999998</v>
      </c>
      <c r="G44" s="276">
        <f t="shared" si="0"/>
        <v>5.1236984377359011E-2</v>
      </c>
      <c r="H44" s="236">
        <f t="shared" si="1"/>
        <v>-252711.33899999969</v>
      </c>
      <c r="I44" s="237">
        <f t="shared" si="2"/>
        <v>-14.535555409932982</v>
      </c>
      <c r="J44" s="275">
        <v>1831805.2100000002</v>
      </c>
      <c r="K44" s="276">
        <f t="shared" si="3"/>
        <v>5.4911874156899187E-2</v>
      </c>
      <c r="L44" s="236">
        <f t="shared" si="4"/>
        <v>-345942.88000000012</v>
      </c>
      <c r="M44" s="237">
        <f t="shared" si="5"/>
        <v>-18.885352990124971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Budget'!C54</f>
        <v>Expenditures for material</v>
      </c>
      <c r="D45" s="275">
        <v>3985780.6599999997</v>
      </c>
      <c r="E45" s="276">
        <f t="shared" si="0"/>
        <v>0.11746374919244201</v>
      </c>
      <c r="F45" s="275">
        <v>10502730.013999999</v>
      </c>
      <c r="G45" s="276">
        <f t="shared" si="0"/>
        <v>0.30952281358112388</v>
      </c>
      <c r="H45" s="236">
        <f t="shared" si="1"/>
        <v>-6516949.3539999984</v>
      </c>
      <c r="I45" s="237">
        <f t="shared" si="2"/>
        <v>-62.050051227756903</v>
      </c>
      <c r="J45" s="275">
        <v>4255182.09</v>
      </c>
      <c r="K45" s="276">
        <f t="shared" si="3"/>
        <v>0.12755724362241075</v>
      </c>
      <c r="L45" s="236">
        <f t="shared" si="4"/>
        <v>-269401.43000000017</v>
      </c>
      <c r="M45" s="237">
        <f t="shared" si="5"/>
        <v>-6.331137523658839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Budget'!C55</f>
        <v>Expenditures for services</v>
      </c>
      <c r="D46" s="94">
        <v>5123156.25</v>
      </c>
      <c r="E46" s="165">
        <f t="shared" si="0"/>
        <v>0.15098300487606153</v>
      </c>
      <c r="F46" s="159">
        <v>0</v>
      </c>
      <c r="G46" s="165">
        <f t="shared" si="0"/>
        <v>0</v>
      </c>
      <c r="H46" s="232">
        <f t="shared" si="1"/>
        <v>5123156.25</v>
      </c>
      <c r="I46" s="224" t="e">
        <f t="shared" si="2"/>
        <v>#DIV/0!</v>
      </c>
      <c r="J46" s="159">
        <v>5616580.5600000024</v>
      </c>
      <c r="K46" s="190">
        <f t="shared" si="3"/>
        <v>0.16836777361431704</v>
      </c>
      <c r="L46" s="232">
        <f t="shared" si="4"/>
        <v>-493424.31000000238</v>
      </c>
      <c r="M46" s="224">
        <f t="shared" si="5"/>
        <v>-8.7851372330356412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Budget'!C56</f>
        <v>Expenditures for current maintenance</v>
      </c>
      <c r="D47" s="275">
        <v>2239116.8899999997</v>
      </c>
      <c r="E47" s="276">
        <f t="shared" si="0"/>
        <v>6.5988343869258656E-2</v>
      </c>
      <c r="F47" s="275">
        <v>2787034.1939999997</v>
      </c>
      <c r="G47" s="276">
        <f t="shared" si="0"/>
        <v>8.2135850785822154E-2</v>
      </c>
      <c r="H47" s="236">
        <f t="shared" si="1"/>
        <v>-547917.304</v>
      </c>
      <c r="I47" s="237">
        <f t="shared" si="2"/>
        <v>-19.659511360842671</v>
      </c>
      <c r="J47" s="275">
        <v>2979440.1599999992</v>
      </c>
      <c r="K47" s="276">
        <f t="shared" si="3"/>
        <v>8.9314432686831119E-2</v>
      </c>
      <c r="L47" s="236">
        <f t="shared" si="4"/>
        <v>-740323.26999999955</v>
      </c>
      <c r="M47" s="237">
        <f t="shared" si="5"/>
        <v>-24.847730789800451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Budget'!C57</f>
        <v>Interest</v>
      </c>
      <c r="D48" s="275">
        <v>2540902.4999999995</v>
      </c>
      <c r="E48" s="276">
        <f t="shared" si="0"/>
        <v>7.4882177280284373E-2</v>
      </c>
      <c r="F48" s="275">
        <v>2343104.4419999998</v>
      </c>
      <c r="G48" s="276">
        <f t="shared" si="0"/>
        <v>6.9052929898752821E-2</v>
      </c>
      <c r="H48" s="236">
        <f t="shared" si="1"/>
        <v>197798.05799999973</v>
      </c>
      <c r="I48" s="237">
        <f t="shared" si="2"/>
        <v>8.4417089761122952</v>
      </c>
      <c r="J48" s="275">
        <v>2324014.5299999998</v>
      </c>
      <c r="K48" s="276">
        <f t="shared" si="3"/>
        <v>6.9666792469798247E-2</v>
      </c>
      <c r="L48" s="236">
        <f t="shared" si="4"/>
        <v>216887.96999999974</v>
      </c>
      <c r="M48" s="237">
        <f t="shared" si="5"/>
        <v>9.3324704815851476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Budget'!C58</f>
        <v>Rent</v>
      </c>
      <c r="D49" s="275">
        <v>249828.77</v>
      </c>
      <c r="E49" s="276">
        <f t="shared" si="0"/>
        <v>7.3626289260825201E-3</v>
      </c>
      <c r="F49" s="275">
        <v>305044.02599999995</v>
      </c>
      <c r="G49" s="276">
        <f t="shared" si="0"/>
        <v>8.9898612139677429E-3</v>
      </c>
      <c r="H49" s="236">
        <f t="shared" si="1"/>
        <v>-55215.255999999965</v>
      </c>
      <c r="I49" s="237">
        <f t="shared" si="2"/>
        <v>-18.100749824223726</v>
      </c>
      <c r="J49" s="275">
        <v>212266.66</v>
      </c>
      <c r="K49" s="276">
        <f t="shared" si="3"/>
        <v>6.3631002128361168E-3</v>
      </c>
      <c r="L49" s="236">
        <f t="shared" si="4"/>
        <v>37562.109999999986</v>
      </c>
      <c r="M49" s="237">
        <f t="shared" si="5"/>
        <v>17.695718206523807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Budget'!C59</f>
        <v>Subsidies</v>
      </c>
      <c r="D50" s="275">
        <v>266409.15999999997</v>
      </c>
      <c r="E50" s="276">
        <f t="shared" si="0"/>
        <v>7.8512646385336098E-3</v>
      </c>
      <c r="F50" s="275">
        <v>531296.255</v>
      </c>
      <c r="G50" s="276">
        <f t="shared" si="0"/>
        <v>1.5657672954889523E-2</v>
      </c>
      <c r="H50" s="236">
        <f t="shared" si="1"/>
        <v>-264887.09500000003</v>
      </c>
      <c r="I50" s="237">
        <f t="shared" si="2"/>
        <v>-49.8567592952448</v>
      </c>
      <c r="J50" s="275">
        <v>197661.22999999998</v>
      </c>
      <c r="K50" s="276">
        <f t="shared" si="3"/>
        <v>5.9252744386822142E-3</v>
      </c>
      <c r="L50" s="236">
        <f t="shared" si="4"/>
        <v>68747.929999999993</v>
      </c>
      <c r="M50" s="237">
        <f t="shared" si="5"/>
        <v>34.780685114627687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Budget'!C60</f>
        <v>Other expenditures</v>
      </c>
      <c r="D51" s="275">
        <v>1346279.7400000002</v>
      </c>
      <c r="E51" s="276">
        <f t="shared" si="0"/>
        <v>3.9675807379281648E-2</v>
      </c>
      <c r="F51" s="275">
        <v>849543.17</v>
      </c>
      <c r="G51" s="276">
        <f t="shared" si="0"/>
        <v>2.5036632559964335E-2</v>
      </c>
      <c r="H51" s="236">
        <f t="shared" si="1"/>
        <v>496736.57000000018</v>
      </c>
      <c r="I51" s="237">
        <f t="shared" si="2"/>
        <v>58.471021549146258</v>
      </c>
      <c r="J51" s="275">
        <v>784113.82999999984</v>
      </c>
      <c r="K51" s="276">
        <f t="shared" si="3"/>
        <v>2.3505315806828738E-2</v>
      </c>
      <c r="L51" s="236">
        <f t="shared" si="4"/>
        <v>562165.91000000038</v>
      </c>
      <c r="M51" s="237">
        <f t="shared" si="5"/>
        <v>71.694426050360619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Budget'!C62</f>
        <v>Transfers for social protection</v>
      </c>
      <c r="D52" s="275">
        <v>152674.94</v>
      </c>
      <c r="E52" s="276">
        <f t="shared" si="0"/>
        <v>4.4994374728415526E-3</v>
      </c>
      <c r="F52" s="275">
        <v>409162.77675000008</v>
      </c>
      <c r="G52" s="276">
        <f t="shared" si="0"/>
        <v>1.2058313762565439E-2</v>
      </c>
      <c r="H52" s="236">
        <f t="shared" si="1"/>
        <v>-256487.83675000007</v>
      </c>
      <c r="I52" s="237">
        <f t="shared" si="2"/>
        <v>-62.686014301519677</v>
      </c>
      <c r="J52" s="275">
        <v>312390.5</v>
      </c>
      <c r="K52" s="276">
        <f t="shared" si="3"/>
        <v>9.3645043316646186E-3</v>
      </c>
      <c r="L52" s="236">
        <f t="shared" si="4"/>
        <v>-159715.56</v>
      </c>
      <c r="M52" s="237">
        <f t="shared" si="5"/>
        <v>-51.126894063679913</v>
      </c>
      <c r="O52" s="81"/>
      <c r="CA52" s="146"/>
      <c r="CB52" s="146"/>
      <c r="CC52" s="145"/>
      <c r="CD52" s="145"/>
      <c r="CE52" s="145"/>
      <c r="CF52" s="142"/>
    </row>
    <row r="53" spans="1:84" ht="13.5" hidden="1" customHeight="1">
      <c r="B53" s="80">
        <v>421</v>
      </c>
      <c r="C53" s="97" t="s">
        <v>89</v>
      </c>
      <c r="D53" s="147">
        <f>+D52</f>
        <v>152674.94</v>
      </c>
      <c r="E53" s="150">
        <f t="shared" si="0"/>
        <v>4.4994374728415526E-3</v>
      </c>
      <c r="F53" s="147">
        <f>+F52</f>
        <v>409162.77675000008</v>
      </c>
      <c r="G53" s="150">
        <f t="shared" si="0"/>
        <v>1.2058313762565439E-2</v>
      </c>
      <c r="H53" s="230">
        <f t="shared" si="1"/>
        <v>-256487.83675000007</v>
      </c>
      <c r="I53" s="231">
        <f t="shared" si="2"/>
        <v>-62.686014301519677</v>
      </c>
      <c r="J53" s="147">
        <f>+J52</f>
        <v>312390.5</v>
      </c>
      <c r="K53" s="150">
        <f t="shared" si="3"/>
        <v>9.3645043316646186E-3</v>
      </c>
      <c r="L53" s="230">
        <f t="shared" si="4"/>
        <v>-159715.56</v>
      </c>
      <c r="M53" s="231">
        <f t="shared" si="5"/>
        <v>-51.126894063679913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147"/>
      <c r="E54" s="150">
        <f t="shared" si="0"/>
        <v>0</v>
      </c>
      <c r="F54" s="147"/>
      <c r="G54" s="150">
        <f t="shared" si="0"/>
        <v>0</v>
      </c>
      <c r="H54" s="230">
        <f t="shared" si="1"/>
        <v>0</v>
      </c>
      <c r="I54" s="231" t="e">
        <f t="shared" si="2"/>
        <v>#DIV/0!</v>
      </c>
      <c r="J54" s="147"/>
      <c r="K54" s="150">
        <f t="shared" si="3"/>
        <v>0</v>
      </c>
      <c r="L54" s="230">
        <f t="shared" si="4"/>
        <v>0</v>
      </c>
      <c r="M54" s="231" t="e">
        <f t="shared" si="5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 thickBot="1">
      <c r="A55" s="80">
        <v>43</v>
      </c>
      <c r="C55" s="93" t="str">
        <f>+'Cental Budget'!C68</f>
        <v>Transfers to individuals, institutions, NGOs and public sector</v>
      </c>
      <c r="D55" s="94">
        <v>24098470.329999998</v>
      </c>
      <c r="E55" s="165">
        <f t="shared" si="0"/>
        <v>0.71019880827175907</v>
      </c>
      <c r="F55" s="159">
        <v>22635391.86534458</v>
      </c>
      <c r="G55" s="165">
        <f t="shared" si="0"/>
        <v>0.66708086062705674</v>
      </c>
      <c r="H55" s="232">
        <f t="shared" si="1"/>
        <v>1463078.4646554179</v>
      </c>
      <c r="I55" s="224">
        <f t="shared" si="2"/>
        <v>6.4636763231628862</v>
      </c>
      <c r="J55" s="159">
        <v>22888392.039999999</v>
      </c>
      <c r="K55" s="190">
        <f t="shared" si="3"/>
        <v>0.68612344614646714</v>
      </c>
      <c r="L55" s="232">
        <f t="shared" si="4"/>
        <v>1210078.2899999991</v>
      </c>
      <c r="M55" s="224">
        <f t="shared" si="5"/>
        <v>5.2868645725975512</v>
      </c>
      <c r="O55" s="81"/>
      <c r="CA55" s="146"/>
      <c r="CB55" s="146"/>
      <c r="CC55" s="145"/>
      <c r="CD55" s="145"/>
      <c r="CE55" s="145"/>
      <c r="CF55" s="142"/>
    </row>
    <row r="56" spans="1:84" ht="13.5" hidden="1" customHeight="1">
      <c r="A56" s="80" t="s">
        <v>428</v>
      </c>
      <c r="B56" s="80">
        <v>431</v>
      </c>
      <c r="C56" s="97" t="s">
        <v>433</v>
      </c>
      <c r="D56" s="147">
        <f>+D55</f>
        <v>24098470.329999998</v>
      </c>
      <c r="E56" s="150">
        <f t="shared" si="0"/>
        <v>0.71019880827175907</v>
      </c>
      <c r="F56" s="147">
        <f>+F55</f>
        <v>22635391.86534458</v>
      </c>
      <c r="G56" s="150">
        <f t="shared" si="0"/>
        <v>0.66708086062705674</v>
      </c>
      <c r="H56" s="147">
        <f t="shared" si="1"/>
        <v>1463078.4646554179</v>
      </c>
      <c r="I56" s="150">
        <f t="shared" si="2"/>
        <v>6.4636763231628862</v>
      </c>
      <c r="J56" s="147">
        <f>+J55</f>
        <v>22888392.039999999</v>
      </c>
      <c r="K56" s="150">
        <f t="shared" si="3"/>
        <v>0.68612344614646714</v>
      </c>
      <c r="L56" s="147">
        <f t="shared" si="4"/>
        <v>1210078.2899999991</v>
      </c>
      <c r="M56" s="150">
        <f t="shared" si="5"/>
        <v>5.2868645725975512</v>
      </c>
      <c r="O56" s="81"/>
      <c r="CA56" s="146"/>
      <c r="CB56" s="146"/>
      <c r="CC56" s="145"/>
      <c r="CD56" s="145"/>
      <c r="CE56" s="145"/>
      <c r="CF56" s="142"/>
    </row>
    <row r="57" spans="1:84" ht="13.5" hidden="1" customHeight="1" thickBot="1">
      <c r="A57" s="80" t="s">
        <v>428</v>
      </c>
      <c r="B57" s="80">
        <v>432</v>
      </c>
      <c r="C57" s="97" t="s">
        <v>434</v>
      </c>
      <c r="D57" s="94"/>
      <c r="E57" s="165">
        <f t="shared" si="0"/>
        <v>0</v>
      </c>
      <c r="F57" s="159"/>
      <c r="G57" s="165">
        <f t="shared" si="0"/>
        <v>0</v>
      </c>
      <c r="H57" s="94">
        <f t="shared" si="1"/>
        <v>0</v>
      </c>
      <c r="I57" s="165" t="e">
        <f t="shared" si="2"/>
        <v>#DIV/0!</v>
      </c>
      <c r="J57" s="159"/>
      <c r="K57" s="190">
        <f t="shared" si="3"/>
        <v>0</v>
      </c>
      <c r="L57" s="94">
        <f t="shared" si="4"/>
        <v>0</v>
      </c>
      <c r="M57" s="165" t="e">
        <f t="shared" si="5"/>
        <v>#DIV/0!</v>
      </c>
      <c r="O57" s="81"/>
      <c r="CA57" s="146"/>
      <c r="CB57" s="146"/>
      <c r="CC57" s="145"/>
      <c r="CD57" s="145"/>
      <c r="CE57" s="145"/>
      <c r="CF57" s="142"/>
    </row>
    <row r="58" spans="1:84" ht="13.5" customHeight="1" thickTop="1" thickBot="1">
      <c r="B58" s="80">
        <v>44</v>
      </c>
      <c r="C58" s="158" t="str">
        <f>+'Cental Budget'!C71</f>
        <v>Capital budget</v>
      </c>
      <c r="D58" s="157">
        <v>30858643.779999997</v>
      </c>
      <c r="E58" s="167">
        <f t="shared" si="0"/>
        <v>0.90942585721534175</v>
      </c>
      <c r="F58" s="277">
        <v>24500000</v>
      </c>
      <c r="G58" s="167">
        <f t="shared" si="0"/>
        <v>0.72203216902929857</v>
      </c>
      <c r="H58" s="157">
        <f t="shared" si="1"/>
        <v>6358643.7799999975</v>
      </c>
      <c r="I58" s="167">
        <f t="shared" si="2"/>
        <v>25.95364808163265</v>
      </c>
      <c r="J58" s="277">
        <v>24192356.719999999</v>
      </c>
      <c r="K58" s="278">
        <f t="shared" si="3"/>
        <v>0.72521228813813354</v>
      </c>
      <c r="L58" s="157">
        <f t="shared" si="4"/>
        <v>6666287.0599999987</v>
      </c>
      <c r="M58" s="167">
        <f t="shared" si="5"/>
        <v>27.555343768922398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Budget'!C72</f>
        <v>Lending and borrowing</v>
      </c>
      <c r="D59" s="275">
        <v>766735.94</v>
      </c>
      <c r="E59" s="276">
        <f t="shared" si="0"/>
        <v>2.2596245462486453E-2</v>
      </c>
      <c r="F59" s="275">
        <v>1544486.263705</v>
      </c>
      <c r="G59" s="276">
        <f t="shared" si="0"/>
        <v>4.5517092531382794E-2</v>
      </c>
      <c r="H59" s="236">
        <f t="shared" si="1"/>
        <v>-777750.3237050001</v>
      </c>
      <c r="I59" s="237">
        <f t="shared" si="2"/>
        <v>-50.356571112473937</v>
      </c>
      <c r="J59" s="275">
        <v>918812.62</v>
      </c>
      <c r="K59" s="276">
        <f t="shared" si="3"/>
        <v>2.7543170358823706E-2</v>
      </c>
      <c r="L59" s="236">
        <f t="shared" si="4"/>
        <v>-152076.68000000005</v>
      </c>
      <c r="M59" s="237">
        <f t="shared" si="5"/>
        <v>-16.551435699696853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Budget'!C73</f>
        <v>Reseerve</v>
      </c>
      <c r="D60" s="279">
        <v>1753212.2499999998</v>
      </c>
      <c r="E60" s="280">
        <f t="shared" si="0"/>
        <v>5.1668393617805584E-2</v>
      </c>
      <c r="F60" s="279">
        <v>2698151.3301049997</v>
      </c>
      <c r="G60" s="280">
        <f t="shared" si="0"/>
        <v>7.9516410499795923E-2</v>
      </c>
      <c r="H60" s="238">
        <f t="shared" si="1"/>
        <v>-944939.08010499994</v>
      </c>
      <c r="I60" s="239">
        <f t="shared" si="2"/>
        <v>-35.021722820425623</v>
      </c>
      <c r="J60" s="279">
        <v>1935891.0899999999</v>
      </c>
      <c r="K60" s="280">
        <f t="shared" si="3"/>
        <v>5.8032048023022274E-2</v>
      </c>
      <c r="L60" s="238">
        <f t="shared" si="4"/>
        <v>-182678.84000000008</v>
      </c>
      <c r="M60" s="239">
        <f t="shared" si="5"/>
        <v>-9.4364213433101725</v>
      </c>
      <c r="O60" s="81"/>
      <c r="CA60" s="146"/>
      <c r="CB60" s="146"/>
      <c r="CC60" s="145"/>
      <c r="CD60" s="145"/>
      <c r="CE60" s="145"/>
      <c r="CF60" s="142"/>
    </row>
    <row r="61" spans="1:84" ht="13.5" hidden="1" customHeight="1" thickTop="1" thickBot="1">
      <c r="B61" s="80">
        <v>462</v>
      </c>
      <c r="C61" s="209" t="s">
        <v>113</v>
      </c>
      <c r="D61" s="281"/>
      <c r="E61" s="282">
        <f t="shared" si="0"/>
        <v>0</v>
      </c>
      <c r="F61" s="281"/>
      <c r="G61" s="282">
        <f t="shared" si="0"/>
        <v>0</v>
      </c>
      <c r="H61" s="240">
        <f t="shared" si="1"/>
        <v>0</v>
      </c>
      <c r="I61" s="241" t="e">
        <f t="shared" si="2"/>
        <v>#DIV/0!</v>
      </c>
      <c r="J61" s="281"/>
      <c r="K61" s="282">
        <f t="shared" si="3"/>
        <v>0</v>
      </c>
      <c r="L61" s="240">
        <f t="shared" si="4"/>
        <v>0</v>
      </c>
      <c r="M61" s="241" t="e">
        <f t="shared" si="5"/>
        <v>#DIV/0!</v>
      </c>
      <c r="O61" s="81"/>
      <c r="CA61" s="146"/>
      <c r="CB61" s="146"/>
      <c r="CC61" s="145"/>
      <c r="CD61" s="145"/>
      <c r="CE61" s="145"/>
      <c r="CF61" s="142"/>
    </row>
    <row r="62" spans="1:84" ht="13.5" hidden="1" customHeight="1" thickTop="1" thickBot="1">
      <c r="B62" s="80">
        <v>990</v>
      </c>
      <c r="C62" s="210" t="s">
        <v>152</v>
      </c>
      <c r="D62" s="283"/>
      <c r="E62" s="284">
        <f t="shared" si="0"/>
        <v>0</v>
      </c>
      <c r="F62" s="283"/>
      <c r="G62" s="284">
        <f t="shared" si="0"/>
        <v>0</v>
      </c>
      <c r="H62" s="242">
        <f t="shared" si="1"/>
        <v>0</v>
      </c>
      <c r="I62" s="243" t="e">
        <f t="shared" si="2"/>
        <v>#DIV/0!</v>
      </c>
      <c r="J62" s="283"/>
      <c r="K62" s="284">
        <f t="shared" si="3"/>
        <v>0</v>
      </c>
      <c r="L62" s="242">
        <f t="shared" si="4"/>
        <v>0</v>
      </c>
      <c r="M62" s="243" t="e">
        <f t="shared" si="5"/>
        <v>#DIV/0!</v>
      </c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8" t="str">
        <f>+'Cental Budget'!C76</f>
        <v>Surplus / deficit</v>
      </c>
      <c r="D63" s="157">
        <f>+D16-D40+D75</f>
        <v>33819502.00999999</v>
      </c>
      <c r="E63" s="167">
        <f t="shared" si="0"/>
        <v>0.996684424153919</v>
      </c>
      <c r="F63" s="157">
        <f>+F16-F40+F75</f>
        <v>32492356.444397137</v>
      </c>
      <c r="G63" s="167">
        <f t="shared" si="0"/>
        <v>0.95757251430290502</v>
      </c>
      <c r="H63" s="157">
        <f t="shared" si="1"/>
        <v>1327145.5656028539</v>
      </c>
      <c r="I63" s="167">
        <f t="shared" si="2"/>
        <v>4.0844854323629676</v>
      </c>
      <c r="J63" s="277">
        <f>+J16-J40+J75</f>
        <v>31785169.209999979</v>
      </c>
      <c r="K63" s="278">
        <f t="shared" si="3"/>
        <v>0.95282140381905867</v>
      </c>
      <c r="L63" s="157">
        <f t="shared" si="4"/>
        <v>2034332.8000000119</v>
      </c>
      <c r="M63" s="167">
        <f t="shared" si="5"/>
        <v>6.4002578893303195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8" t="str">
        <f>+'Cental Budget'!C77</f>
        <v>Primary deficit</v>
      </c>
      <c r="D64" s="157">
        <f>+D63+D48</f>
        <v>36360404.50999999</v>
      </c>
      <c r="E64" s="167">
        <f t="shared" si="0"/>
        <v>1.0715666014342036</v>
      </c>
      <c r="F64" s="157">
        <f>+F63+F48</f>
        <v>34835460.886397138</v>
      </c>
      <c r="G64" s="167">
        <f t="shared" si="0"/>
        <v>1.0266254442016578</v>
      </c>
      <c r="H64" s="157">
        <f t="shared" si="1"/>
        <v>1524943.6236028522</v>
      </c>
      <c r="I64" s="167">
        <f t="shared" si="2"/>
        <v>4.3775612114789908</v>
      </c>
      <c r="J64" s="277">
        <f>+J63+J48</f>
        <v>34109183.73999998</v>
      </c>
      <c r="K64" s="278">
        <f t="shared" si="3"/>
        <v>1.022488196288857</v>
      </c>
      <c r="L64" s="157">
        <f t="shared" si="4"/>
        <v>2251220.7700000107</v>
      </c>
      <c r="M64" s="167">
        <f t="shared" si="5"/>
        <v>6.6000429302563361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8" t="str">
        <f>+'Cental Budget'!C78</f>
        <v>Debt repayment</v>
      </c>
      <c r="D65" s="157">
        <f>+SUM(D66:D68)</f>
        <v>42790315.460000001</v>
      </c>
      <c r="E65" s="167">
        <f t="shared" si="0"/>
        <v>1.2610605830625197</v>
      </c>
      <c r="F65" s="157">
        <f>+SUM(F66:F68)</f>
        <v>39200000</v>
      </c>
      <c r="G65" s="167">
        <f t="shared" si="0"/>
        <v>1.1552514704468779</v>
      </c>
      <c r="H65" s="157">
        <f t="shared" si="1"/>
        <v>3590315.4600000009</v>
      </c>
      <c r="I65" s="167">
        <f t="shared" si="2"/>
        <v>9.1589680102040774</v>
      </c>
      <c r="J65" s="277">
        <f>+SUM(J66:J68)</f>
        <v>42397190.759999998</v>
      </c>
      <c r="K65" s="278">
        <f t="shared" si="3"/>
        <v>1.2709371012320514</v>
      </c>
      <c r="L65" s="157">
        <f t="shared" si="4"/>
        <v>393124.70000000298</v>
      </c>
      <c r="M65" s="167">
        <f t="shared" si="5"/>
        <v>0.92724233127941602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Budget'!C79</f>
        <v>Debt repayment to residents</v>
      </c>
      <c r="D66" s="285">
        <v>10507765.09</v>
      </c>
      <c r="E66" s="286">
        <f t="shared" si="0"/>
        <v>0.30967120079930788</v>
      </c>
      <c r="F66" s="285">
        <v>3600000</v>
      </c>
      <c r="G66" s="286">
        <f t="shared" si="0"/>
        <v>0.10609452279614184</v>
      </c>
      <c r="H66" s="244">
        <f t="shared" si="1"/>
        <v>6907765.0899999999</v>
      </c>
      <c r="I66" s="245">
        <f t="shared" si="2"/>
        <v>191.88236361111109</v>
      </c>
      <c r="J66" s="285">
        <v>8487926.9499999993</v>
      </c>
      <c r="K66" s="286">
        <f t="shared" si="3"/>
        <v>0.25444188824605052</v>
      </c>
      <c r="L66" s="244">
        <f t="shared" si="4"/>
        <v>2019838.1400000006</v>
      </c>
      <c r="M66" s="245">
        <f t="shared" si="5"/>
        <v>23.796601359770193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Budget'!C80</f>
        <v>Debt repayment to non-residents</v>
      </c>
      <c r="D67" s="287">
        <v>1968140.36</v>
      </c>
      <c r="E67" s="150">
        <f t="shared" si="0"/>
        <v>5.8002475636118551E-2</v>
      </c>
      <c r="F67" s="287">
        <v>3600000</v>
      </c>
      <c r="G67" s="150">
        <f t="shared" si="0"/>
        <v>0.10609452279614184</v>
      </c>
      <c r="H67" s="230">
        <f t="shared" si="1"/>
        <v>-1631859.64</v>
      </c>
      <c r="I67" s="231">
        <f t="shared" si="2"/>
        <v>-45.329434444444438</v>
      </c>
      <c r="J67" s="287">
        <v>1678499.04</v>
      </c>
      <c r="K67" s="150">
        <f t="shared" si="3"/>
        <v>5.0316227704667406E-2</v>
      </c>
      <c r="L67" s="230">
        <f t="shared" si="4"/>
        <v>289641.32000000007</v>
      </c>
      <c r="M67" s="231">
        <f t="shared" si="5"/>
        <v>17.25597174008513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>
        <v>4630</v>
      </c>
      <c r="C68" s="97" t="str">
        <f>+'Cental Budget'!C81</f>
        <v>Repayment of liabilities</v>
      </c>
      <c r="D68" s="287">
        <v>30314410.010000002</v>
      </c>
      <c r="E68" s="150">
        <f t="shared" si="0"/>
        <v>0.89338690662709319</v>
      </c>
      <c r="F68" s="287">
        <v>32000000</v>
      </c>
      <c r="G68" s="150">
        <f t="shared" si="0"/>
        <v>0.94306242485459413</v>
      </c>
      <c r="H68" s="230">
        <f t="shared" si="1"/>
        <v>-1685589.9899999984</v>
      </c>
      <c r="I68" s="231">
        <f t="shared" si="2"/>
        <v>-5.2674687187499956</v>
      </c>
      <c r="J68" s="287">
        <v>32230764.77</v>
      </c>
      <c r="K68" s="150">
        <f t="shared" si="3"/>
        <v>0.96617898528133339</v>
      </c>
      <c r="L68" s="230">
        <f t="shared" si="4"/>
        <v>-1916354.7599999979</v>
      </c>
      <c r="M68" s="231">
        <f t="shared" si="5"/>
        <v>-5.9457315818448109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8" t="str">
        <f>+'Cental Budget'!C82</f>
        <v>Financing needs</v>
      </c>
      <c r="D69" s="157">
        <f>+D63-D65</f>
        <v>-8970813.4500000104</v>
      </c>
      <c r="E69" s="167">
        <f t="shared" si="0"/>
        <v>-0.26437615890860056</v>
      </c>
      <c r="F69" s="157">
        <f>+F63-F65</f>
        <v>-6707643.5556028634</v>
      </c>
      <c r="G69" s="167">
        <f t="shared" si="0"/>
        <v>-0.19767895614397271</v>
      </c>
      <c r="H69" s="157">
        <f t="shared" si="1"/>
        <v>-2263169.894397147</v>
      </c>
      <c r="I69" s="167">
        <f t="shared" si="2"/>
        <v>33.740163376849864</v>
      </c>
      <c r="J69" s="277">
        <f>+J63-J65</f>
        <v>-10612021.550000019</v>
      </c>
      <c r="K69" s="278">
        <f t="shared" si="3"/>
        <v>-0.31811569741299256</v>
      </c>
      <c r="L69" s="157">
        <f t="shared" si="4"/>
        <v>1641208.1000000089</v>
      </c>
      <c r="M69" s="167">
        <f t="shared" si="5"/>
        <v>-15.465555665027892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8" t="str">
        <f>+'Cental Budget'!C83</f>
        <v>Financing</v>
      </c>
      <c r="D70" s="157">
        <f>+SUM(D71:D74)</f>
        <v>8970813.4500000104</v>
      </c>
      <c r="E70" s="167">
        <f t="shared" si="0"/>
        <v>0.26437615890860056</v>
      </c>
      <c r="F70" s="157">
        <f>+SUM(F71:F74)</f>
        <v>6707643.5556028634</v>
      </c>
      <c r="G70" s="167">
        <f t="shared" si="0"/>
        <v>0.19767895614397271</v>
      </c>
      <c r="H70" s="157">
        <f t="shared" si="1"/>
        <v>2263169.894397147</v>
      </c>
      <c r="I70" s="167">
        <f t="shared" si="2"/>
        <v>33.740163376849864</v>
      </c>
      <c r="J70" s="277">
        <f>+SUM(J71:J74)</f>
        <v>10612021.550000019</v>
      </c>
      <c r="K70" s="278">
        <f t="shared" si="3"/>
        <v>0.31811569741299256</v>
      </c>
      <c r="L70" s="157">
        <f t="shared" si="4"/>
        <v>-1641208.1000000089</v>
      </c>
      <c r="M70" s="167">
        <f t="shared" si="5"/>
        <v>-15.465555665027892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Budget'!C84</f>
        <v>Domestic borrowing</v>
      </c>
      <c r="D71" s="285">
        <v>1492833.1199999999</v>
      </c>
      <c r="E71" s="286">
        <f t="shared" si="0"/>
        <v>4.3994838189076541E-2</v>
      </c>
      <c r="F71" s="285">
        <v>4800000</v>
      </c>
      <c r="G71" s="286">
        <f t="shared" si="0"/>
        <v>0.14145936372818912</v>
      </c>
      <c r="H71" s="244">
        <f t="shared" si="1"/>
        <v>-3307166.88</v>
      </c>
      <c r="I71" s="245">
        <f t="shared" si="2"/>
        <v>-68.89931</v>
      </c>
      <c r="J71" s="285">
        <v>4231557.21</v>
      </c>
      <c r="K71" s="286">
        <f t="shared" si="3"/>
        <v>0.1268490425372463</v>
      </c>
      <c r="L71" s="244">
        <f t="shared" si="4"/>
        <v>-2738724.09</v>
      </c>
      <c r="M71" s="245">
        <f t="shared" si="5"/>
        <v>-64.721424149196366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Budget'!C85</f>
        <v>Foreign borrowing</v>
      </c>
      <c r="D72" s="287">
        <v>1523908.87</v>
      </c>
      <c r="E72" s="150">
        <f t="shared" si="0"/>
        <v>4.4910662318738269E-2</v>
      </c>
      <c r="F72" s="287">
        <v>0</v>
      </c>
      <c r="G72" s="150">
        <f t="shared" si="0"/>
        <v>0</v>
      </c>
      <c r="H72" s="230">
        <f t="shared" si="1"/>
        <v>1523908.87</v>
      </c>
      <c r="I72" s="254" t="s">
        <v>451</v>
      </c>
      <c r="J72" s="287">
        <v>923221.38</v>
      </c>
      <c r="K72" s="150">
        <f t="shared" si="3"/>
        <v>2.7675331394825982E-2</v>
      </c>
      <c r="L72" s="230">
        <f t="shared" si="4"/>
        <v>600687.49000000011</v>
      </c>
      <c r="M72" s="254" t="s">
        <v>451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Budget'!C86</f>
        <v>Privatization</v>
      </c>
      <c r="D73" s="287">
        <v>4128220.93</v>
      </c>
      <c r="E73" s="150">
        <f t="shared" si="0"/>
        <v>0.12166156376816524</v>
      </c>
      <c r="F73" s="287">
        <v>1600000</v>
      </c>
      <c r="G73" s="150">
        <f t="shared" si="0"/>
        <v>4.7153121242729711E-2</v>
      </c>
      <c r="H73" s="230">
        <f t="shared" si="1"/>
        <v>2528220.9300000002</v>
      </c>
      <c r="I73" s="231">
        <f t="shared" si="2"/>
        <v>158.01380812500003</v>
      </c>
      <c r="J73" s="287">
        <v>7454434.0899999999</v>
      </c>
      <c r="K73" s="150">
        <f t="shared" si="3"/>
        <v>0.22346095776252287</v>
      </c>
      <c r="L73" s="230">
        <f t="shared" si="4"/>
        <v>-3326213.1599999997</v>
      </c>
      <c r="M73" s="231">
        <f t="shared" si="5"/>
        <v>-44.620599227808043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52" t="str">
        <f>+'Cental Budget'!C87</f>
        <v>Increase / decrease of depostits</v>
      </c>
      <c r="D74" s="153">
        <f>-D69-SUM(D71:D73)</f>
        <v>1825850.5300000105</v>
      </c>
      <c r="E74" s="168">
        <f t="shared" si="0"/>
        <v>5.3809094632620486E-2</v>
      </c>
      <c r="F74" s="172">
        <f>-F69-SUM(F71:F73)</f>
        <v>307643.55560286343</v>
      </c>
      <c r="G74" s="168">
        <f t="shared" si="0"/>
        <v>9.0664711730539232E-3</v>
      </c>
      <c r="H74" s="246">
        <f t="shared" si="1"/>
        <v>1518206.9743971471</v>
      </c>
      <c r="I74" s="227">
        <f t="shared" si="2"/>
        <v>493.49545821691061</v>
      </c>
      <c r="J74" s="172">
        <f>-J69-SUM(J71:J73)</f>
        <v>-1997191.1299999803</v>
      </c>
      <c r="K74" s="288">
        <f t="shared" si="3"/>
        <v>-5.9869634281602579E-2</v>
      </c>
      <c r="L74" s="246">
        <f t="shared" si="4"/>
        <v>3823041.6599999908</v>
      </c>
      <c r="M74" s="227">
        <f t="shared" si="5"/>
        <v>-191.42092124152526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8" t="s">
        <v>485</v>
      </c>
      <c r="D75" s="277">
        <v>1273362.6600000001</v>
      </c>
      <c r="E75" s="167">
        <f t="shared" si="0"/>
        <v>3.7526889933090501E-2</v>
      </c>
      <c r="F75" s="277">
        <v>1200000</v>
      </c>
      <c r="G75" s="167">
        <f t="shared" si="0"/>
        <v>3.5364840932047281E-2</v>
      </c>
      <c r="H75" s="157">
        <f t="shared" si="1"/>
        <v>73362.660000000149</v>
      </c>
      <c r="I75" s="167">
        <f t="shared" si="2"/>
        <v>6.1135550000000194</v>
      </c>
      <c r="J75" s="277">
        <v>635497.91999999993</v>
      </c>
      <c r="K75" s="278">
        <f t="shared" si="3"/>
        <v>1.9050268892952422E-2</v>
      </c>
      <c r="L75" s="157">
        <f t="shared" si="4"/>
        <v>637864.74000000022</v>
      </c>
      <c r="M75" s="167">
        <f t="shared" si="5"/>
        <v>100.37243552268436</v>
      </c>
      <c r="O75" s="81"/>
      <c r="P75" s="261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0">
    <mergeCell ref="L14:M14"/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CI91"/>
  <sheetViews>
    <sheetView zoomScale="90" zoomScaleNormal="90" workbookViewId="0">
      <selection activeCell="C25" sqref="C25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9.42578125" style="80" customWidth="1"/>
    <col min="14" max="14" width="15" style="80" customWidth="1"/>
    <col min="15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77" t="str">
        <f>IF(MasterSheet!$A$1=1,MasterSheet!B67,MasterSheet!B66)</f>
        <v>BDP (u mil. €)</v>
      </c>
      <c r="D11" s="316">
        <f>+'Cental Budget'!D11:G11</f>
        <v>3393200615</v>
      </c>
      <c r="E11" s="317"/>
      <c r="F11" s="317"/>
      <c r="G11" s="318"/>
      <c r="H11" s="306"/>
      <c r="I11" s="307"/>
      <c r="J11" s="314">
        <f>+'Cental Budget'!J11:K11</f>
        <v>3335900000</v>
      </c>
      <c r="K11" s="315"/>
      <c r="L11" s="306"/>
      <c r="M11" s="310"/>
      <c r="N11" s="223"/>
      <c r="O11" s="81"/>
      <c r="P11" s="255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85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5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17.25" customHeight="1" thickBot="1">
      <c r="B13" s="85"/>
      <c r="C13" s="1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19" t="s">
        <v>235</v>
      </c>
      <c r="D14" s="321" t="s">
        <v>446</v>
      </c>
      <c r="E14" s="322"/>
      <c r="F14" s="321" t="s">
        <v>448</v>
      </c>
      <c r="G14" s="322"/>
      <c r="H14" s="321" t="str">
        <f>+'Cental Budget'!H14:I14</f>
        <v>Odstupanje</v>
      </c>
      <c r="I14" s="322"/>
      <c r="J14" s="321" t="s">
        <v>449</v>
      </c>
      <c r="K14" s="322"/>
      <c r="L14" s="321" t="e">
        <f>+'Cental Budget'!H14:I14</f>
        <v>#VALUE!</v>
      </c>
      <c r="M14" s="322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20" t="str">
        <f>IF(MasterSheet!$A$1=1,MasterSheet!B71,MasterSheet!B70)</f>
        <v>Budžet Crne Gore</v>
      </c>
      <c r="D15" s="178" t="str">
        <f>IF(MasterSheet!$A$1=1,MasterSheet!C71,MasterSheet!C70)</f>
        <v>mil. €</v>
      </c>
      <c r="E15" s="179" t="str">
        <f>IF(MasterSheet!$A$1=1,MasterSheet!D71,MasterSheet!D70)</f>
        <v>% BDP</v>
      </c>
      <c r="F15" s="180" t="str">
        <f>IF(MasterSheet!$A$1=1,MasterSheet!E71,MasterSheet!E70)</f>
        <v>mil. €</v>
      </c>
      <c r="G15" s="181" t="str">
        <f>IF(MasterSheet!$A$1=1,MasterSheet!F71,MasterSheet!F70)</f>
        <v>% BDP</v>
      </c>
      <c r="H15" s="182" t="str">
        <f>IF(MasterSheet!$A$1=1,MasterSheet!G71,MasterSheet!G70)</f>
        <v>mil. €</v>
      </c>
      <c r="I15" s="181" t="str">
        <f>IF(MasterSheet!$A$1=1,MasterSheet!H71,MasterSheet!H70)</f>
        <v>% BDP</v>
      </c>
      <c r="J15" s="178" t="str">
        <f>IF(MasterSheet!$A$1=1,MasterSheet!I71,MasterSheet!I70)</f>
        <v>mil. €</v>
      </c>
      <c r="K15" s="180" t="str">
        <f>IF(MasterSheet!$A$1=1,MasterSheet!J71,MasterSheet!J70)</f>
        <v>% BDP</v>
      </c>
      <c r="L15" s="178" t="str">
        <f>IF(MasterSheet!$A$1=1,MasterSheet!K71,MasterSheet!K70)</f>
        <v>mil. €</v>
      </c>
      <c r="M15" s="179" t="str">
        <f>IF(MasterSheet!$A$1=1,MasterSheet!L71,MasterSheet!L70)</f>
        <v>% BDP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89" t="str">
        <f>IF(MasterSheet!$A$1=1,MasterSheet!C72,MasterSheet!B72)</f>
        <v>Izvorni prihodi</v>
      </c>
      <c r="D16" s="187">
        <f>D17+D26+D31+D32+D33+D34+D35</f>
        <v>1072365434.9100001</v>
      </c>
      <c r="E16" s="184">
        <f t="shared" ref="E16:E74" si="0">D16/D$11*100</f>
        <v>31.603360855514879</v>
      </c>
      <c r="F16" s="187">
        <f>F17+F26+F31+F32+F33+F34+F35</f>
        <v>1043446940.602332</v>
      </c>
      <c r="G16" s="184">
        <f>F16/D$11*100</f>
        <v>30.751112562860715</v>
      </c>
      <c r="H16" s="187">
        <f>+D16-F16</f>
        <v>28918494.30766809</v>
      </c>
      <c r="I16" s="184">
        <f>+D16/F16*100-100</f>
        <v>2.7714388899328952</v>
      </c>
      <c r="J16" s="187">
        <f>J17+J26+J31+J32+J33+J34+J35</f>
        <v>1008009638.9999999</v>
      </c>
      <c r="K16" s="184">
        <f t="shared" ref="K16:K74" si="1">J16/J$11*100</f>
        <v>30.217022063011477</v>
      </c>
      <c r="L16" s="187">
        <f>+D16-J16</f>
        <v>64355795.910000205</v>
      </c>
      <c r="M16" s="184">
        <f>+D16/J16*100-100</f>
        <v>6.384442511268503</v>
      </c>
      <c r="O16" s="99"/>
      <c r="P16" s="81"/>
      <c r="Q16" s="81"/>
      <c r="R16" s="81" t="s">
        <v>452</v>
      </c>
      <c r="S16" s="81" t="s">
        <v>453</v>
      </c>
      <c r="T16" s="81" t="s">
        <v>454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9">
        <f t="shared" ref="D17" si="2">SUM(D18:D25)</f>
        <v>684287895.88999999</v>
      </c>
      <c r="E17" s="95">
        <f t="shared" si="0"/>
        <v>20.166443824895982</v>
      </c>
      <c r="F17" s="159">
        <f t="shared" ref="F17" si="3">SUM(F18:F25)</f>
        <v>668655077.45442355</v>
      </c>
      <c r="G17" s="95">
        <f t="shared" ref="G17:G74" si="4">F17/D$11*100</f>
        <v>19.705733710484534</v>
      </c>
      <c r="H17" s="247">
        <f t="shared" ref="H17:H74" si="5">+D17-F17</f>
        <v>15632818.435576439</v>
      </c>
      <c r="I17" s="251">
        <f t="shared" ref="I17:I74" si="6">+D17/F17*100-100</f>
        <v>2.337949559149493</v>
      </c>
      <c r="J17" s="159">
        <f t="shared" ref="J17" si="7">SUM(J18:J25)</f>
        <v>633614535.36000001</v>
      </c>
      <c r="K17" s="95">
        <f t="shared" si="1"/>
        <v>18.993810826463623</v>
      </c>
      <c r="L17" s="247">
        <f t="shared" ref="L17:L74" si="8">+D17-J17</f>
        <v>50673360.529999971</v>
      </c>
      <c r="M17" s="248">
        <f t="shared" ref="M17:M74" si="9">+D17/J17*100-100</f>
        <v>7.9975060075301059</v>
      </c>
      <c r="O17" s="99"/>
      <c r="P17" s="81"/>
      <c r="Q17" s="81" t="s">
        <v>446</v>
      </c>
      <c r="R17" s="255">
        <f>+D16</f>
        <v>1072365434.9100001</v>
      </c>
      <c r="S17" s="255">
        <f>+D36</f>
        <v>1061859086.2992306</v>
      </c>
      <c r="T17" s="255">
        <f>+D63</f>
        <v>10506348.61076951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61">
        <f>+IF(ISNUMBER(VLOOKUP($B18,'Cental Budget'!$B$16:$K$90,'Public Expenditure'!D$1,FALSE)),VLOOKUP($B18,'Cental Budget'!$B$16:$K$90,'Public Expenditure'!D$1,FALSE),0)+IF(ISNUMBER(VLOOKUP('Public Expenditure'!$B18,'Local Government'!$B$16:$O$75,'Public Expenditure'!D$1,FALSE)),VLOOKUP('Public Expenditure'!$B18,'Local Government'!$B$16:$O$75,'Public Expenditure'!D$1,FALSE),0)</f>
        <v>93574913.830000013</v>
      </c>
      <c r="E18" s="98">
        <f t="shared" si="0"/>
        <v>2.7577182856899847</v>
      </c>
      <c r="F18" s="161">
        <f>+IF(ISNUMBER(VLOOKUP($B18,'Cental Budget'!$B$16:$K$90,'Public Expenditure'!F$1,FALSE)),VLOOKUP($B18,'Cental Budget'!$B$16:$K$90,'Public Expenditure'!F$1,FALSE),0)+IF(ISNUMBER(VLOOKUP('Public Expenditure'!$B18,'Local Government'!$B$16:$O$75,'Public Expenditure'!F$1,FALSE)),VLOOKUP('Public Expenditure'!$B18,'Local Government'!$B$16:$O$75,'Public Expenditure'!F$1,FALSE),0)</f>
        <v>85866811.177480757</v>
      </c>
      <c r="G18" s="98">
        <f t="shared" si="4"/>
        <v>2.5305550988614551</v>
      </c>
      <c r="H18" s="249">
        <f t="shared" si="5"/>
        <v>7708102.6525192559</v>
      </c>
      <c r="I18" s="250">
        <f t="shared" si="6"/>
        <v>8.9768125155913197</v>
      </c>
      <c r="J18" s="161">
        <f>+IF(ISNUMBER(VLOOKUP($B18,'Cental Budget'!$B$16:$K$90,'Public Expenditure'!J$1,FALSE)),VLOOKUP($B18,'Cental Budget'!$B$16:$K$90,'Public Expenditure'!J$1,FALSE),0)+IF(ISNUMBER(VLOOKUP('Public Expenditure'!$B18,'Local Government'!$B$16:$O$75,'Public Expenditure'!J$1,FALSE)),VLOOKUP('Public Expenditure'!$B18,'Local Government'!$B$16:$O$75,'Public Expenditure'!J$1,FALSE),0)</f>
        <v>81469278.600000009</v>
      </c>
      <c r="K18" s="98">
        <f t="shared" si="1"/>
        <v>2.4421978656434549</v>
      </c>
      <c r="L18" s="249">
        <f t="shared" si="8"/>
        <v>12105635.230000004</v>
      </c>
      <c r="M18" s="250">
        <f t="shared" si="9"/>
        <v>14.859141308267326</v>
      </c>
      <c r="O18" s="99"/>
      <c r="P18" s="81"/>
      <c r="Q18" s="81" t="s">
        <v>448</v>
      </c>
      <c r="R18" s="255">
        <f>+F16</f>
        <v>1043446940.602332</v>
      </c>
      <c r="S18" s="255">
        <f>+F36</f>
        <v>1098076752.9989047</v>
      </c>
      <c r="T18" s="255">
        <f>+F63</f>
        <v>-54629812.396572709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61">
        <f>+IF(ISNUMBER(VLOOKUP($B19,'Cental Budget'!$B$16:$K$90,'Public Expenditure'!D$1,FALSE)),VLOOKUP($B19,'Cental Budget'!$B$16:$K$90,'Public Expenditure'!D$1,FALSE),0)+IF(ISNUMBER(VLOOKUP('Public Expenditure'!$B19,'Local Government'!$B$16:$O$75,'Public Expenditure'!D$1,FALSE)),VLOOKUP('Public Expenditure'!$B19,'Local Government'!$B$16:$O$75,'Public Expenditure'!D$1,FALSE),0)</f>
        <v>41275475.609999999</v>
      </c>
      <c r="E19" s="98">
        <f t="shared" si="0"/>
        <v>1.2164171911185393</v>
      </c>
      <c r="F19" s="161">
        <f>+IF(ISNUMBER(VLOOKUP($B19,'Cental Budget'!$B$16:$K$90,'Public Expenditure'!F$1,FALSE)),VLOOKUP($B19,'Cental Budget'!$B$16:$K$90,'Public Expenditure'!F$1,FALSE),0)+IF(ISNUMBER(VLOOKUP('Public Expenditure'!$B19,'Local Government'!$B$16:$O$75,'Public Expenditure'!F$1,FALSE)),VLOOKUP('Public Expenditure'!$B19,'Local Government'!$B$16:$O$75,'Public Expenditure'!F$1,FALSE),0)</f>
        <v>40612431.760872543</v>
      </c>
      <c r="G19" s="98">
        <f t="shared" si="4"/>
        <v>1.1968768242390686</v>
      </c>
      <c r="H19" s="249">
        <f t="shared" si="5"/>
        <v>663043.84912745655</v>
      </c>
      <c r="I19" s="250">
        <f t="shared" si="6"/>
        <v>1.6326130211347163</v>
      </c>
      <c r="J19" s="161">
        <f>+IF(ISNUMBER(VLOOKUP($B19,'Cental Budget'!$B$16:$K$90,'Public Expenditure'!J$1,FALSE)),VLOOKUP($B19,'Cental Budget'!$B$16:$K$90,'Public Expenditure'!J$1,FALSE),0)+IF(ISNUMBER(VLOOKUP('Public Expenditure'!$B19,'Local Government'!$B$16:$O$75,'Public Expenditure'!J$1,FALSE)),VLOOKUP('Public Expenditure'!$B19,'Local Government'!$B$16:$O$75,'Public Expenditure'!J$1,FALSE),0)</f>
        <v>37175665.120000005</v>
      </c>
      <c r="K19" s="98">
        <f t="shared" si="1"/>
        <v>1.1144118564705179</v>
      </c>
      <c r="L19" s="249">
        <f t="shared" si="8"/>
        <v>4099810.4899999946</v>
      </c>
      <c r="M19" s="250">
        <f t="shared" si="9"/>
        <v>11.028210192786432</v>
      </c>
      <c r="O19" s="81"/>
      <c r="P19" s="137"/>
      <c r="Q19" s="137">
        <v>2013</v>
      </c>
      <c r="R19" s="256">
        <f>+J16</f>
        <v>1008009638.9999999</v>
      </c>
      <c r="S19" s="257">
        <f>+J36</f>
        <v>1106159354.01</v>
      </c>
      <c r="T19" s="257">
        <f>+J63</f>
        <v>-98149715.01000011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61">
        <f>+IF(ISNUMBER(VLOOKUP($B20,'Cental Budget'!$B$16:$K$90,'Public Expenditure'!D$1,FALSE)),VLOOKUP($B20,'Cental Budget'!$B$16:$K$90,'Public Expenditure'!D$1,FALSE),0)+IF(ISNUMBER(VLOOKUP('Public Expenditure'!$B20,'Local Government'!$B$16:$O$75,'Public Expenditure'!D$1,FALSE)),VLOOKUP('Public Expenditure'!$B20,'Local Government'!$B$16:$O$75,'Public Expenditure'!D$1,FALSE),0)</f>
        <v>10924918.409999998</v>
      </c>
      <c r="E20" s="98">
        <f t="shared" si="0"/>
        <v>0.32196500147103735</v>
      </c>
      <c r="F20" s="161">
        <f>+IF(ISNUMBER(VLOOKUP($B20,'Cental Budget'!$B$16:$K$90,'Public Expenditure'!F$1,FALSE)),VLOOKUP($B20,'Cental Budget'!$B$16:$K$90,'Public Expenditure'!F$1,FALSE),0)+IF(ISNUMBER(VLOOKUP('Public Expenditure'!$B20,'Local Government'!$B$16:$O$75,'Public Expenditure'!F$1,FALSE)),VLOOKUP('Public Expenditure'!$B20,'Local Government'!$B$16:$O$75,'Public Expenditure'!F$1,FALSE),0)</f>
        <v>12491250.759411445</v>
      </c>
      <c r="G20" s="98">
        <f t="shared" si="4"/>
        <v>0.36812591345741708</v>
      </c>
      <c r="H20" s="249">
        <f t="shared" si="5"/>
        <v>-1566332.3494114466</v>
      </c>
      <c r="I20" s="250">
        <f t="shared" si="6"/>
        <v>-12.5394356384312</v>
      </c>
      <c r="J20" s="161">
        <f>+IF(ISNUMBER(VLOOKUP($B20,'Cental Budget'!$B$16:$K$90,'Public Expenditure'!J$1,FALSE)),VLOOKUP($B20,'Cental Budget'!$B$16:$K$90,'Public Expenditure'!J$1,FALSE),0)+IF(ISNUMBER(VLOOKUP('Public Expenditure'!$B20,'Local Government'!$B$16:$O$75,'Public Expenditure'!J$1,FALSE)),VLOOKUP('Public Expenditure'!$B20,'Local Government'!$B$16:$O$75,'Public Expenditure'!J$1,FALSE),0)</f>
        <v>9946795.6900000013</v>
      </c>
      <c r="K20" s="98">
        <f t="shared" si="1"/>
        <v>0.29817427650708961</v>
      </c>
      <c r="L20" s="249">
        <f t="shared" si="8"/>
        <v>978122.71999999695</v>
      </c>
      <c r="M20" s="250">
        <f t="shared" si="9"/>
        <v>9.8335459024593348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61">
        <f>+IF(ISNUMBER(VLOOKUP($B21,'Cental Budget'!$B$16:$K$90,'Public Expenditure'!D$1,FALSE)),VLOOKUP($B21,'Cental Budget'!$B$16:$K$90,'Public Expenditure'!D$1,FALSE),0)+IF(ISNUMBER(VLOOKUP('Public Expenditure'!$B21,'Local Government'!$B$16:$O$75,'Public Expenditure'!D$1,FALSE)),VLOOKUP('Public Expenditure'!$B21,'Local Government'!$B$16:$O$75,'Public Expenditure'!D$1,FALSE),0)</f>
        <v>351975206.79000002</v>
      </c>
      <c r="E21" s="98">
        <f t="shared" si="0"/>
        <v>10.372956000127331</v>
      </c>
      <c r="F21" s="161">
        <f>+IF(ISNUMBER(VLOOKUP($B21,'Cental Budget'!$B$16:$K$90,'Public Expenditure'!F$1,FALSE)),VLOOKUP($B21,'Cental Budget'!$B$16:$K$90,'Public Expenditure'!F$1,FALSE),0)+IF(ISNUMBER(VLOOKUP('Public Expenditure'!$B21,'Local Government'!$B$16:$O$75,'Public Expenditure'!F$1,FALSE)),VLOOKUP('Public Expenditure'!$B21,'Local Government'!$B$16:$O$75,'Public Expenditure'!F$1,FALSE),0)</f>
        <v>340384374.97280413</v>
      </c>
      <c r="G21" s="98">
        <f t="shared" si="4"/>
        <v>10.031366063889626</v>
      </c>
      <c r="H21" s="249">
        <f t="shared" si="5"/>
        <v>11590831.817195892</v>
      </c>
      <c r="I21" s="250">
        <f t="shared" si="6"/>
        <v>3.4052185321732225</v>
      </c>
      <c r="J21" s="161">
        <f>+IF(ISNUMBER(VLOOKUP($B21,'Cental Budget'!$B$16:$K$90,'Public Expenditure'!J$1,FALSE)),VLOOKUP($B21,'Cental Budget'!$B$16:$K$90,'Public Expenditure'!J$1,FALSE),0)+IF(ISNUMBER(VLOOKUP('Public Expenditure'!$B21,'Local Government'!$B$16:$O$75,'Public Expenditure'!J$1,FALSE)),VLOOKUP('Public Expenditure'!$B21,'Local Government'!$B$16:$O$75,'Public Expenditure'!J$1,FALSE),0)</f>
        <v>317837900.14999998</v>
      </c>
      <c r="K21" s="98">
        <f t="shared" si="1"/>
        <v>9.5278005980395086</v>
      </c>
      <c r="L21" s="249">
        <f t="shared" si="8"/>
        <v>34137306.640000045</v>
      </c>
      <c r="M21" s="250">
        <f t="shared" si="9"/>
        <v>10.740477024259647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61">
        <f>+IF(ISNUMBER(VLOOKUP($B22,'Cental Budget'!$B$16:$K$90,'Public Expenditure'!D$1,FALSE)),VLOOKUP($B22,'Cental Budget'!$B$16:$K$90,'Public Expenditure'!D$1,FALSE),0)+IF(ISNUMBER(VLOOKUP('Public Expenditure'!$B22,'Local Government'!$B$16:$O$75,'Public Expenditure'!D$1,FALSE)),VLOOKUP('Public Expenditure'!$B22,'Local Government'!$B$16:$O$75,'Public Expenditure'!D$1,FALSE),0)</f>
        <v>117793527.76000001</v>
      </c>
      <c r="E22" s="98">
        <f t="shared" si="0"/>
        <v>3.4714578100475797</v>
      </c>
      <c r="F22" s="161">
        <f>+IF(ISNUMBER(VLOOKUP($B22,'Cental Budget'!$B$16:$K$90,'Public Expenditure'!F$1,FALSE)),VLOOKUP($B22,'Cental Budget'!$B$16:$K$90,'Public Expenditure'!F$1,FALSE),0)+IF(ISNUMBER(VLOOKUP('Public Expenditure'!$B22,'Local Government'!$B$16:$O$75,'Public Expenditure'!F$1,FALSE)),VLOOKUP('Public Expenditure'!$B22,'Local Government'!$B$16:$O$75,'Public Expenditure'!F$1,FALSE),0)</f>
        <v>126451730.90557893</v>
      </c>
      <c r="G22" s="98">
        <f t="shared" si="4"/>
        <v>3.726621124214871</v>
      </c>
      <c r="H22" s="249">
        <f t="shared" si="5"/>
        <v>-8658203.1455789208</v>
      </c>
      <c r="I22" s="250">
        <f t="shared" si="6"/>
        <v>-6.8470420164070163</v>
      </c>
      <c r="J22" s="161">
        <f>+IF(ISNUMBER(VLOOKUP($B22,'Cental Budget'!$B$16:$K$90,'Public Expenditure'!J$1,FALSE)),VLOOKUP($B22,'Cental Budget'!$B$16:$K$90,'Public Expenditure'!J$1,FALSE),0)+IF(ISNUMBER(VLOOKUP('Public Expenditure'!$B22,'Local Government'!$B$16:$O$75,'Public Expenditure'!J$1,FALSE)),VLOOKUP('Public Expenditure'!$B22,'Local Government'!$B$16:$O$75,'Public Expenditure'!J$1,FALSE),0)</f>
        <v>120627783.31</v>
      </c>
      <c r="K22" s="98">
        <f t="shared" si="1"/>
        <v>3.6160491414610751</v>
      </c>
      <c r="L22" s="249">
        <f t="shared" si="8"/>
        <v>-2834255.549999997</v>
      </c>
      <c r="M22" s="250">
        <f t="shared" si="9"/>
        <v>-2.3495876921789005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61">
        <f>+IF(ISNUMBER(VLOOKUP($B23,'Cental Budget'!$B$16:$K$90,'Public Expenditure'!D$1,FALSE)),VLOOKUP($B23,'Cental Budget'!$B$16:$K$90,'Public Expenditure'!D$1,FALSE),0)+IF(ISNUMBER(VLOOKUP('Public Expenditure'!$B23,'Local Government'!$B$16:$O$75,'Public Expenditure'!D$1,FALSE)),VLOOKUP('Public Expenditure'!$B23,'Local Government'!$B$16:$O$75,'Public Expenditure'!D$1,FALSE),0)</f>
        <v>16878989.120000001</v>
      </c>
      <c r="E23" s="98">
        <f t="shared" si="0"/>
        <v>0.49743563776879729</v>
      </c>
      <c r="F23" s="161">
        <f>+IF(ISNUMBER(VLOOKUP($B23,'Cental Budget'!$B$16:$K$90,'Public Expenditure'!F$1,FALSE)),VLOOKUP($B23,'Cental Budget'!$B$16:$K$90,'Public Expenditure'!F$1,FALSE),0)+IF(ISNUMBER(VLOOKUP('Public Expenditure'!$B23,'Local Government'!$B$16:$O$75,'Public Expenditure'!F$1,FALSE)),VLOOKUP('Public Expenditure'!$B23,'Local Government'!$B$16:$O$75,'Public Expenditure'!F$1,FALSE),0)</f>
        <v>18186209.013354093</v>
      </c>
      <c r="G23" s="98">
        <f t="shared" si="4"/>
        <v>0.53596032409519334</v>
      </c>
      <c r="H23" s="249">
        <f t="shared" si="5"/>
        <v>-1307219.8933540918</v>
      </c>
      <c r="I23" s="250">
        <f t="shared" si="6"/>
        <v>-7.1879735484960179</v>
      </c>
      <c r="J23" s="161">
        <f>+IF(ISNUMBER(VLOOKUP($B23,'Cental Budget'!$B$16:$K$90,'Public Expenditure'!J$1,FALSE)),VLOOKUP($B23,'Cental Budget'!$B$16:$K$90,'Public Expenditure'!J$1,FALSE),0)+IF(ISNUMBER(VLOOKUP('Public Expenditure'!$B23,'Local Government'!$B$16:$O$75,'Public Expenditure'!J$1,FALSE)),VLOOKUP('Public Expenditure'!$B23,'Local Government'!$B$16:$O$75,'Public Expenditure'!J$1,FALSE),0)</f>
        <v>17062970.809999999</v>
      </c>
      <c r="K23" s="98">
        <f t="shared" si="1"/>
        <v>0.51149527293983632</v>
      </c>
      <c r="L23" s="249">
        <f t="shared" si="8"/>
        <v>-183981.68999999762</v>
      </c>
      <c r="M23" s="250">
        <f t="shared" si="9"/>
        <v>-1.0782512145667624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282</v>
      </c>
      <c r="D24" s="161">
        <f>+IF(ISNUMBER(VLOOKUP($B24,'Cental Budget'!$B$16:$K$90,'Public Expenditure'!D$1,FALSE)),VLOOKUP($B24,'Cental Budget'!$B$16:$K$90,'Public Expenditure'!D$1,FALSE),0)+IF(ISNUMBER(VLOOKUP('Public Expenditure'!$B24,'Local Government'!$B$16:$O$75,'Public Expenditure'!D$1,FALSE)),VLOOKUP('Public Expenditure'!$B24,'Local Government'!$B$16:$O$75,'Public Expenditure'!D$1,FALSE),0)</f>
        <v>47444003.510000005</v>
      </c>
      <c r="E24" s="98">
        <f t="shared" si="0"/>
        <v>1.3982080310922025</v>
      </c>
      <c r="F24" s="161">
        <f>+IF(ISNUMBER(VLOOKUP($B24,'Cental Budget'!$B$16:$K$90,'Public Expenditure'!F$1,FALSE)),VLOOKUP($B24,'Cental Budget'!$B$16:$K$90,'Public Expenditure'!F$1,FALSE),0)+IF(ISNUMBER(VLOOKUP('Public Expenditure'!$B24,'Local Government'!$B$16:$O$75,'Public Expenditure'!F$1,FALSE)),VLOOKUP('Public Expenditure'!$B24,'Local Government'!$B$16:$O$75,'Public Expenditure'!F$1,FALSE),0)</f>
        <v>40800000</v>
      </c>
      <c r="G24" s="98">
        <f t="shared" si="4"/>
        <v>1.2024045916896076</v>
      </c>
      <c r="H24" s="249">
        <f t="shared" si="5"/>
        <v>6644003.5100000054</v>
      </c>
      <c r="I24" s="250">
        <f t="shared" si="6"/>
        <v>16.284322328431372</v>
      </c>
      <c r="J24" s="161">
        <f>+IF(ISNUMBER(VLOOKUP($B24,'Cental Budget'!$B$16:$K$90,'Public Expenditure'!J$1,FALSE)),VLOOKUP($B24,'Cental Budget'!$B$16:$K$90,'Public Expenditure'!J$1,FALSE),0)+IF(ISNUMBER(VLOOKUP('Public Expenditure'!$B24,'Local Government'!$B$16:$O$75,'Public Expenditure'!J$1,FALSE)),VLOOKUP('Public Expenditure'!$B24,'Local Government'!$B$16:$O$75,'Public Expenditure'!J$1,FALSE),0)</f>
        <v>45628290.210000001</v>
      </c>
      <c r="K24" s="98">
        <f t="shared" si="1"/>
        <v>1.3677955037621032</v>
      </c>
      <c r="L24" s="249">
        <f t="shared" si="8"/>
        <v>1815713.3000000045</v>
      </c>
      <c r="M24" s="250">
        <f t="shared" si="9"/>
        <v>3.9793586208103591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61">
        <f>+IF(ISNUMBER(VLOOKUP($B25,'Cental Budget'!$B$16:$K$90,'Public Expenditure'!D$1,FALSE)),VLOOKUP($B25,'Cental Budget'!$B$16:$K$90,'Public Expenditure'!D$1,FALSE),0)+IF(ISNUMBER(VLOOKUP('Public Expenditure'!$B25,'Local Government'!$B$16:$O$75,'Public Expenditure'!D$1,FALSE)),VLOOKUP('Public Expenditure'!$B25,'Local Government'!$B$16:$O$75,'Public Expenditure'!D$1,FALSE),0)</f>
        <v>4420860.8600000003</v>
      </c>
      <c r="E25" s="98">
        <f t="shared" si="0"/>
        <v>0.13028586758051147</v>
      </c>
      <c r="F25" s="161">
        <f>+IF(ISNUMBER(VLOOKUP($B25,'Cental Budget'!$B$16:$K$90,'Public Expenditure'!F$1,FALSE)),VLOOKUP($B25,'Cental Budget'!$B$16:$K$90,'Public Expenditure'!F$1,FALSE),0)+IF(ISNUMBER(VLOOKUP('Public Expenditure'!$B25,'Local Government'!$B$16:$O$75,'Public Expenditure'!F$1,FALSE)),VLOOKUP('Public Expenditure'!$B25,'Local Government'!$B$16:$O$75,'Public Expenditure'!F$1,FALSE),0)</f>
        <v>3862268.8649217472</v>
      </c>
      <c r="G25" s="98">
        <f t="shared" si="4"/>
        <v>0.11382377003729699</v>
      </c>
      <c r="H25" s="249">
        <f t="shared" si="5"/>
        <v>558591.99507825309</v>
      </c>
      <c r="I25" s="250">
        <f t="shared" si="6"/>
        <v>14.462794140292729</v>
      </c>
      <c r="J25" s="161">
        <f>+IF(ISNUMBER(VLOOKUP($B25,'Cental Budget'!$B$16:$K$90,'Public Expenditure'!J$1,FALSE)),VLOOKUP($B25,'Cental Budget'!$B$16:$K$90,'Public Expenditure'!J$1,FALSE),0)+IF(ISNUMBER(VLOOKUP('Public Expenditure'!$B25,'Local Government'!$B$16:$O$75,'Public Expenditure'!J$1,FALSE)),VLOOKUP('Public Expenditure'!$B25,'Local Government'!$B$16:$O$75,'Public Expenditure'!J$1,FALSE),0)</f>
        <v>3865851.4699999997</v>
      </c>
      <c r="K25" s="98">
        <f t="shared" si="1"/>
        <v>0.11588631164003715</v>
      </c>
      <c r="L25" s="249">
        <f t="shared" si="8"/>
        <v>555009.3900000006</v>
      </c>
      <c r="M25" s="250">
        <f t="shared" si="9"/>
        <v>14.356717900494004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9">
        <f t="shared" ref="D26" si="10">SUM(D27:D30)</f>
        <v>284773148.30000007</v>
      </c>
      <c r="E26" s="96">
        <f t="shared" si="0"/>
        <v>8.3924642427898437</v>
      </c>
      <c r="F26" s="159">
        <f t="shared" ref="F26" si="11">SUM(F27:F30)</f>
        <v>263868473.2202594</v>
      </c>
      <c r="G26" s="96">
        <f t="shared" si="4"/>
        <v>7.7763888186805419</v>
      </c>
      <c r="H26" s="247">
        <f t="shared" si="5"/>
        <v>20904675.079740673</v>
      </c>
      <c r="I26" s="248">
        <f t="shared" si="6"/>
        <v>7.9223845215835524</v>
      </c>
      <c r="J26" s="159">
        <f t="shared" ref="J26" si="12">SUM(J27:J30)</f>
        <v>264287645.53</v>
      </c>
      <c r="K26" s="96">
        <f t="shared" si="1"/>
        <v>7.9225290185557116</v>
      </c>
      <c r="L26" s="247">
        <f t="shared" si="8"/>
        <v>20485502.77000007</v>
      </c>
      <c r="M26" s="248">
        <f t="shared" si="9"/>
        <v>7.7512146770684751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61">
        <f>+IF(ISNUMBER(VLOOKUP($B27,'Cental Budget'!$B$16:$K$90,'Public Expenditure'!D$1,FALSE)),VLOOKUP($B27,'Cental Budget'!$B$16:$K$90,'Public Expenditure'!D$1,FALSE),0)+IF(ISNUMBER(VLOOKUP('Public Expenditure'!$B27,'Local Government'!$B$16:$O$75,'Public Expenditure'!D$1,FALSE)),VLOOKUP('Public Expenditure'!$B27,'Local Government'!$B$16:$O$75,'Public Expenditure'!D$1,FALSE),0)</f>
        <v>173649012.32000002</v>
      </c>
      <c r="E27" s="98">
        <f t="shared" si="0"/>
        <v>5.1175580822532662</v>
      </c>
      <c r="F27" s="161">
        <f>+IF(ISNUMBER(VLOOKUP($B27,'Cental Budget'!$B$16:$K$90,'Public Expenditure'!F$1,FALSE)),VLOOKUP($B27,'Cental Budget'!$B$16:$K$90,'Public Expenditure'!F$1,FALSE),0)+IF(ISNUMBER(VLOOKUP('Public Expenditure'!$B27,'Local Government'!$B$16:$O$75,'Public Expenditure'!F$1,FALSE)),VLOOKUP('Public Expenditure'!$B27,'Local Government'!$B$16:$O$75,'Public Expenditure'!F$1,FALSE),0)</f>
        <v>155797555.75082597</v>
      </c>
      <c r="G27" s="98">
        <f t="shared" si="4"/>
        <v>4.5914631472747738</v>
      </c>
      <c r="H27" s="249">
        <f t="shared" si="5"/>
        <v>17851456.569174051</v>
      </c>
      <c r="I27" s="250">
        <f t="shared" si="6"/>
        <v>11.458110804847735</v>
      </c>
      <c r="J27" s="161">
        <f>+IF(ISNUMBER(VLOOKUP($B27,'Cental Budget'!$B$16:$K$90,'Public Expenditure'!J$1,FALSE)),VLOOKUP($B27,'Cental Budget'!$B$16:$K$90,'Public Expenditure'!J$1,FALSE),0)+IF(ISNUMBER(VLOOKUP('Public Expenditure'!$B27,'Local Government'!$B$16:$O$75,'Public Expenditure'!J$1,FALSE)),VLOOKUP('Public Expenditure'!$B27,'Local Government'!$B$16:$O$75,'Public Expenditure'!J$1,FALSE),0)</f>
        <v>160485071.53999999</v>
      </c>
      <c r="K27" s="98">
        <f t="shared" si="1"/>
        <v>4.8108477933990823</v>
      </c>
      <c r="L27" s="249">
        <f t="shared" si="8"/>
        <v>13163940.780000031</v>
      </c>
      <c r="M27" s="250">
        <f t="shared" si="9"/>
        <v>8.2025952032049219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61">
        <f>+IF(ISNUMBER(VLOOKUP($B28,'Cental Budget'!$B$16:$K$90,'Public Expenditure'!D$1,FALSE)),VLOOKUP($B28,'Cental Budget'!$B$16:$K$90,'Public Expenditure'!D$1,FALSE),0)+IF(ISNUMBER(VLOOKUP('Public Expenditure'!$B28,'Local Government'!$B$16:$O$75,'Public Expenditure'!D$1,FALSE)),VLOOKUP('Public Expenditure'!$B28,'Local Government'!$B$16:$O$75,'Public Expenditure'!D$1,FALSE),0)</f>
        <v>96553528.709999993</v>
      </c>
      <c r="E28" s="98">
        <f t="shared" si="0"/>
        <v>2.845500153547508</v>
      </c>
      <c r="F28" s="161">
        <f>+IF(ISNUMBER(VLOOKUP($B28,'Cental Budget'!$B$16:$K$90,'Public Expenditure'!F$1,FALSE)),VLOOKUP($B28,'Cental Budget'!$B$16:$K$90,'Public Expenditure'!F$1,FALSE),0)+IF(ISNUMBER(VLOOKUP('Public Expenditure'!$B28,'Local Government'!$B$16:$O$75,'Public Expenditure'!F$1,FALSE)),VLOOKUP('Public Expenditure'!$B28,'Local Government'!$B$16:$O$75,'Public Expenditure'!F$1,FALSE),0)</f>
        <v>91726161.937093228</v>
      </c>
      <c r="G28" s="98">
        <f t="shared" si="4"/>
        <v>2.7032342718437596</v>
      </c>
      <c r="H28" s="249">
        <f t="shared" si="5"/>
        <v>4827366.7729067653</v>
      </c>
      <c r="I28" s="250">
        <f t="shared" si="6"/>
        <v>5.2628025319727527</v>
      </c>
      <c r="J28" s="161">
        <f>+IF(ISNUMBER(VLOOKUP($B28,'Cental Budget'!$B$16:$K$90,'Public Expenditure'!J$1,FALSE)),VLOOKUP($B28,'Cental Budget'!$B$16:$K$90,'Public Expenditure'!J$1,FALSE),0)+IF(ISNUMBER(VLOOKUP('Public Expenditure'!$B28,'Local Government'!$B$16:$O$75,'Public Expenditure'!J$1,FALSE)),VLOOKUP('Public Expenditure'!$B28,'Local Government'!$B$16:$O$75,'Public Expenditure'!J$1,FALSE),0)</f>
        <v>89104436.180000007</v>
      </c>
      <c r="K28" s="98">
        <f t="shared" si="1"/>
        <v>2.6710763566054139</v>
      </c>
      <c r="L28" s="249">
        <f t="shared" si="8"/>
        <v>7449092.5299999863</v>
      </c>
      <c r="M28" s="250">
        <f t="shared" si="9"/>
        <v>8.3599569778457123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61">
        <f>+IF(ISNUMBER(VLOOKUP($B29,'Cental Budget'!$B$16:$K$90,'Public Expenditure'!D$1,FALSE)),VLOOKUP($B29,'Cental Budget'!$B$16:$K$90,'Public Expenditure'!D$1,FALSE),0)+IF(ISNUMBER(VLOOKUP('Public Expenditure'!$B29,'Local Government'!$B$16:$O$75,'Public Expenditure'!D$1,FALSE)),VLOOKUP('Public Expenditure'!$B29,'Local Government'!$B$16:$O$75,'Public Expenditure'!D$1,FALSE),0)</f>
        <v>7768242.3599999994</v>
      </c>
      <c r="E29" s="98">
        <f t="shared" si="0"/>
        <v>0.22893554615249292</v>
      </c>
      <c r="F29" s="161">
        <f>+IF(ISNUMBER(VLOOKUP($B29,'Cental Budget'!$B$16:$K$90,'Public Expenditure'!F$1,FALSE)),VLOOKUP($B29,'Cental Budget'!$B$16:$K$90,'Public Expenditure'!F$1,FALSE),0)+IF(ISNUMBER(VLOOKUP('Public Expenditure'!$B29,'Local Government'!$B$16:$O$75,'Public Expenditure'!F$1,FALSE)),VLOOKUP('Public Expenditure'!$B29,'Local Government'!$B$16:$O$75,'Public Expenditure'!F$1,FALSE),0)</f>
        <v>7656251.2490933668</v>
      </c>
      <c r="G29" s="98">
        <f t="shared" si="4"/>
        <v>0.22563508963331264</v>
      </c>
      <c r="H29" s="249">
        <f t="shared" si="5"/>
        <v>111991.11090663262</v>
      </c>
      <c r="I29" s="250">
        <f t="shared" si="6"/>
        <v>1.4627408017715595</v>
      </c>
      <c r="J29" s="161">
        <f>+IF(ISNUMBER(VLOOKUP($B29,'Cental Budget'!$B$16:$K$90,'Public Expenditure'!J$1,FALSE)),VLOOKUP($B29,'Cental Budget'!$B$16:$K$90,'Public Expenditure'!J$1,FALSE),0)+IF(ISNUMBER(VLOOKUP('Public Expenditure'!$B29,'Local Government'!$B$16:$O$75,'Public Expenditure'!J$1,FALSE)),VLOOKUP('Public Expenditure'!$B29,'Local Government'!$B$16:$O$75,'Public Expenditure'!J$1,FALSE),0)</f>
        <v>7097920.7799999993</v>
      </c>
      <c r="K29" s="98">
        <f t="shared" si="1"/>
        <v>0.21277378758356064</v>
      </c>
      <c r="L29" s="249">
        <f t="shared" si="8"/>
        <v>670321.58000000007</v>
      </c>
      <c r="M29" s="250">
        <f t="shared" si="9"/>
        <v>9.4439146445362212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61">
        <f>+IF(ISNUMBER(VLOOKUP($B30,'Cental Budget'!$B$16:$K$90,'Public Expenditure'!D$1,FALSE)),VLOOKUP($B30,'Cental Budget'!$B$16:$K$90,'Public Expenditure'!D$1,FALSE),0)+IF(ISNUMBER(VLOOKUP('Public Expenditure'!$B30,'Local Government'!$B$16:$O$75,'Public Expenditure'!D$1,FALSE)),VLOOKUP('Public Expenditure'!$B30,'Local Government'!$B$16:$O$75,'Public Expenditure'!D$1,FALSE),0)</f>
        <v>6802364.9100000001</v>
      </c>
      <c r="E30" s="98">
        <f t="shared" si="0"/>
        <v>0.2004704608365751</v>
      </c>
      <c r="F30" s="161">
        <f>+IF(ISNUMBER(VLOOKUP($B30,'Cental Budget'!$B$16:$K$90,'Public Expenditure'!F$1,FALSE)),VLOOKUP($B30,'Cental Budget'!$B$16:$K$90,'Public Expenditure'!F$1,FALSE),0)+IF(ISNUMBER(VLOOKUP('Public Expenditure'!$B30,'Local Government'!$B$16:$O$75,'Public Expenditure'!F$1,FALSE)),VLOOKUP('Public Expenditure'!$B30,'Local Government'!$B$16:$O$75,'Public Expenditure'!F$1,FALSE),0)</f>
        <v>8688504.2832468487</v>
      </c>
      <c r="G30" s="98">
        <f t="shared" si="4"/>
        <v>0.25605630992869688</v>
      </c>
      <c r="H30" s="249">
        <f t="shared" si="5"/>
        <v>-1886139.3732468486</v>
      </c>
      <c r="I30" s="250">
        <f t="shared" si="6"/>
        <v>-21.708447297237313</v>
      </c>
      <c r="J30" s="161">
        <f>+IF(ISNUMBER(VLOOKUP($B30,'Cental Budget'!$B$16:$K$90,'Public Expenditure'!J$1,FALSE)),VLOOKUP($B30,'Cental Budget'!$B$16:$K$90,'Public Expenditure'!J$1,FALSE),0)+IF(ISNUMBER(VLOOKUP('Public Expenditure'!$B30,'Local Government'!$B$16:$O$75,'Public Expenditure'!J$1,FALSE)),VLOOKUP('Public Expenditure'!$B30,'Local Government'!$B$16:$O$75,'Public Expenditure'!J$1,FALSE),0)</f>
        <v>7600217.0300000003</v>
      </c>
      <c r="K30" s="98">
        <f t="shared" si="1"/>
        <v>0.22783108096765492</v>
      </c>
      <c r="L30" s="249">
        <f t="shared" si="8"/>
        <v>-797852.12000000011</v>
      </c>
      <c r="M30" s="250">
        <f t="shared" si="9"/>
        <v>-10.497754430573153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9">
        <f>+IF(ISNUMBER(VLOOKUP($B31,'Cental Budget'!$B$16:$K$90,'Public Expenditure'!D$1,FALSE)),VLOOKUP($B31,'Cental Budget'!$B$16:$K$90,'Public Expenditure'!D$1,FALSE),0)+IF(ISNUMBER(VLOOKUP('Public Expenditure'!$B31,'Local Government'!$B$16:$O$75,'Public Expenditure'!D$1,FALSE)),VLOOKUP('Public Expenditure'!$B31,'Local Government'!$B$16:$O$75,'Public Expenditure'!D$1,FALSE),0)</f>
        <v>16208521.789999999</v>
      </c>
      <c r="E31" s="96">
        <f t="shared" si="0"/>
        <v>0.47767649570581011</v>
      </c>
      <c r="F31" s="159">
        <f>+IF(ISNUMBER(VLOOKUP($B31,'Cental Budget'!$B$16:$K$90,'Public Expenditure'!F$1,FALSE)),VLOOKUP($B31,'Cental Budget'!$B$16:$K$90,'Public Expenditure'!F$1,FALSE),0)+IF(ISNUMBER(VLOOKUP('Public Expenditure'!$B31,'Local Government'!$B$16:$O$75,'Public Expenditure'!F$1,FALSE)),VLOOKUP('Public Expenditure'!$B31,'Local Government'!$B$16:$O$75,'Public Expenditure'!F$1,FALSE),0)</f>
        <v>20251528.634987738</v>
      </c>
      <c r="G31" s="96">
        <f t="shared" si="4"/>
        <v>0.59682674067261821</v>
      </c>
      <c r="H31" s="247">
        <f t="shared" si="5"/>
        <v>-4043006.8449877389</v>
      </c>
      <c r="I31" s="248">
        <f t="shared" si="6"/>
        <v>-19.963958858902146</v>
      </c>
      <c r="J31" s="159">
        <f>+IF(ISNUMBER(VLOOKUP($B31,'Cental Budget'!$B$16:$K$90,'Public Expenditure'!J$1,FALSE)),VLOOKUP($B31,'Cental Budget'!$B$16:$K$90,'Public Expenditure'!J$1,FALSE),0)+IF(ISNUMBER(VLOOKUP('Public Expenditure'!$B31,'Local Government'!$B$16:$O$75,'Public Expenditure'!J$1,FALSE)),VLOOKUP('Public Expenditure'!$B31,'Local Government'!$B$16:$O$75,'Public Expenditure'!J$1,FALSE),0)</f>
        <v>23185802.800000001</v>
      </c>
      <c r="K31" s="96">
        <f t="shared" si="1"/>
        <v>0.69503890404388624</v>
      </c>
      <c r="L31" s="247">
        <f t="shared" si="8"/>
        <v>-6977281.0100000016</v>
      </c>
      <c r="M31" s="248">
        <f t="shared" si="9"/>
        <v>-30.092902411815572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9">
        <f>+IF(ISNUMBER(VLOOKUP($B32,'Cental Budget'!$B$16:$K$90,'Public Expenditure'!D$1,FALSE)),VLOOKUP($B32,'Cental Budget'!$B$16:$K$90,'Public Expenditure'!D$1,FALSE),0)+IF(ISNUMBER(VLOOKUP('Public Expenditure'!$B32,'Local Government'!$B$16:$O$75,'Public Expenditure'!D$1,FALSE)),VLOOKUP('Public Expenditure'!$B32,'Local Government'!$B$16:$O$75,'Public Expenditure'!D$1,FALSE),0)</f>
        <v>47496659.439999998</v>
      </c>
      <c r="E32" s="96">
        <f t="shared" si="0"/>
        <v>1.3997598382493515</v>
      </c>
      <c r="F32" s="159">
        <f>+IF(ISNUMBER(VLOOKUP($B32,'Cental Budget'!$B$16:$K$90,'Public Expenditure'!F$1,FALSE)),VLOOKUP($B32,'Cental Budget'!$B$16:$K$90,'Public Expenditure'!F$1,FALSE),0)+IF(ISNUMBER(VLOOKUP('Public Expenditure'!$B32,'Local Government'!$B$16:$O$75,'Public Expenditure'!F$1,FALSE)),VLOOKUP('Public Expenditure'!$B32,'Local Government'!$B$16:$O$75,'Public Expenditure'!F$1,FALSE),0)</f>
        <v>44191220.829383373</v>
      </c>
      <c r="G32" s="96">
        <f t="shared" si="4"/>
        <v>1.3023462460200979</v>
      </c>
      <c r="H32" s="247">
        <f t="shared" si="5"/>
        <v>3305438.6106166244</v>
      </c>
      <c r="I32" s="248">
        <f t="shared" si="6"/>
        <v>7.4798535740356726</v>
      </c>
      <c r="J32" s="159">
        <f>+IF(ISNUMBER(VLOOKUP($B32,'Cental Budget'!$B$16:$K$90,'Public Expenditure'!J$1,FALSE)),VLOOKUP($B32,'Cental Budget'!$B$16:$K$90,'Public Expenditure'!J$1,FALSE),0)+IF(ISNUMBER(VLOOKUP('Public Expenditure'!$B32,'Local Government'!$B$16:$O$75,'Public Expenditure'!J$1,FALSE)),VLOOKUP('Public Expenditure'!$B32,'Local Government'!$B$16:$O$75,'Public Expenditure'!J$1,FALSE),0)</f>
        <v>44786968.890000001</v>
      </c>
      <c r="K32" s="96">
        <f t="shared" si="1"/>
        <v>1.3425752837315266</v>
      </c>
      <c r="L32" s="247">
        <f t="shared" si="8"/>
        <v>2709690.549999997</v>
      </c>
      <c r="M32" s="248">
        <f t="shared" si="9"/>
        <v>6.0501762391091773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9">
        <f>+IF(ISNUMBER(VLOOKUP($B33,'Cental Budget'!$B$16:$K$90,'Public Expenditure'!D$1,FALSE)),VLOOKUP($B33,'Cental Budget'!$B$16:$K$90,'Public Expenditure'!D$1,FALSE),0)+IF(ISNUMBER(VLOOKUP('Public Expenditure'!$B33,'Local Government'!$B$16:$O$75,'Public Expenditure'!D$1,FALSE)),VLOOKUP('Public Expenditure'!$B33,'Local Government'!$B$16:$O$75,'Public Expenditure'!D$1,FALSE),0)</f>
        <v>31364372.950000003</v>
      </c>
      <c r="E33" s="96">
        <f t="shared" si="0"/>
        <v>0.92433005025846382</v>
      </c>
      <c r="F33" s="159">
        <f>+IF(ISNUMBER(VLOOKUP($B33,'Cental Budget'!$B$16:$K$90,'Public Expenditure'!F$1,FALSE)),VLOOKUP($B33,'Cental Budget'!$B$16:$K$90,'Public Expenditure'!F$1,FALSE),0)+IF(ISNUMBER(VLOOKUP('Public Expenditure'!$B33,'Local Government'!$B$16:$O$75,'Public Expenditure'!F$1,FALSE)),VLOOKUP('Public Expenditure'!$B33,'Local Government'!$B$16:$O$75,'Public Expenditure'!F$1,FALSE),0)</f>
        <v>31775403.24604927</v>
      </c>
      <c r="G33" s="96">
        <f t="shared" si="4"/>
        <v>0.93644340112349256</v>
      </c>
      <c r="H33" s="247">
        <f t="shared" si="5"/>
        <v>-411030.29604926705</v>
      </c>
      <c r="I33" s="248">
        <f t="shared" si="6"/>
        <v>-1.2935486384437098</v>
      </c>
      <c r="J33" s="159">
        <f>+IF(ISNUMBER(VLOOKUP($B33,'Cental Budget'!$B$16:$K$90,'Public Expenditure'!J$1,FALSE)),VLOOKUP($B33,'Cental Budget'!$B$16:$K$90,'Public Expenditure'!J$1,FALSE),0)+IF(ISNUMBER(VLOOKUP('Public Expenditure'!$B33,'Local Government'!$B$16:$O$75,'Public Expenditure'!J$1,FALSE)),VLOOKUP('Public Expenditure'!$B33,'Local Government'!$B$16:$O$75,'Public Expenditure'!J$1,FALSE),0)</f>
        <v>30674136.870000001</v>
      </c>
      <c r="K33" s="96">
        <f t="shared" si="1"/>
        <v>0.91951607871938612</v>
      </c>
      <c r="L33" s="247">
        <f t="shared" si="8"/>
        <v>690236.08000000194</v>
      </c>
      <c r="M33" s="248">
        <f t="shared" si="9"/>
        <v>2.250221686514891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 ht="25.5">
      <c r="B34" s="80">
        <v>73</v>
      </c>
      <c r="C34" s="101" t="str">
        <f>IF(MasterSheet!$A$1=1,MasterSheet!C103,MasterSheet!B103)</f>
        <v>Primici od otplate kredita i sredstva prenijeta iz prethodne godine</v>
      </c>
      <c r="D34" s="159">
        <f>+IF(ISNUMBER(VLOOKUP($B34,'Cental Budget'!$B$16:$K$90,'Public Expenditure'!D$1,FALSE)),VLOOKUP($B34,'Cental Budget'!$B$16:$K$90,'Public Expenditure'!D$1,FALSE),0)+IF(ISNUMBER(VLOOKUP('Public Expenditure'!$B34,'Local Government'!$B$16:$O$75,'Public Expenditure'!D$1,FALSE)),VLOOKUP('Public Expenditure'!$B34,'Local Government'!$B$16:$O$75,'Public Expenditure'!D$1,FALSE),0)</f>
        <v>2985798.25</v>
      </c>
      <c r="E34" s="96">
        <f t="shared" si="0"/>
        <v>8.7993566805362605E-2</v>
      </c>
      <c r="F34" s="159">
        <f>+IF(ISNUMBER(VLOOKUP($B34,'Cental Budget'!$B$16:$K$90,'Public Expenditure'!F$1,FALSE)),VLOOKUP($B34,'Cental Budget'!$B$16:$K$90,'Public Expenditure'!F$1,FALSE),0)+IF(ISNUMBER(VLOOKUP('Public Expenditure'!$B34,'Local Government'!$B$16:$O$75,'Public Expenditure'!F$1,FALSE)),VLOOKUP('Public Expenditure'!$B34,'Local Government'!$B$16:$O$75,'Public Expenditure'!F$1,FALSE),0)</f>
        <v>5705237.2172286082</v>
      </c>
      <c r="G34" s="96">
        <f t="shared" si="4"/>
        <v>0.16813733888907148</v>
      </c>
      <c r="H34" s="247">
        <f t="shared" si="5"/>
        <v>-2719438.9672286082</v>
      </c>
      <c r="I34" s="248">
        <f t="shared" si="6"/>
        <v>-47.665659878549462</v>
      </c>
      <c r="J34" s="159">
        <f>+IF(ISNUMBER(VLOOKUP($B34,'Cental Budget'!$B$16:$K$90,'Public Expenditure'!J$1,FALSE)),VLOOKUP($B34,'Cental Budget'!$B$16:$K$90,'Public Expenditure'!J$1,FALSE),0)+IF(ISNUMBER(VLOOKUP('Public Expenditure'!$B34,'Local Government'!$B$16:$O$75,'Public Expenditure'!J$1,FALSE)),VLOOKUP('Public Expenditure'!$B34,'Local Government'!$B$16:$O$75,'Public Expenditure'!J$1,FALSE),0)</f>
        <v>6071847.9300000006</v>
      </c>
      <c r="K34" s="96">
        <f t="shared" si="1"/>
        <v>0.18201528612968018</v>
      </c>
      <c r="L34" s="247">
        <f t="shared" si="8"/>
        <v>-3086049.6800000006</v>
      </c>
      <c r="M34" s="248">
        <f t="shared" si="9"/>
        <v>-50.825542990830478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9">
        <f>+IF(ISNUMBER(VLOOKUP($B35,'Cental Budget'!$B$16:$K$90,'Public Expenditure'!D$1,FALSE)),VLOOKUP($B35,'Cental Budget'!$B$16:$K$90,'Public Expenditure'!D$1,FALSE),0)+IF(ISNUMBER(VLOOKUP('Public Expenditure'!$B35,'Local Government'!$B$16:$O$75,'Public Expenditure'!D$1,FALSE)),VLOOKUP('Public Expenditure'!$B35,'Local Government'!$B$16:$O$75,'Public Expenditure'!D$1,FALSE),0)</f>
        <v>5249038.29</v>
      </c>
      <c r="E35" s="96">
        <f>D35/D$11*100</f>
        <v>0.15469283681006288</v>
      </c>
      <c r="F35" s="159">
        <f>+IF(ISNUMBER(VLOOKUP($B35,'Cental Budget'!$B$16:$K$90,'Public Expenditure'!F$1,FALSE)),VLOOKUP($B35,'Cental Budget'!$B$16:$K$90,'Public Expenditure'!F$1,FALSE),0)+IF(ISNUMBER(VLOOKUP('Public Expenditure'!$B35,'Local Government'!$B$16:$O$75,'Public Expenditure'!F$1,FALSE)),VLOOKUP('Public Expenditure'!$B35,'Local Government'!$B$16:$O$75,'Public Expenditure'!F$1,FALSE),0)</f>
        <v>9000000</v>
      </c>
      <c r="G35" s="96">
        <f t="shared" si="4"/>
        <v>0.26523630699035461</v>
      </c>
      <c r="H35" s="247">
        <f t="shared" si="5"/>
        <v>-3750961.71</v>
      </c>
      <c r="I35" s="248">
        <f t="shared" si="6"/>
        <v>-41.677352333333332</v>
      </c>
      <c r="J35" s="159">
        <f>+IF(ISNUMBER(VLOOKUP($B35,'Cental Budget'!$B$16:$K$90,'Public Expenditure'!J$1,FALSE)),VLOOKUP($B35,'Cental Budget'!$B$16:$K$90,'Public Expenditure'!J$1,FALSE),0)+IF(ISNUMBER(VLOOKUP('Public Expenditure'!$B35,'Local Government'!$B$16:$O$75,'Public Expenditure'!J$1,FALSE)),VLOOKUP('Public Expenditure'!$B35,'Local Government'!$B$16:$O$75,'Public Expenditure'!J$1,FALSE),0)</f>
        <v>5388701.6200000001</v>
      </c>
      <c r="K35" s="96">
        <f>J35/J$11*100</f>
        <v>0.16153666536766689</v>
      </c>
      <c r="L35" s="247">
        <f t="shared" si="8"/>
        <v>-139663.33000000007</v>
      </c>
      <c r="M35" s="248">
        <f t="shared" si="9"/>
        <v>-2.5917807265788042</v>
      </c>
      <c r="O35" s="81"/>
      <c r="P35" s="81"/>
      <c r="Q35" s="81"/>
      <c r="R35" s="81"/>
      <c r="CD35" s="170"/>
      <c r="CE35" s="170"/>
      <c r="CF35" s="145"/>
      <c r="CG35" s="145"/>
      <c r="CH35" s="145"/>
      <c r="CI35" s="142"/>
    </row>
    <row r="36" spans="1:87" ht="15" customHeight="1" thickTop="1" thickBot="1">
      <c r="B36" s="102"/>
      <c r="C36" s="189" t="str">
        <f>IF(MasterSheet!$A$1=1,MasterSheet!C104,MasterSheet!B104)</f>
        <v>Izdaci</v>
      </c>
      <c r="D36" s="183">
        <f t="shared" ref="D36" si="13">+D38+D49+D55+SUM(D58:D62)</f>
        <v>1061859086.2992306</v>
      </c>
      <c r="E36" s="184">
        <f t="shared" si="0"/>
        <v>31.293731399351127</v>
      </c>
      <c r="F36" s="183">
        <f t="shared" ref="F36" si="14">+F38+F49+F55+SUM(F58:F62)</f>
        <v>1098076752.9989047</v>
      </c>
      <c r="G36" s="184">
        <f t="shared" si="4"/>
        <v>32.3610914174877</v>
      </c>
      <c r="H36" s="183">
        <f t="shared" si="5"/>
        <v>-36217666.699674129</v>
      </c>
      <c r="I36" s="184">
        <f t="shared" si="6"/>
        <v>-3.2982818915673988</v>
      </c>
      <c r="J36" s="183">
        <f t="shared" ref="J36" si="15">+J38+J49+J55+SUM(J58:J62)</f>
        <v>1106159354.01</v>
      </c>
      <c r="K36" s="184">
        <f t="shared" si="1"/>
        <v>33.159247999340508</v>
      </c>
      <c r="L36" s="183">
        <f t="shared" si="8"/>
        <v>-44300267.710769415</v>
      </c>
      <c r="M36" s="184">
        <f t="shared" si="9"/>
        <v>-4.0048721325886731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89" t="str">
        <f>IF(MasterSheet!$A$1=1,MasterSheet!C105,MasterSheet!B105)</f>
        <v>Tekuća budžetska potrošnja</v>
      </c>
      <c r="D37" s="183">
        <f t="shared" ref="D37" si="16">+D36-D58</f>
        <v>989192519.23923063</v>
      </c>
      <c r="E37" s="184">
        <f t="shared" si="0"/>
        <v>29.152196745055427</v>
      </c>
      <c r="F37" s="183">
        <f t="shared" ref="F37" si="17">+F36-F58</f>
        <v>997211377.99890471</v>
      </c>
      <c r="G37" s="184">
        <f t="shared" si="4"/>
        <v>29.388518132132447</v>
      </c>
      <c r="H37" s="183">
        <f t="shared" si="5"/>
        <v>-8018858.7596740723</v>
      </c>
      <c r="I37" s="184">
        <f t="shared" si="6"/>
        <v>-0.80412828579687812</v>
      </c>
      <c r="J37" s="183">
        <f t="shared" ref="J37" si="18">+J36-J58</f>
        <v>1049575670.05</v>
      </c>
      <c r="K37" s="184">
        <f t="shared" si="1"/>
        <v>31.463043557960368</v>
      </c>
      <c r="L37" s="183">
        <f t="shared" si="8"/>
        <v>-60383150.81076932</v>
      </c>
      <c r="M37" s="184">
        <f t="shared" si="9"/>
        <v>-5.7531012326050472</v>
      </c>
      <c r="O37" s="81"/>
      <c r="P37" s="81"/>
      <c r="Q37" s="81"/>
      <c r="R37" s="81"/>
      <c r="CD37" s="170"/>
      <c r="CE37" s="170"/>
      <c r="CF37" s="145"/>
      <c r="CG37" s="145"/>
      <c r="CH37" s="145"/>
      <c r="CI37" s="142"/>
    </row>
    <row r="38" spans="1:87" ht="13.5" customHeight="1" thickTop="1">
      <c r="A38" s="80">
        <v>41</v>
      </c>
      <c r="C38" s="93" t="str">
        <f>+'Cental Budget'!C51</f>
        <v>Current expenditures</v>
      </c>
      <c r="D38" s="94">
        <f t="shared" ref="D38" si="19">+SUM(D39:D48)</f>
        <v>500677966.77923054</v>
      </c>
      <c r="E38" s="96">
        <f t="shared" si="0"/>
        <v>14.755330544440284</v>
      </c>
      <c r="F38" s="94">
        <f t="shared" ref="F38" si="20">+SUM(F39:F48)</f>
        <v>513430613.49300003</v>
      </c>
      <c r="G38" s="96">
        <f t="shared" si="4"/>
        <v>15.131159979852828</v>
      </c>
      <c r="H38" s="232">
        <f t="shared" si="5"/>
        <v>-12752646.713769495</v>
      </c>
      <c r="I38" s="248">
        <f t="shared" si="6"/>
        <v>-2.4838111282476802</v>
      </c>
      <c r="J38" s="94">
        <f t="shared" ref="J38" si="21">+SUM(J39:J48)</f>
        <v>486934712.48000002</v>
      </c>
      <c r="K38" s="96">
        <f t="shared" si="1"/>
        <v>14.59680183698552</v>
      </c>
      <c r="L38" s="232">
        <f t="shared" si="8"/>
        <v>13743254.299230516</v>
      </c>
      <c r="M38" s="248">
        <f t="shared" si="9"/>
        <v>2.8224018429975786</v>
      </c>
      <c r="O38" s="81"/>
      <c r="P38" s="258"/>
      <c r="Q38" s="81"/>
      <c r="R38" s="81"/>
      <c r="CD38" s="170"/>
      <c r="CE38" s="170"/>
      <c r="CF38" s="145"/>
      <c r="CG38" s="145"/>
      <c r="CH38" s="145"/>
      <c r="CI38" s="142"/>
    </row>
    <row r="39" spans="1:87" ht="13.5" customHeight="1">
      <c r="B39" s="80">
        <v>411</v>
      </c>
      <c r="C39" s="93" t="str">
        <f>+'Cental Budget'!C52</f>
        <v>Gross wages</v>
      </c>
      <c r="D39" s="159">
        <f>+IF(ISNUMBER(VLOOKUP($B39,'Cental Budget'!$B$16:$K$90,'Public Expenditure'!D$1,FALSE)),VLOOKUP($B39,'Cental Budget'!$B$16:$K$90,'Public Expenditure'!D$1,FALSE),0)+IF(ISNUMBER(VLOOKUP('Public Expenditure'!$B39,'Local Government'!$B$16:$O$75,'Public Expenditure'!D$1,FALSE)),VLOOKUP('Public Expenditure'!$B39,'Local Government'!$B$16:$O$75,'Public Expenditure'!D$1,FALSE),0)</f>
        <v>311168312.07923061</v>
      </c>
      <c r="E39" s="96">
        <f t="shared" si="0"/>
        <v>9.170348216479697</v>
      </c>
      <c r="F39" s="159">
        <f>+IF(ISNUMBER(VLOOKUP($B39,'Cental Budget'!$B$16:$K$90,'Public Expenditure'!F$1,FALSE)),VLOOKUP($B39,'Cental Budget'!$B$16:$K$90,'Public Expenditure'!F$1,FALSE),0)+IF(ISNUMBER(VLOOKUP('Public Expenditure'!$B39,'Local Government'!$B$16:$O$75,'Public Expenditure'!F$1,FALSE)),VLOOKUP('Public Expenditure'!$B39,'Local Government'!$B$16:$O$75,'Public Expenditure'!F$1,FALSE),0)</f>
        <v>315094952.91800004</v>
      </c>
      <c r="G39" s="96">
        <f t="shared" si="4"/>
        <v>9.2860690736966642</v>
      </c>
      <c r="H39" s="247">
        <f t="shared" si="5"/>
        <v>-3926640.8387694359</v>
      </c>
      <c r="I39" s="248">
        <f t="shared" si="6"/>
        <v>-1.2461770023308816</v>
      </c>
      <c r="J39" s="159">
        <f>+IF(ISNUMBER(VLOOKUP($B39,'Cental Budget'!$B$16:$K$90,'Public Expenditure'!J$1,FALSE)),VLOOKUP($B39,'Cental Budget'!$B$16:$K$90,'Public Expenditure'!J$1,FALSE),0)+IF(ISNUMBER(VLOOKUP('Public Expenditure'!$B39,'Local Government'!$B$16:$O$75,'Public Expenditure'!J$1,FALSE)),VLOOKUP('Public Expenditure'!$B39,'Local Government'!$B$16:$O$75,'Public Expenditure'!J$1,FALSE),0)</f>
        <v>302855523.54000002</v>
      </c>
      <c r="K39" s="96">
        <f t="shared" si="1"/>
        <v>9.0786751263527083</v>
      </c>
      <c r="L39" s="247">
        <f t="shared" si="8"/>
        <v>8312788.5392305851</v>
      </c>
      <c r="M39" s="248">
        <f t="shared" si="9"/>
        <v>2.7448033445335795</v>
      </c>
      <c r="O39" s="81"/>
      <c r="P39" s="258"/>
      <c r="Q39" s="81"/>
      <c r="R39" s="81"/>
      <c r="CD39" s="170"/>
      <c r="CE39" s="170"/>
      <c r="CF39" s="145"/>
      <c r="CG39" s="145"/>
      <c r="CH39" s="145"/>
      <c r="CI39" s="142"/>
    </row>
    <row r="40" spans="1:87" ht="13.5" customHeight="1">
      <c r="B40" s="80">
        <v>412</v>
      </c>
      <c r="C40" s="93" t="str">
        <f>+'Cental Budget'!C53</f>
        <v>Other personal income</v>
      </c>
      <c r="D40" s="159">
        <f>+IF(ISNUMBER(VLOOKUP($B40,'Cental Budget'!$B$16:$K$90,'Public Expenditure'!D$1,FALSE)),VLOOKUP($B40,'Cental Budget'!$B$16:$K$90,'Public Expenditure'!D$1,FALSE),0)+IF(ISNUMBER(VLOOKUP('Public Expenditure'!$B40,'Local Government'!$B$16:$O$75,'Public Expenditure'!D$1,FALSE)),VLOOKUP('Public Expenditure'!$B40,'Local Government'!$B$16:$O$75,'Public Expenditure'!D$1,FALSE),0)</f>
        <v>8729601.3900000006</v>
      </c>
      <c r="E40" s="96">
        <f t="shared" si="0"/>
        <v>0.25726747046460735</v>
      </c>
      <c r="F40" s="159">
        <f>+IF(ISNUMBER(VLOOKUP($B40,'Cental Budget'!$B$16:$K$90,'Public Expenditure'!F$1,FALSE)),VLOOKUP($B40,'Cental Budget'!$B$16:$K$90,'Public Expenditure'!F$1,FALSE),0)+IF(ISNUMBER(VLOOKUP('Public Expenditure'!$B40,'Local Government'!$B$16:$O$75,'Public Expenditure'!F$1,FALSE)),VLOOKUP('Public Expenditure'!$B40,'Local Government'!$B$16:$O$75,'Public Expenditure'!F$1,FALSE),0)</f>
        <v>10347196.639</v>
      </c>
      <c r="G40" s="96">
        <f t="shared" si="4"/>
        <v>0.30493913602570771</v>
      </c>
      <c r="H40" s="247">
        <f t="shared" si="5"/>
        <v>-1617595.2489999998</v>
      </c>
      <c r="I40" s="248">
        <f t="shared" si="6"/>
        <v>-15.63317394494139</v>
      </c>
      <c r="J40" s="159">
        <f>+IF(ISNUMBER(VLOOKUP($B40,'Cental Budget'!$B$16:$K$90,'Public Expenditure'!J$1,FALSE)),VLOOKUP($B40,'Cental Budget'!$B$16:$K$90,'Public Expenditure'!J$1,FALSE),0)+IF(ISNUMBER(VLOOKUP('Public Expenditure'!$B40,'Local Government'!$B$16:$O$75,'Public Expenditure'!J$1,FALSE)),VLOOKUP('Public Expenditure'!$B40,'Local Government'!$B$16:$O$75,'Public Expenditure'!J$1,FALSE),0)</f>
        <v>10309999.76</v>
      </c>
      <c r="K40" s="96">
        <f t="shared" si="1"/>
        <v>0.30906201504841269</v>
      </c>
      <c r="L40" s="247">
        <f t="shared" si="8"/>
        <v>-1580398.3699999992</v>
      </c>
      <c r="M40" s="248">
        <f t="shared" si="9"/>
        <v>-15.328791530447134</v>
      </c>
      <c r="O40" s="81"/>
      <c r="P40" s="258"/>
      <c r="Q40" s="81"/>
      <c r="R40" s="81"/>
      <c r="CD40" s="170"/>
      <c r="CE40" s="170"/>
      <c r="CF40" s="145"/>
      <c r="CG40" s="145"/>
      <c r="CH40" s="145"/>
      <c r="CI40" s="142"/>
    </row>
    <row r="41" spans="1:87" ht="13.5" customHeight="1">
      <c r="B41" s="80">
        <v>413</v>
      </c>
      <c r="C41" s="93" t="str">
        <f>+'Cental Budget'!C54</f>
        <v>Expenditures for material</v>
      </c>
      <c r="D41" s="159">
        <f>+IF(ISNUMBER(VLOOKUP($B41,'Cental Budget'!$B$16:$K$90,'Public Expenditure'!D$1,FALSE)),VLOOKUP($B41,'Cental Budget'!$B$16:$K$90,'Public Expenditure'!D$1,FALSE),0)+IF(ISNUMBER(VLOOKUP('Public Expenditure'!$B41,'Local Government'!$B$16:$O$75,'Public Expenditure'!D$1,FALSE)),VLOOKUP('Public Expenditure'!$B41,'Local Government'!$B$16:$O$75,'Public Expenditure'!D$1,FALSE),0)</f>
        <v>21211726.93</v>
      </c>
      <c r="E41" s="96">
        <f t="shared" si="0"/>
        <v>0.6251244573112279</v>
      </c>
      <c r="F41" s="159">
        <f>+IF(ISNUMBER(VLOOKUP($B41,'Cental Budget'!$B$16:$K$90,'Public Expenditure'!F$1,FALSE)),VLOOKUP($B41,'Cental Budget'!$B$16:$K$90,'Public Expenditure'!F$1,FALSE),0)+IF(ISNUMBER(VLOOKUP('Public Expenditure'!$B41,'Local Government'!$B$16:$O$75,'Public Expenditure'!F$1,FALSE)),VLOOKUP('Public Expenditure'!$B41,'Local Government'!$B$16:$O$75,'Public Expenditure'!F$1,FALSE),0)</f>
        <v>32474207.136500001</v>
      </c>
      <c r="G41" s="96">
        <f t="shared" si="4"/>
        <v>0.95703764148056436</v>
      </c>
      <c r="H41" s="247">
        <f t="shared" si="5"/>
        <v>-11262480.206500001</v>
      </c>
      <c r="I41" s="248">
        <f t="shared" si="6"/>
        <v>-34.681309259253084</v>
      </c>
      <c r="J41" s="159">
        <f>+IF(ISNUMBER(VLOOKUP($B41,'Cental Budget'!$B$16:$K$90,'Public Expenditure'!J$1,FALSE)),VLOOKUP($B41,'Cental Budget'!$B$16:$K$90,'Public Expenditure'!J$1,FALSE),0)+IF(ISNUMBER(VLOOKUP('Public Expenditure'!$B41,'Local Government'!$B$16:$O$75,'Public Expenditure'!J$1,FALSE)),VLOOKUP('Public Expenditure'!$B41,'Local Government'!$B$16:$O$75,'Public Expenditure'!J$1,FALSE),0)</f>
        <v>21298182.34</v>
      </c>
      <c r="K41" s="96">
        <f t="shared" si="1"/>
        <v>0.63845386072723997</v>
      </c>
      <c r="L41" s="247">
        <f t="shared" si="8"/>
        <v>-86455.410000000149</v>
      </c>
      <c r="M41" s="248">
        <f t="shared" si="9"/>
        <v>-0.4059285840446023</v>
      </c>
      <c r="O41" s="81"/>
      <c r="P41" s="258"/>
      <c r="Q41" s="81"/>
      <c r="R41" s="81"/>
      <c r="CD41" s="170"/>
      <c r="CE41" s="170"/>
      <c r="CF41" s="145"/>
      <c r="CG41" s="145"/>
      <c r="CH41" s="145"/>
      <c r="CI41" s="142"/>
    </row>
    <row r="42" spans="1:87" ht="13.5" customHeight="1">
      <c r="B42" s="80">
        <v>414</v>
      </c>
      <c r="C42" s="93" t="str">
        <f>+'Cental Budget'!C55</f>
        <v>Expenditures for services</v>
      </c>
      <c r="D42" s="159">
        <f>+IF(ISNUMBER(VLOOKUP($B42,'Cental Budget'!$B$16:$K$90,'Public Expenditure'!D$1,FALSE)),VLOOKUP($B42,'Cental Budget'!$B$16:$K$90,'Public Expenditure'!D$1,FALSE),0)+IF(ISNUMBER(VLOOKUP('Public Expenditure'!$B42,'Local Government'!$B$16:$O$75,'Public Expenditure'!D$1,FALSE)),VLOOKUP('Public Expenditure'!$B42,'Local Government'!$B$16:$O$75,'Public Expenditure'!D$1,FALSE),0)</f>
        <v>36476098.890000001</v>
      </c>
      <c r="E42" s="96">
        <f t="shared" si="0"/>
        <v>1.0749761958887303</v>
      </c>
      <c r="F42" s="159">
        <f>+IF(ISNUMBER(VLOOKUP($B42,'Cental Budget'!$B$16:$K$90,'Public Expenditure'!F$1,FALSE)),VLOOKUP($B42,'Cental Budget'!$B$16:$K$90,'Public Expenditure'!F$1,FALSE),0)+IF(ISNUMBER(VLOOKUP('Public Expenditure'!$B42,'Local Government'!$B$16:$O$75,'Public Expenditure'!F$1,FALSE)),VLOOKUP('Public Expenditure'!$B42,'Local Government'!$B$16:$O$75,'Public Expenditure'!F$1,FALSE),0)</f>
        <v>30519634.349999998</v>
      </c>
      <c r="G42" s="96">
        <f t="shared" si="4"/>
        <v>0.89943501174333007</v>
      </c>
      <c r="H42" s="247">
        <f t="shared" si="5"/>
        <v>5956464.5400000028</v>
      </c>
      <c r="I42" s="248">
        <f t="shared" si="6"/>
        <v>19.516827992403535</v>
      </c>
      <c r="J42" s="159">
        <f>+IF(ISNUMBER(VLOOKUP($B42,'Cental Budget'!$B$16:$K$90,'Public Expenditure'!J$1,FALSE)),VLOOKUP($B42,'Cental Budget'!$B$16:$K$90,'Public Expenditure'!J$1,FALSE),0)+IF(ISNUMBER(VLOOKUP('Public Expenditure'!$B42,'Local Government'!$B$16:$O$75,'Public Expenditure'!J$1,FALSE)),VLOOKUP('Public Expenditure'!$B42,'Local Government'!$B$16:$O$75,'Public Expenditure'!J$1,FALSE),0)</f>
        <v>35480429.980000004</v>
      </c>
      <c r="K42" s="96">
        <f t="shared" si="1"/>
        <v>1.0635939320723045</v>
      </c>
      <c r="L42" s="247">
        <f t="shared" si="8"/>
        <v>995668.90999999642</v>
      </c>
      <c r="M42" s="248">
        <f t="shared" si="9"/>
        <v>2.8062481502091288</v>
      </c>
      <c r="O42" s="81"/>
      <c r="P42" s="258"/>
      <c r="Q42" s="81"/>
      <c r="R42" s="81"/>
      <c r="CD42" s="170"/>
      <c r="CE42" s="170"/>
      <c r="CF42" s="145"/>
      <c r="CG42" s="145"/>
      <c r="CH42" s="145"/>
      <c r="CI42" s="142"/>
    </row>
    <row r="43" spans="1:87" ht="13.5" customHeight="1">
      <c r="B43" s="80">
        <v>415</v>
      </c>
      <c r="C43" s="93" t="str">
        <f>+'Cental Budget'!C56</f>
        <v>Expenditures for current maintenance</v>
      </c>
      <c r="D43" s="159">
        <f>+IF(ISNUMBER(VLOOKUP($B43,'Cental Budget'!$B$16:$K$90,'Public Expenditure'!D$1,FALSE)),VLOOKUP($B43,'Cental Budget'!$B$16:$K$90,'Public Expenditure'!D$1,FALSE),0)+IF(ISNUMBER(VLOOKUP('Public Expenditure'!$B43,'Local Government'!$B$16:$O$75,'Public Expenditure'!D$1,FALSE)),VLOOKUP('Public Expenditure'!$B43,'Local Government'!$B$16:$O$75,'Public Expenditure'!D$1,FALSE),0)</f>
        <v>16359309.43</v>
      </c>
      <c r="E43" s="96">
        <f t="shared" si="0"/>
        <v>0.48212031312507592</v>
      </c>
      <c r="F43" s="159">
        <f>+IF(ISNUMBER(VLOOKUP($B43,'Cental Budget'!$B$16:$K$90,'Public Expenditure'!F$1,FALSE)),VLOOKUP($B43,'Cental Budget'!$B$16:$K$90,'Public Expenditure'!F$1,FALSE),0)+IF(ISNUMBER(VLOOKUP('Public Expenditure'!$B43,'Local Government'!$B$16:$O$75,'Public Expenditure'!F$1,FALSE)),VLOOKUP('Public Expenditure'!$B43,'Local Government'!$B$16:$O$75,'Public Expenditure'!F$1,FALSE),0)</f>
        <v>19028586.594000001</v>
      </c>
      <c r="G43" s="96">
        <f t="shared" si="4"/>
        <v>0.56078578171541449</v>
      </c>
      <c r="H43" s="247">
        <f t="shared" si="5"/>
        <v>-2669277.1640000008</v>
      </c>
      <c r="I43" s="248">
        <f t="shared" si="6"/>
        <v>-14.027721664002428</v>
      </c>
      <c r="J43" s="159">
        <f>+IF(ISNUMBER(VLOOKUP($B43,'Cental Budget'!$B$16:$K$90,'Public Expenditure'!J$1,FALSE)),VLOOKUP($B43,'Cental Budget'!$B$16:$K$90,'Public Expenditure'!J$1,FALSE),0)+IF(ISNUMBER(VLOOKUP('Public Expenditure'!$B43,'Local Government'!$B$16:$O$75,'Public Expenditure'!J$1,FALSE)),VLOOKUP('Public Expenditure'!$B43,'Local Government'!$B$16:$O$75,'Public Expenditure'!J$1,FALSE),0)</f>
        <v>15835839.449999999</v>
      </c>
      <c r="K43" s="96">
        <f t="shared" si="1"/>
        <v>0.4747096570640606</v>
      </c>
      <c r="L43" s="247">
        <f t="shared" si="8"/>
        <v>523469.98000000045</v>
      </c>
      <c r="M43" s="248">
        <f t="shared" si="9"/>
        <v>3.3056029751552103</v>
      </c>
      <c r="O43" s="81"/>
      <c r="P43" s="258"/>
      <c r="Q43" s="81"/>
      <c r="R43" s="81"/>
      <c r="CD43" s="170"/>
      <c r="CE43" s="170"/>
      <c r="CF43" s="145"/>
      <c r="CG43" s="145"/>
      <c r="CH43" s="145"/>
      <c r="CI43" s="142"/>
    </row>
    <row r="44" spans="1:87" ht="13.5" customHeight="1">
      <c r="B44" s="80">
        <v>416</v>
      </c>
      <c r="C44" s="93" t="str">
        <f>+'Cental Budget'!C57</f>
        <v>Interest</v>
      </c>
      <c r="D44" s="159">
        <f>+IF(ISNUMBER(VLOOKUP($B44,'Cental Budget'!$B$16:$K$90,'Public Expenditure'!D$1,FALSE)),VLOOKUP($B44,'Cental Budget'!$B$16:$K$90,'Public Expenditure'!D$1,FALSE),0)+IF(ISNUMBER(VLOOKUP('Public Expenditure'!$B44,'Local Government'!$B$16:$O$75,'Public Expenditure'!D$1,FALSE)),VLOOKUP('Public Expenditure'!$B44,'Local Government'!$B$16:$O$75,'Public Expenditure'!D$1,FALSE),0)</f>
        <v>66029204.399999999</v>
      </c>
      <c r="E44" s="96">
        <f t="shared" si="0"/>
        <v>1.9459269253963636</v>
      </c>
      <c r="F44" s="159">
        <f>+IF(ISNUMBER(VLOOKUP($B44,'Cental Budget'!$B$16:$K$90,'Public Expenditure'!F$1,FALSE)),VLOOKUP($B44,'Cental Budget'!$B$16:$K$90,'Public Expenditure'!F$1,FALSE),0)+IF(ISNUMBER(VLOOKUP('Public Expenditure'!$B44,'Local Government'!$B$16:$O$75,'Public Expenditure'!F$1,FALSE)),VLOOKUP('Public Expenditure'!$B44,'Local Government'!$B$16:$O$75,'Public Expenditure'!F$1,FALSE),0)</f>
        <v>57330196.782000005</v>
      </c>
      <c r="G44" s="96">
        <f t="shared" si="4"/>
        <v>1.6895610748319991</v>
      </c>
      <c r="H44" s="247">
        <f t="shared" si="5"/>
        <v>8699007.6179999933</v>
      </c>
      <c r="I44" s="248">
        <f t="shared" si="6"/>
        <v>15.173517807863561</v>
      </c>
      <c r="J44" s="159">
        <f>+IF(ISNUMBER(VLOOKUP($B44,'Cental Budget'!$B$16:$K$90,'Public Expenditure'!J$1,FALSE)),VLOOKUP($B44,'Cental Budget'!$B$16:$K$90,'Public Expenditure'!J$1,FALSE),0)+IF(ISNUMBER(VLOOKUP('Public Expenditure'!$B44,'Local Government'!$B$16:$O$75,'Public Expenditure'!J$1,FALSE)),VLOOKUP('Public Expenditure'!$B44,'Local Government'!$B$16:$O$75,'Public Expenditure'!J$1,FALSE),0)</f>
        <v>63088416.860000014</v>
      </c>
      <c r="K44" s="96">
        <f t="shared" si="1"/>
        <v>1.8911962846608115</v>
      </c>
      <c r="L44" s="247">
        <f t="shared" si="8"/>
        <v>2940787.5399999842</v>
      </c>
      <c r="M44" s="248">
        <f t="shared" si="9"/>
        <v>4.6613747600069217</v>
      </c>
      <c r="O44" s="81"/>
      <c r="P44" s="258"/>
      <c r="Q44" s="81"/>
      <c r="R44" s="81"/>
      <c r="CD44" s="170"/>
      <c r="CE44" s="170"/>
      <c r="CF44" s="145"/>
      <c r="CG44" s="145"/>
      <c r="CH44" s="145"/>
      <c r="CI44" s="142"/>
    </row>
    <row r="45" spans="1:87" ht="13.5" customHeight="1">
      <c r="B45" s="80">
        <v>417</v>
      </c>
      <c r="C45" s="93" t="str">
        <f>+'Cental Budget'!C58</f>
        <v>Rent</v>
      </c>
      <c r="D45" s="159">
        <f>+IF(ISNUMBER(VLOOKUP($B45,'Cental Budget'!$B$16:$K$90,'Public Expenditure'!D$1,FALSE)),VLOOKUP($B45,'Cental Budget'!$B$16:$K$90,'Public Expenditure'!D$1,FALSE),0)+IF(ISNUMBER(VLOOKUP('Public Expenditure'!$B45,'Local Government'!$B$16:$O$75,'Public Expenditure'!D$1,FALSE)),VLOOKUP('Public Expenditure'!$B45,'Local Government'!$B$16:$O$75,'Public Expenditure'!D$1,FALSE),0)</f>
        <v>6253324.7499999991</v>
      </c>
      <c r="E45" s="96">
        <f t="shared" si="0"/>
        <v>0.18428986256682023</v>
      </c>
      <c r="F45" s="159">
        <f>+IF(ISNUMBER(VLOOKUP($B45,'Cental Budget'!$B$16:$K$90,'Public Expenditure'!F$1,FALSE)),VLOOKUP($B45,'Cental Budget'!$B$16:$K$90,'Public Expenditure'!F$1,FALSE),0)+IF(ISNUMBER(VLOOKUP('Public Expenditure'!$B45,'Local Government'!$B$16:$O$75,'Public Expenditure'!F$1,FALSE)),VLOOKUP('Public Expenditure'!$B45,'Local Government'!$B$16:$O$75,'Public Expenditure'!F$1,FALSE),0)</f>
        <v>6434645.6309999991</v>
      </c>
      <c r="G45" s="96">
        <f t="shared" si="4"/>
        <v>0.18963351599533995</v>
      </c>
      <c r="H45" s="247">
        <f t="shared" si="5"/>
        <v>-181320.88100000005</v>
      </c>
      <c r="I45" s="248">
        <f t="shared" si="6"/>
        <v>-2.8178844865435337</v>
      </c>
      <c r="J45" s="159">
        <f>+IF(ISNUMBER(VLOOKUP($B45,'Cental Budget'!$B$16:$K$90,'Public Expenditure'!J$1,FALSE)),VLOOKUP($B45,'Cental Budget'!$B$16:$K$90,'Public Expenditure'!J$1,FALSE),0)+IF(ISNUMBER(VLOOKUP('Public Expenditure'!$B45,'Local Government'!$B$16:$O$75,'Public Expenditure'!J$1,FALSE)),VLOOKUP('Public Expenditure'!$B45,'Local Government'!$B$16:$O$75,'Public Expenditure'!J$1,FALSE),0)</f>
        <v>6011686.2599999998</v>
      </c>
      <c r="K45" s="96">
        <f t="shared" si="1"/>
        <v>0.18021182469498484</v>
      </c>
      <c r="L45" s="247">
        <f t="shared" si="8"/>
        <v>241638.48999999929</v>
      </c>
      <c r="M45" s="248">
        <f t="shared" si="9"/>
        <v>4.0194793864708203</v>
      </c>
      <c r="O45" s="81"/>
      <c r="P45" s="258"/>
      <c r="Q45" s="81"/>
      <c r="R45" s="81"/>
      <c r="CD45" s="170"/>
      <c r="CE45" s="170"/>
      <c r="CF45" s="145"/>
      <c r="CG45" s="145"/>
      <c r="CH45" s="145"/>
      <c r="CI45" s="142"/>
    </row>
    <row r="46" spans="1:87" ht="13.5" customHeight="1">
      <c r="B46" s="80">
        <v>418</v>
      </c>
      <c r="C46" s="93" t="str">
        <f>+'Cental Budget'!C59</f>
        <v>Subsidies</v>
      </c>
      <c r="D46" s="159">
        <f>+IF(ISNUMBER(VLOOKUP($B46,'Cental Budget'!$B$16:$K$90,'Public Expenditure'!D$1,FALSE)),VLOOKUP($B46,'Cental Budget'!$B$16:$K$90,'Public Expenditure'!D$1,FALSE),0)+IF(ISNUMBER(VLOOKUP('Public Expenditure'!$B46,'Local Government'!$B$16:$O$75,'Public Expenditure'!D$1,FALSE)),VLOOKUP('Public Expenditure'!$B46,'Local Government'!$B$16:$O$75,'Public Expenditure'!D$1,FALSE),0)</f>
        <v>12346177.99</v>
      </c>
      <c r="E46" s="96">
        <f t="shared" si="0"/>
        <v>0.36385051727924433</v>
      </c>
      <c r="F46" s="159">
        <f>+IF(ISNUMBER(VLOOKUP($B46,'Cental Budget'!$B$16:$K$90,'Public Expenditure'!F$1,FALSE)),VLOOKUP($B46,'Cental Budget'!$B$16:$K$90,'Public Expenditure'!F$1,FALSE),0)+IF(ISNUMBER(VLOOKUP('Public Expenditure'!$B46,'Local Government'!$B$16:$O$75,'Public Expenditure'!F$1,FALSE)),VLOOKUP('Public Expenditure'!$B46,'Local Government'!$B$16:$O$75,'Public Expenditure'!F$1,FALSE),0)</f>
        <v>14687246.255000001</v>
      </c>
      <c r="G46" s="96">
        <f t="shared" si="4"/>
        <v>0.43284343961490179</v>
      </c>
      <c r="H46" s="247">
        <f t="shared" si="5"/>
        <v>-2341068.2650000006</v>
      </c>
      <c r="I46" s="248">
        <f t="shared" si="6"/>
        <v>-15.939463561476188</v>
      </c>
      <c r="J46" s="159">
        <f>+IF(ISNUMBER(VLOOKUP($B46,'Cental Budget'!$B$16:$K$90,'Public Expenditure'!J$1,FALSE)),VLOOKUP($B46,'Cental Budget'!$B$16:$K$90,'Public Expenditure'!J$1,FALSE),0)+IF(ISNUMBER(VLOOKUP('Public Expenditure'!$B46,'Local Government'!$B$16:$O$75,'Public Expenditure'!J$1,FALSE)),VLOOKUP('Public Expenditure'!$B46,'Local Government'!$B$16:$O$75,'Public Expenditure'!J$1,FALSE),0)</f>
        <v>10303766.51</v>
      </c>
      <c r="K46" s="96">
        <f t="shared" si="1"/>
        <v>0.3088751614257022</v>
      </c>
      <c r="L46" s="247">
        <f t="shared" si="8"/>
        <v>2042411.4800000004</v>
      </c>
      <c r="M46" s="248">
        <f t="shared" si="9"/>
        <v>19.821989153362523</v>
      </c>
      <c r="O46" s="81"/>
      <c r="P46" s="258"/>
      <c r="Q46" s="81"/>
      <c r="R46" s="81"/>
      <c r="CD46" s="170"/>
      <c r="CE46" s="170"/>
      <c r="CF46" s="145"/>
      <c r="CG46" s="145"/>
      <c r="CH46" s="145"/>
      <c r="CI46" s="142"/>
    </row>
    <row r="47" spans="1:87" ht="13.5" customHeight="1">
      <c r="B47" s="80">
        <v>419</v>
      </c>
      <c r="C47" s="93" t="str">
        <f>+'Cental Budget'!C60</f>
        <v>Other expenditures</v>
      </c>
      <c r="D47" s="159">
        <f>+IF(ISNUMBER(VLOOKUP($B47,'Cental Budget'!$B$16:$K$90,'Public Expenditure'!D$1,FALSE)),VLOOKUP($B47,'Cental Budget'!$B$16:$K$90,'Public Expenditure'!D$1,FALSE),0)+IF(ISNUMBER(VLOOKUP('Public Expenditure'!$B47,'Local Government'!$B$16:$O$75,'Public Expenditure'!D$1,FALSE)),VLOOKUP('Public Expenditure'!$B47,'Local Government'!$B$16:$O$75,'Public Expenditure'!D$1,FALSE),0)</f>
        <v>17383412.460000001</v>
      </c>
      <c r="E47" s="96">
        <f t="shared" si="0"/>
        <v>0.51230134708672392</v>
      </c>
      <c r="F47" s="159">
        <f>+IF(ISNUMBER(VLOOKUP($B47,'Cental Budget'!$B$16:$K$90,'Public Expenditure'!F$1,FALSE)),VLOOKUP($B47,'Cental Budget'!$B$16:$K$90,'Public Expenditure'!F$1,FALSE),0)+IF(ISNUMBER(VLOOKUP('Public Expenditure'!$B47,'Local Government'!$B$16:$O$75,'Public Expenditure'!F$1,FALSE)),VLOOKUP('Public Expenditure'!$B47,'Local Government'!$B$16:$O$75,'Public Expenditure'!F$1,FALSE),0)</f>
        <v>19636724.697500002</v>
      </c>
      <c r="G47" s="96">
        <f t="shared" si="4"/>
        <v>0.57870803779457647</v>
      </c>
      <c r="H47" s="247">
        <f t="shared" si="5"/>
        <v>-2253312.2375000007</v>
      </c>
      <c r="I47" s="248">
        <f t="shared" si="6"/>
        <v>-11.474990214569118</v>
      </c>
      <c r="J47" s="159">
        <f>+IF(ISNUMBER(VLOOKUP($B47,'Cental Budget'!$B$16:$K$90,'Public Expenditure'!J$1,FALSE)),VLOOKUP($B47,'Cental Budget'!$B$16:$K$90,'Public Expenditure'!J$1,FALSE),0)+IF(ISNUMBER(VLOOKUP('Public Expenditure'!$B47,'Local Government'!$B$16:$O$75,'Public Expenditure'!J$1,FALSE)),VLOOKUP('Public Expenditure'!$B47,'Local Government'!$B$16:$O$75,'Public Expenditure'!J$1,FALSE),0)</f>
        <v>15398630.290000001</v>
      </c>
      <c r="K47" s="96">
        <f t="shared" si="1"/>
        <v>0.46160347402500079</v>
      </c>
      <c r="L47" s="247">
        <f t="shared" si="8"/>
        <v>1984782.17</v>
      </c>
      <c r="M47" s="248">
        <f t="shared" si="9"/>
        <v>12.889342315653465</v>
      </c>
      <c r="O47" s="81"/>
      <c r="P47" s="258"/>
      <c r="Q47" s="81"/>
      <c r="R47" s="81"/>
      <c r="CD47" s="170"/>
      <c r="CE47" s="170"/>
      <c r="CF47" s="145"/>
      <c r="CG47" s="145"/>
      <c r="CH47" s="145"/>
      <c r="CI47" s="142"/>
    </row>
    <row r="48" spans="1:87" ht="13.5" customHeight="1">
      <c r="B48" s="80">
        <v>441</v>
      </c>
      <c r="C48" s="93" t="str">
        <f>+'Cental Budget'!C61</f>
        <v>Capital expenditures in Current budget</v>
      </c>
      <c r="D48" s="159">
        <f>+IF(ISNUMBER(VLOOKUP($B48,'Cental Budget'!$B$16:$K$90,'Public Expenditure'!D$1,FALSE)),VLOOKUP($B48,'Cental Budget'!$B$16:$K$90,'Public Expenditure'!D$1,FALSE),0)+IF(ISNUMBER(VLOOKUP('Public Expenditure'!$B48,'Local Government'!$B$16:$O$75,'Public Expenditure'!D$1,FALSE)),VLOOKUP('Public Expenditure'!$B48,'Local Government'!$B$16:$O$75,'Public Expenditure'!D$1,FALSE),0)</f>
        <v>4720798.459999999</v>
      </c>
      <c r="E48" s="96">
        <f t="shared" si="0"/>
        <v>0.13912523884179476</v>
      </c>
      <c r="F48" s="159">
        <f>+IF(ISNUMBER(VLOOKUP($B48,'Cental Budget'!$B$16:$K$90,'Public Expenditure'!F$1,FALSE)),VLOOKUP($B48,'Cental Budget'!$B$16:$K$90,'Public Expenditure'!F$1,FALSE),0)+IF(ISNUMBER(VLOOKUP('Public Expenditure'!$B48,'Local Government'!$B$16:$O$75,'Public Expenditure'!F$1,FALSE)),VLOOKUP('Public Expenditure'!$B48,'Local Government'!$B$16:$O$75,'Public Expenditure'!F$1,FALSE),0)</f>
        <v>7877222.4900000002</v>
      </c>
      <c r="G48" s="96">
        <f t="shared" si="4"/>
        <v>0.23214726695432952</v>
      </c>
      <c r="H48" s="247">
        <f>+D48-F48</f>
        <v>-3156424.0300000012</v>
      </c>
      <c r="I48" s="248">
        <f t="shared" si="6"/>
        <v>-40.070266315405298</v>
      </c>
      <c r="J48" s="159">
        <f>+IF(ISNUMBER(VLOOKUP($B48,'Cental Budget'!$B$16:$K$90,'Public Expenditure'!J$1,FALSE)),VLOOKUP($B48,'Cental Budget'!$B$16:$K$90,'Public Expenditure'!J$1,FALSE),0)+IF(ISNUMBER(VLOOKUP('Public Expenditure'!$B48,'Local Government'!$B$16:$O$75,'Public Expenditure'!J$1,FALSE)),VLOOKUP('Public Expenditure'!$B48,'Local Government'!$B$16:$O$75,'Public Expenditure'!J$1,FALSE),0)</f>
        <v>6352237.4899999993</v>
      </c>
      <c r="K48" s="96">
        <f t="shared" si="1"/>
        <v>0.19042050091429596</v>
      </c>
      <c r="L48" s="247">
        <f t="shared" si="8"/>
        <v>-1631439.0300000003</v>
      </c>
      <c r="M48" s="248">
        <f t="shared" si="9"/>
        <v>-25.682903584261311</v>
      </c>
      <c r="O48" s="81"/>
      <c r="P48" s="258"/>
      <c r="Q48" s="81"/>
      <c r="R48" s="81"/>
      <c r="CD48" s="170"/>
      <c r="CE48" s="170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tr">
        <f>+'Cental Budget'!C62</f>
        <v>Transfers for social protection</v>
      </c>
      <c r="D49" s="94">
        <f>+IF(ISNUMBER(VLOOKUP($B49,'Cental Budget'!$B$16:$K$90,'Public Expenditure'!D$1,FALSE)),VLOOKUP($B49,'Cental Budget'!$B$16:$K$90,'Public Expenditure'!D$1,FALSE),0)+IF(ISNUMBER(VLOOKUP('Public Expenditure'!$B49,'Local Government'!$B$16:$M$75,'Public Expenditure'!D$1,FALSE)),VLOOKUP('Public Expenditure'!$B49,'Local Government'!$B$16:$M$75,'Public Expenditure'!D$1,FALSE),0)</f>
        <v>368117404.91000003</v>
      </c>
      <c r="E49" s="96">
        <f t="shared" si="0"/>
        <v>10.848677890800159</v>
      </c>
      <c r="F49" s="94">
        <f>+IF(ISNUMBER(VLOOKUP($B49,'Cental Budget'!$B$16:$K$90,'Public Expenditure'!F$1,FALSE)),VLOOKUP($B49,'Cental Budget'!$B$16:$K$90,'Public Expenditure'!F$1,FALSE),0)+IF(ISNUMBER(VLOOKUP('Public Expenditure'!$B49,'Local Government'!$B$16:$M$75,'Public Expenditure'!F$1,FALSE)),VLOOKUP('Public Expenditure'!$B49,'Local Government'!$B$16:$M$75,'Public Expenditure'!F$1,FALSE),0)</f>
        <v>374076712.00424999</v>
      </c>
      <c r="G49" s="96">
        <f t="shared" si="4"/>
        <v>11.024302847011301</v>
      </c>
      <c r="H49" s="232">
        <f t="shared" si="5"/>
        <v>-5959307.0942499638</v>
      </c>
      <c r="I49" s="248">
        <f t="shared" si="6"/>
        <v>-1.5930708603379315</v>
      </c>
      <c r="J49" s="94">
        <f>+IF(ISNUMBER(VLOOKUP($B49,'Cental Budget'!$B$16:$K$90,'Public Expenditure'!J$1,FALSE)),VLOOKUP($B49,'Cental Budget'!$B$16:$K$90,'Public Expenditure'!J$1,FALSE),0)+IF(ISNUMBER(VLOOKUP('Public Expenditure'!$B49,'Local Government'!$B$16:$M$75,'Public Expenditure'!J$1,FALSE)),VLOOKUP('Public Expenditure'!$B49,'Local Government'!$B$16:$M$75,'Public Expenditure'!J$1,FALSE),0)</f>
        <v>357031682.22000003</v>
      </c>
      <c r="K49" s="96">
        <f t="shared" si="1"/>
        <v>10.702709380377112</v>
      </c>
      <c r="L49" s="232">
        <f t="shared" si="8"/>
        <v>11085722.689999998</v>
      </c>
      <c r="M49" s="248">
        <f t="shared" si="9"/>
        <v>3.1049688982976704</v>
      </c>
      <c r="O49" s="258"/>
      <c r="P49" s="81"/>
      <c r="Q49" s="81"/>
      <c r="R49" s="81"/>
      <c r="CD49" s="170"/>
      <c r="CE49" s="170"/>
      <c r="CF49" s="145"/>
      <c r="CG49" s="145"/>
      <c r="CH49" s="145"/>
      <c r="CI49" s="142"/>
    </row>
    <row r="50" spans="1:87" ht="13.5" hidden="1" customHeight="1">
      <c r="B50" s="80">
        <v>421</v>
      </c>
      <c r="C50" s="97" t="s">
        <v>89</v>
      </c>
      <c r="D50" s="161">
        <f>+IF(ISNUMBER(VLOOKUP($B50,'Cental Budget'!$B$16:$K$90,'Public Expenditure'!D$1,FALSE)),VLOOKUP($B50,'Cental Budget'!$B$16:$K$90,'Public Expenditure'!D$1,FALSE),0)+IF(ISNUMBER(VLOOKUP('Public Expenditure'!$B50,'Local Government'!$B$16:$O$75,'Public Expenditure'!D$1,FALSE)),VLOOKUP('Public Expenditure'!$B50,'Local Government'!$B$16:$O$75,'Public Expenditure'!D$1,FALSE),0)</f>
        <v>46199483.559999995</v>
      </c>
      <c r="E50" s="98">
        <f t="shared" si="0"/>
        <v>1.3615311560351109</v>
      </c>
      <c r="F50" s="161">
        <f>+IF(ISNUMBER(VLOOKUP($B50,'Cental Budget'!$B$16:$K$90,'Public Expenditure'!F$1,FALSE)),VLOOKUP($B50,'Cental Budget'!$B$16:$K$90,'Public Expenditure'!F$1,FALSE),0)+IF(ISNUMBER(VLOOKUP('Public Expenditure'!$B50,'Local Government'!$B$16:$O$75,'Public Expenditure'!F$1,FALSE)),VLOOKUP('Public Expenditure'!$B50,'Local Government'!$B$16:$O$75,'Public Expenditure'!F$1,FALSE),0)</f>
        <v>44392912.776749998</v>
      </c>
      <c r="G50" s="98">
        <f t="shared" si="4"/>
        <v>1.3082902490500108</v>
      </c>
      <c r="H50" s="249">
        <f t="shared" si="5"/>
        <v>1806570.7832499966</v>
      </c>
      <c r="I50" s="250">
        <f t="shared" si="6"/>
        <v>4.0695026981787805</v>
      </c>
      <c r="J50" s="161">
        <f>+IF(ISNUMBER(VLOOKUP($B50,'Cental Budget'!$B$16:$K$90,'Public Expenditure'!J$1,FALSE)),VLOOKUP($B50,'Cental Budget'!$B$16:$K$90,'Public Expenditure'!J$1,FALSE),0)+IF(ISNUMBER(VLOOKUP('Public Expenditure'!$B50,'Local Government'!$B$16:$O$75,'Public Expenditure'!J$1,FALSE)),VLOOKUP('Public Expenditure'!$B50,'Local Government'!$B$16:$O$75,'Public Expenditure'!J$1,FALSE),0)</f>
        <v>48611846.219999999</v>
      </c>
      <c r="K50" s="98">
        <f t="shared" si="1"/>
        <v>1.4572333169459515</v>
      </c>
      <c r="L50" s="249">
        <f t="shared" si="8"/>
        <v>-2412362.6600000039</v>
      </c>
      <c r="M50" s="250">
        <f t="shared" si="9"/>
        <v>-4.9624995707476529</v>
      </c>
      <c r="O50" s="81"/>
      <c r="P50" s="81"/>
      <c r="Q50" s="81"/>
      <c r="R50" s="81"/>
      <c r="CD50" s="170"/>
      <c r="CE50" s="170"/>
      <c r="CF50" s="145"/>
      <c r="CG50" s="145"/>
      <c r="CH50" s="145"/>
      <c r="CI50" s="142"/>
    </row>
    <row r="51" spans="1:87" ht="13.5" hidden="1" customHeight="1">
      <c r="B51" s="80">
        <v>422</v>
      </c>
      <c r="C51" s="97" t="s">
        <v>91</v>
      </c>
      <c r="D51" s="161">
        <f>+IF(ISNUMBER(VLOOKUP($B51,'Cental Budget'!$B$16:$K$90,'Public Expenditure'!D$1,FALSE)),VLOOKUP($B51,'Cental Budget'!$B$16:$K$90,'Public Expenditure'!D$1,FALSE),0)+IF(ISNUMBER(VLOOKUP('Public Expenditure'!$B51,'Local Government'!$B$16:$O$75,'Public Expenditure'!D$1,FALSE)),VLOOKUP('Public Expenditure'!$B51,'Local Government'!$B$16:$O$75,'Public Expenditure'!D$1,FALSE),0)</f>
        <v>17052455.700000003</v>
      </c>
      <c r="E51" s="98">
        <f t="shared" si="0"/>
        <v>0.50254781944273585</v>
      </c>
      <c r="F51" s="161">
        <f>+IF(ISNUMBER(VLOOKUP($B51,'Cental Budget'!$B$16:$K$90,'Public Expenditure'!F$1,FALSE)),VLOOKUP($B51,'Cental Budget'!$B$16:$K$90,'Public Expenditure'!F$1,FALSE),0)+IF(ISNUMBER(VLOOKUP('Public Expenditure'!$B51,'Local Government'!$B$16:$O$75,'Public Expenditure'!F$1,FALSE)),VLOOKUP('Public Expenditure'!$B51,'Local Government'!$B$16:$O$75,'Public Expenditure'!F$1,FALSE),0)</f>
        <v>15568593</v>
      </c>
      <c r="G51" s="98">
        <f t="shared" si="4"/>
        <v>0.45881734581732059</v>
      </c>
      <c r="H51" s="249">
        <f t="shared" si="5"/>
        <v>1483862.700000003</v>
      </c>
      <c r="I51" s="250">
        <f t="shared" si="6"/>
        <v>9.5311291135942895</v>
      </c>
      <c r="J51" s="161">
        <f>+IF(ISNUMBER(VLOOKUP($B51,'Cental Budget'!$B$16:$K$90,'Public Expenditure'!J$1,FALSE)),VLOOKUP($B51,'Cental Budget'!$B$16:$K$90,'Public Expenditure'!J$1,FALSE),0)+IF(ISNUMBER(VLOOKUP('Public Expenditure'!$B51,'Local Government'!$B$16:$O$75,'Public Expenditure'!J$1,FALSE)),VLOOKUP('Public Expenditure'!$B51,'Local Government'!$B$16:$O$75,'Public Expenditure'!J$1,FALSE),0)</f>
        <v>9073203.1300000008</v>
      </c>
      <c r="K51" s="98">
        <f t="shared" si="1"/>
        <v>0.27198666416859019</v>
      </c>
      <c r="L51" s="249">
        <f t="shared" si="8"/>
        <v>7979252.5700000022</v>
      </c>
      <c r="M51" s="250">
        <f t="shared" si="9"/>
        <v>87.943061074176569</v>
      </c>
      <c r="O51" s="81"/>
      <c r="P51" s="81"/>
      <c r="Q51" s="81"/>
      <c r="R51" s="81"/>
      <c r="CD51" s="170"/>
      <c r="CE51" s="170"/>
      <c r="CF51" s="145"/>
      <c r="CG51" s="145"/>
      <c r="CH51" s="145"/>
      <c r="CI51" s="142"/>
    </row>
    <row r="52" spans="1:87" ht="13.5" hidden="1" customHeight="1">
      <c r="B52" s="80">
        <v>423</v>
      </c>
      <c r="C52" s="97" t="s">
        <v>93</v>
      </c>
      <c r="D52" s="161">
        <f>+IF(ISNUMBER(VLOOKUP($B52,'Cental Budget'!$B$16:$K$90,'Public Expenditure'!D$1,FALSE)),VLOOKUP($B52,'Cental Budget'!$B$16:$K$90,'Public Expenditure'!D$1,FALSE),0)+IF(ISNUMBER(VLOOKUP('Public Expenditure'!$B52,'Local Government'!$B$16:$O$75,'Public Expenditure'!D$1,FALSE)),VLOOKUP('Public Expenditure'!$B52,'Local Government'!$B$16:$O$75,'Public Expenditure'!D$1,FALSE),0)</f>
        <v>288390330.13000005</v>
      </c>
      <c r="E52" s="98">
        <f t="shared" si="0"/>
        <v>8.4990651261567116</v>
      </c>
      <c r="F52" s="161">
        <f>+IF(ISNUMBER(VLOOKUP($B52,'Cental Budget'!$B$16:$K$90,'Public Expenditure'!F$1,FALSE)),VLOOKUP($B52,'Cental Budget'!$B$16:$K$90,'Public Expenditure'!F$1,FALSE),0)+IF(ISNUMBER(VLOOKUP('Public Expenditure'!$B52,'Local Government'!$B$16:$O$75,'Public Expenditure'!F$1,FALSE)),VLOOKUP('Public Expenditure'!$B52,'Local Government'!$B$16:$O$75,'Public Expenditure'!F$1,FALSE),0)</f>
        <v>297990206.22749996</v>
      </c>
      <c r="G52" s="98">
        <f t="shared" si="4"/>
        <v>8.7819802021195841</v>
      </c>
      <c r="H52" s="249">
        <f t="shared" si="5"/>
        <v>-9599876.097499907</v>
      </c>
      <c r="I52" s="250">
        <f t="shared" si="6"/>
        <v>-3.2215408080126338</v>
      </c>
      <c r="J52" s="161">
        <f>+IF(ISNUMBER(VLOOKUP($B52,'Cental Budget'!$B$16:$K$90,'Public Expenditure'!J$1,FALSE)),VLOOKUP($B52,'Cental Budget'!$B$16:$K$90,'Public Expenditure'!J$1,FALSE),0)+IF(ISNUMBER(VLOOKUP('Public Expenditure'!$B52,'Local Government'!$B$16:$O$75,'Public Expenditure'!J$1,FALSE)),VLOOKUP('Public Expenditure'!$B52,'Local Government'!$B$16:$O$75,'Public Expenditure'!J$1,FALSE),0)</f>
        <v>283420638.44</v>
      </c>
      <c r="K52" s="98">
        <f t="shared" si="1"/>
        <v>8.4960771737761931</v>
      </c>
      <c r="L52" s="249">
        <f t="shared" si="8"/>
        <v>4969691.6900000572</v>
      </c>
      <c r="M52" s="250">
        <f t="shared" si="9"/>
        <v>1.753468525564756</v>
      </c>
      <c r="O52" s="81"/>
      <c r="P52" s="81"/>
      <c r="Q52" s="81"/>
      <c r="R52" s="81"/>
      <c r="CD52" s="170"/>
      <c r="CE52" s="170"/>
      <c r="CF52" s="145"/>
      <c r="CG52" s="145"/>
      <c r="CH52" s="145"/>
      <c r="CI52" s="142"/>
    </row>
    <row r="53" spans="1:87" ht="13.5" hidden="1" customHeight="1">
      <c r="B53" s="80">
        <v>424</v>
      </c>
      <c r="C53" s="97" t="s">
        <v>95</v>
      </c>
      <c r="D53" s="161">
        <f>+IF(ISNUMBER(VLOOKUP($B53,'Cental Budget'!$B$16:$K$90,'Public Expenditure'!D$1,FALSE)),VLOOKUP($B53,'Cental Budget'!$B$16:$K$90,'Public Expenditure'!D$1,FALSE),0)+IF(ISNUMBER(VLOOKUP('Public Expenditure'!$B53,'Local Government'!$B$16:$O$75,'Public Expenditure'!D$1,FALSE)),VLOOKUP('Public Expenditure'!$B53,'Local Government'!$B$16:$O$75,'Public Expenditure'!D$1,FALSE),0)</f>
        <v>10816800</v>
      </c>
      <c r="E53" s="98">
        <f t="shared" si="0"/>
        <v>0.31877867616147415</v>
      </c>
      <c r="F53" s="161">
        <f>+IF(ISNUMBER(VLOOKUP($B53,'Cental Budget'!$B$16:$K$90,'Public Expenditure'!F$1,FALSE)),VLOOKUP($B53,'Cental Budget'!$B$16:$K$90,'Public Expenditure'!F$1,FALSE),0)+IF(ISNUMBER(VLOOKUP('Public Expenditure'!$B53,'Local Government'!$B$16:$O$75,'Public Expenditure'!F$1,FALSE)),VLOOKUP('Public Expenditure'!$B53,'Local Government'!$B$16:$O$75,'Public Expenditure'!F$1,FALSE),0)</f>
        <v>10875000</v>
      </c>
      <c r="G53" s="98">
        <f t="shared" si="4"/>
        <v>0.32049387094667847</v>
      </c>
      <c r="H53" s="249">
        <f t="shared" si="5"/>
        <v>-58200</v>
      </c>
      <c r="I53" s="250">
        <f t="shared" si="6"/>
        <v>-0.53517241379310576</v>
      </c>
      <c r="J53" s="161">
        <f>+IF(ISNUMBER(VLOOKUP($B53,'Cental Budget'!$B$16:$K$90,'Public Expenditure'!J$1,FALSE)),VLOOKUP($B53,'Cental Budget'!$B$16:$K$90,'Public Expenditure'!J$1,FALSE),0)+IF(ISNUMBER(VLOOKUP('Public Expenditure'!$B53,'Local Government'!$B$16:$O$75,'Public Expenditure'!J$1,FALSE)),VLOOKUP('Public Expenditure'!$B53,'Local Government'!$B$16:$O$75,'Public Expenditure'!J$1,FALSE),0)</f>
        <v>10432934.17</v>
      </c>
      <c r="K53" s="98">
        <f t="shared" si="1"/>
        <v>0.31274720974849363</v>
      </c>
      <c r="L53" s="249">
        <f t="shared" si="8"/>
        <v>383865.83000000007</v>
      </c>
      <c r="M53" s="250">
        <f t="shared" si="9"/>
        <v>3.6793659745674461</v>
      </c>
      <c r="O53" s="81"/>
      <c r="P53" s="81"/>
      <c r="Q53" s="81"/>
      <c r="R53" s="81"/>
      <c r="CD53" s="170"/>
      <c r="CE53" s="170"/>
      <c r="CF53" s="145"/>
      <c r="CG53" s="145"/>
      <c r="CH53" s="145"/>
      <c r="CI53" s="142"/>
    </row>
    <row r="54" spans="1:87" ht="13.5" hidden="1" customHeight="1">
      <c r="B54" s="80">
        <v>425</v>
      </c>
      <c r="C54" s="97" t="s">
        <v>432</v>
      </c>
      <c r="D54" s="161">
        <f>+IF(ISNUMBER(VLOOKUP($B54,'Cental Budget'!$B$16:$K$90,'Public Expenditure'!D$1,FALSE)),VLOOKUP($B54,'Cental Budget'!$B$16:$K$90,'Public Expenditure'!D$1,FALSE),0)+IF(ISNUMBER(VLOOKUP('Public Expenditure'!$B54,'Local Government'!$B$16:$O$75,'Public Expenditure'!D$1,FALSE)),VLOOKUP('Public Expenditure'!$B54,'Local Government'!$B$16:$O$75,'Public Expenditure'!D$1,FALSE),0)</f>
        <v>5658335.5199999996</v>
      </c>
      <c r="E54" s="98">
        <f t="shared" si="0"/>
        <v>0.16675511300412751</v>
      </c>
      <c r="F54" s="161">
        <f>+IF(ISNUMBER(VLOOKUP($B54,'Cental Budget'!$B$16:$K$90,'Public Expenditure'!F$1,FALSE)),VLOOKUP($B54,'Cental Budget'!$B$16:$K$90,'Public Expenditure'!F$1,FALSE),0)+IF(ISNUMBER(VLOOKUP('Public Expenditure'!$B54,'Local Government'!$B$16:$O$75,'Public Expenditure'!F$1,FALSE)),VLOOKUP('Public Expenditure'!$B54,'Local Government'!$B$16:$O$75,'Public Expenditure'!F$1,FALSE),0)</f>
        <v>5250000</v>
      </c>
      <c r="G54" s="98">
        <f t="shared" si="4"/>
        <v>0.15472117907770686</v>
      </c>
      <c r="H54" s="249">
        <f t="shared" si="5"/>
        <v>408335.51999999955</v>
      </c>
      <c r="I54" s="250">
        <f t="shared" si="6"/>
        <v>7.7778194285714335</v>
      </c>
      <c r="J54" s="161">
        <f>+IF(ISNUMBER(VLOOKUP($B54,'Cental Budget'!$B$16:$K$90,'Public Expenditure'!J$1,FALSE)),VLOOKUP($B54,'Cental Budget'!$B$16:$K$90,'Public Expenditure'!J$1,FALSE),0)+IF(ISNUMBER(VLOOKUP('Public Expenditure'!$B54,'Local Government'!$B$16:$O$75,'Public Expenditure'!J$1,FALSE)),VLOOKUP('Public Expenditure'!$B54,'Local Government'!$B$16:$O$75,'Public Expenditure'!J$1,FALSE),0)</f>
        <v>5493060.2600000007</v>
      </c>
      <c r="K54" s="98">
        <f t="shared" si="1"/>
        <v>0.16466501573788184</v>
      </c>
      <c r="L54" s="249">
        <f t="shared" si="8"/>
        <v>165275.25999999885</v>
      </c>
      <c r="M54" s="250">
        <f t="shared" si="9"/>
        <v>3.0088011450287553</v>
      </c>
      <c r="O54" s="81"/>
      <c r="P54" s="81"/>
      <c r="Q54" s="81"/>
      <c r="R54" s="81"/>
      <c r="CD54" s="170"/>
      <c r="CE54" s="170"/>
      <c r="CF54" s="145"/>
      <c r="CG54" s="145"/>
      <c r="CH54" s="145"/>
      <c r="CI54" s="142"/>
    </row>
    <row r="55" spans="1:87" ht="13.5" customHeight="1">
      <c r="A55" s="80">
        <v>43</v>
      </c>
      <c r="C55" s="93" t="str">
        <f>+'Cental Budget'!C68</f>
        <v>Transfers to individuals, institutions, NGOs and public sector</v>
      </c>
      <c r="D55" s="94">
        <f t="shared" ref="D55" si="22">+SUM(D56:D57)</f>
        <v>91940197.159999996</v>
      </c>
      <c r="E55" s="96">
        <f t="shared" si="0"/>
        <v>2.7095420398537207</v>
      </c>
      <c r="F55" s="94">
        <f t="shared" ref="F55" si="23">+SUM(F56:F57)</f>
        <v>97215427.580344573</v>
      </c>
      <c r="G55" s="96">
        <f t="shared" si="4"/>
        <v>2.8650067770998731</v>
      </c>
      <c r="H55" s="232">
        <f t="shared" si="5"/>
        <v>-5275230.4203445762</v>
      </c>
      <c r="I55" s="248">
        <f t="shared" si="6"/>
        <v>-5.426330523501349</v>
      </c>
      <c r="J55" s="94">
        <f t="shared" ref="J55" si="24">+SUM(J56:J57)</f>
        <v>86656440.149999991</v>
      </c>
      <c r="K55" s="96">
        <f t="shared" si="1"/>
        <v>2.5976929809047031</v>
      </c>
      <c r="L55" s="232">
        <f t="shared" si="8"/>
        <v>5283757.0100000054</v>
      </c>
      <c r="M55" s="248">
        <f t="shared" si="9"/>
        <v>6.0973621820305226</v>
      </c>
      <c r="O55" s="255"/>
      <c r="P55" s="81"/>
      <c r="Q55" s="81"/>
      <c r="R55" s="81"/>
      <c r="CD55" s="170"/>
      <c r="CE55" s="170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tr">
        <f>+'Cental Budget'!C69</f>
        <v>Transfers to individuals, institutions, NGOs and public sector</v>
      </c>
      <c r="D56" s="161">
        <f>+IF(ISNUMBER(VLOOKUP($B56,'Cental Budget'!$B$16:$K$90,'Public Expenditure'!D$1,FALSE)),VLOOKUP($B56,'Cental Budget'!$B$16:$K$90,'Public Expenditure'!D$1,FALSE),0)+IF(ISNUMBER(VLOOKUP('Public Expenditure'!$B56,'Local Government'!$B$16:$O$75,'Public Expenditure'!D$1,FALSE)),VLOOKUP('Public Expenditure'!$B56,'Local Government'!$B$16:$O$75,'Public Expenditure'!D$1,FALSE),0)-'Local Government'!D75</f>
        <v>91533617.61999999</v>
      </c>
      <c r="E56" s="98">
        <f t="shared" si="0"/>
        <v>2.6975598558884499</v>
      </c>
      <c r="F56" s="161">
        <f>+IF(ISNUMBER(VLOOKUP($B56,'Cental Budget'!$B$16:$K$90,'Public Expenditure'!F$1,FALSE)),VLOOKUP($B56,'Cental Budget'!$B$16:$K$90,'Public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97215427.580344573</v>
      </c>
      <c r="G56" s="98">
        <f t="shared" si="4"/>
        <v>2.8650067770998731</v>
      </c>
      <c r="H56" s="249">
        <f t="shared" si="5"/>
        <v>-5681809.9603445828</v>
      </c>
      <c r="I56" s="250">
        <f t="shared" si="6"/>
        <v>-5.8445558506120818</v>
      </c>
      <c r="J56" s="161">
        <f>+IF(ISNUMBER(VLOOKUP($B56,'Cental Budget'!$B$16:$K$90,'Public Expenditure'!J$1,FALSE)),VLOOKUP($B56,'Cental Budget'!$B$16:$K$90,'Public Expenditure'!J$1,FALSE),0)+IF(ISNUMBER(VLOOKUP('Public Expenditure'!$B56,'Local Government'!$B$16:$O$75,'Public Expenditure'!J$1,FALSE)),VLOOKUP('Public Expenditure'!$B56,'Local Government'!$B$16:$O$75,'Public Expenditure'!J$1,FALSE),0)-'Local Government'!J75</f>
        <v>86625640.149999991</v>
      </c>
      <c r="K56" s="98">
        <f t="shared" si="1"/>
        <v>2.5967696918372853</v>
      </c>
      <c r="L56" s="249">
        <f t="shared" si="8"/>
        <v>4907977.4699999988</v>
      </c>
      <c r="M56" s="250">
        <f t="shared" si="9"/>
        <v>5.665732987948374</v>
      </c>
      <c r="O56" s="81"/>
      <c r="P56" s="81"/>
      <c r="Q56" s="81"/>
      <c r="R56" s="81"/>
      <c r="CD56" s="170"/>
      <c r="CE56" s="170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tr">
        <f>+'Cental Budget'!C70</f>
        <v>Other trasnfers</v>
      </c>
      <c r="D57" s="161">
        <f>+IF(ISNUMBER(VLOOKUP($B57,'Cental Budget'!$B$16:$K$90,'Public Expenditure'!D$1,FALSE)),VLOOKUP($B57,'Cental Budget'!$B$16:$K$90,'Public Expenditure'!D$1,FALSE),0)+IF(ISNUMBER(VLOOKUP('Public Expenditure'!$B57,'Local Government'!$B$16:$O$75,'Public Expenditure'!D$1,FALSE)),VLOOKUP('Public Expenditure'!$B57,'Local Government'!$B$16:$O$75,'Public Expenditure'!D$1,FALSE),0)</f>
        <v>406579.54000000004</v>
      </c>
      <c r="E57" s="98">
        <f t="shared" si="0"/>
        <v>1.1982183965270796E-2</v>
      </c>
      <c r="F57" s="161">
        <f>+IF(ISNUMBER(VLOOKUP($B57,'Cental Budget'!$B$16:$K$90,'Public Expenditure'!F$1,FALSE)),VLOOKUP($B57,'Cental Budget'!$B$16:$K$90,'Public Expenditure'!F$1,FALSE),0)+IF(ISNUMBER(VLOOKUP('Public Expenditure'!$B57,'Local Government'!$B$16:$O$75,'Public Expenditure'!F$1,FALSE)),VLOOKUP('Public Expenditure'!$B57,'Local Government'!$B$16:$O$75,'Public Expenditure'!F$1,FALSE),0)</f>
        <v>0</v>
      </c>
      <c r="G57" s="98">
        <f t="shared" si="4"/>
        <v>0</v>
      </c>
      <c r="H57" s="249">
        <f t="shared" si="5"/>
        <v>406579.54000000004</v>
      </c>
      <c r="I57" s="250" t="e">
        <f t="shared" si="6"/>
        <v>#DIV/0!</v>
      </c>
      <c r="J57" s="161">
        <f>+IF(ISNUMBER(VLOOKUP($B57,'Cental Budget'!$B$16:$K$90,'Public Expenditure'!J$1,FALSE)),VLOOKUP($B57,'Cental Budget'!$B$16:$K$90,'Public Expenditure'!J$1,FALSE),0)+IF(ISNUMBER(VLOOKUP('Public Expenditure'!$B57,'Local Government'!$B$16:$O$75,'Public Expenditure'!J$1,FALSE)),VLOOKUP('Public Expenditure'!$B57,'Local Government'!$B$16:$O$75,'Public Expenditure'!J$1,FALSE),0)</f>
        <v>30800</v>
      </c>
      <c r="K57" s="98">
        <f t="shared" si="1"/>
        <v>9.2328906741808803E-4</v>
      </c>
      <c r="L57" s="249">
        <f t="shared" si="8"/>
        <v>375779.54000000004</v>
      </c>
      <c r="M57" s="250">
        <f t="shared" si="9"/>
        <v>1220.0634415584418</v>
      </c>
      <c r="O57" s="81"/>
      <c r="P57" s="81"/>
      <c r="Q57" s="81"/>
      <c r="R57" s="81"/>
      <c r="CD57" s="170"/>
      <c r="CE57" s="170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89" t="str">
        <f>+'Cental Budget'!C71</f>
        <v>Capital budget</v>
      </c>
      <c r="D58" s="188">
        <f>+IF(ISNUMBER(VLOOKUP($B58,'Cental Budget'!$B$16:$K$90,'Public Expenditure'!D$1,FALSE)),VLOOKUP($B58,'Cental Budget'!$B$16:$K$90,'Public Expenditure'!D$1,FALSE),0)+IF(ISNUMBER(VLOOKUP('Public Expenditure'!$B58,'Local Government'!$B$16:$O$75,'Public Expenditure'!D$1,FALSE)),VLOOKUP('Public Expenditure'!$B58,'Local Government'!$B$16:$O$75,'Public Expenditure'!D$1,FALSE),0)</f>
        <v>72666567.060000002</v>
      </c>
      <c r="E58" s="184">
        <f t="shared" si="0"/>
        <v>2.1415346542957057</v>
      </c>
      <c r="F58" s="188">
        <f>+IF(ISNUMBER(VLOOKUP($B58,'Cental Budget'!$B$16:$K$90,'Public Expenditure'!F$1,FALSE)),VLOOKUP($B58,'Cental Budget'!$B$16:$K$90,'Public Expenditure'!F$1,FALSE),0)+IF(ISNUMBER(VLOOKUP('Public Expenditure'!$B58,'Local Government'!$B$16:$O$75,'Public Expenditure'!F$1,FALSE)),VLOOKUP('Public Expenditure'!$B58,'Local Government'!$B$16:$O$75,'Public Expenditure'!F$1,FALSE),0)</f>
        <v>100865375</v>
      </c>
      <c r="G58" s="184">
        <f t="shared" si="4"/>
        <v>2.9725732853552489</v>
      </c>
      <c r="H58" s="188">
        <f t="shared" si="5"/>
        <v>-28198807.939999998</v>
      </c>
      <c r="I58" s="184">
        <f t="shared" si="6"/>
        <v>-27.956876123248435</v>
      </c>
      <c r="J58" s="188">
        <f>+IF(ISNUMBER(VLOOKUP($B58,'Cental Budget'!$B$16:$K$90,'Public Expenditure'!J$1,FALSE)),VLOOKUP($B58,'Cental Budget'!$B$16:$K$90,'Public Expenditure'!J$1,FALSE),0)+IF(ISNUMBER(VLOOKUP('Public Expenditure'!$B58,'Local Government'!$B$16:$O$75,'Public Expenditure'!J$1,FALSE)),VLOOKUP('Public Expenditure'!$B58,'Local Government'!$B$16:$O$75,'Public Expenditure'!J$1,FALSE),0)</f>
        <v>56583683.960000001</v>
      </c>
      <c r="K58" s="184">
        <f t="shared" si="1"/>
        <v>1.6962044413801374</v>
      </c>
      <c r="L58" s="188">
        <f t="shared" si="8"/>
        <v>16082883.100000001</v>
      </c>
      <c r="M58" s="184">
        <f t="shared" si="9"/>
        <v>28.423181338580349</v>
      </c>
      <c r="O58" s="255"/>
      <c r="P58" s="81"/>
      <c r="Q58" s="81"/>
      <c r="R58" s="81"/>
      <c r="CD58" s="170"/>
      <c r="CE58" s="170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tr">
        <f>+'Cental Budget'!C72</f>
        <v>Lending and borrowing</v>
      </c>
      <c r="D59" s="159">
        <f>+IF(ISNUMBER(VLOOKUP($B59,'Cental Budget'!$B$16:$K$90,'Public Expenditure'!D$1,FALSE)),VLOOKUP($B59,'Cental Budget'!$B$16:$K$90,'Public Expenditure'!D$1,FALSE),0)+IF(ISNUMBER(VLOOKUP('Public Expenditure'!$B59,'Local Government'!$B$16:$O$75,'Public Expenditure'!D$1,FALSE)),VLOOKUP('Public Expenditure'!$B59,'Local Government'!$B$16:$O$75,'Public Expenditure'!D$1,FALSE),0)</f>
        <v>2541746.4</v>
      </c>
      <c r="E59" s="96">
        <f t="shared" si="0"/>
        <v>7.4907047604669846E-2</v>
      </c>
      <c r="F59" s="159">
        <f>+IF(ISNUMBER(VLOOKUP($B59,'Cental Budget'!$B$16:$K$90,'Public Expenditure'!F$1,FALSE)),VLOOKUP($B59,'Cental Budget'!$B$16:$K$90,'Public Expenditure'!F$1,FALSE),0)+IF(ISNUMBER(VLOOKUP('Public Expenditure'!$B59,'Local Government'!$B$16:$O$75,'Public Expenditure'!F$1,FALSE)),VLOOKUP('Public Expenditure'!$B59,'Local Government'!$B$16:$O$75,'Public Expenditure'!F$1,FALSE),0)</f>
        <v>3149486.2637050003</v>
      </c>
      <c r="G59" s="96">
        <f t="shared" si="4"/>
        <v>9.2817567277996033E-2</v>
      </c>
      <c r="H59" s="247">
        <f t="shared" si="5"/>
        <v>-607739.86370500037</v>
      </c>
      <c r="I59" s="248">
        <f t="shared" si="6"/>
        <v>-19.296476085914591</v>
      </c>
      <c r="J59" s="159">
        <f>+IF(ISNUMBER(VLOOKUP($B59,'Cental Budget'!$B$16:$K$90,'Public Expenditure'!J$1,FALSE)),VLOOKUP($B59,'Cental Budget'!$B$16:$K$90,'Public Expenditure'!J$1,FALSE),0)+IF(ISNUMBER(VLOOKUP('Public Expenditure'!$B59,'Local Government'!$B$16:$O$75,'Public Expenditure'!J$1,FALSE)),VLOOKUP('Public Expenditure'!$B59,'Local Government'!$B$16:$O$75,'Public Expenditure'!J$1,FALSE),0)</f>
        <v>2239285.0099999998</v>
      </c>
      <c r="K59" s="96">
        <f t="shared" si="1"/>
        <v>6.7126862615785834E-2</v>
      </c>
      <c r="L59" s="247">
        <f t="shared" si="8"/>
        <v>302461.39000000013</v>
      </c>
      <c r="M59" s="248">
        <f t="shared" si="9"/>
        <v>13.507051967449215</v>
      </c>
      <c r="O59" s="255"/>
      <c r="P59" s="81"/>
      <c r="Q59" s="81"/>
      <c r="R59" s="81"/>
      <c r="CD59" s="170"/>
      <c r="CE59" s="170"/>
      <c r="CF59" s="145"/>
      <c r="CG59" s="145"/>
      <c r="CH59" s="145"/>
      <c r="CI59" s="142"/>
    </row>
    <row r="60" spans="1:87" ht="13.5" customHeight="1" thickBot="1">
      <c r="B60" s="80">
        <v>47</v>
      </c>
      <c r="C60" s="93" t="str">
        <f>+'Cental Budget'!C73</f>
        <v>Reseerve</v>
      </c>
      <c r="D60" s="159">
        <f>+IF(ISNUMBER(VLOOKUP($B60,'Cental Budget'!$B$16:$K$90,'Public Expenditure'!D$1,FALSE)),VLOOKUP($B60,'Cental Budget'!$B$16:$K$90,'Public Expenditure'!D$1,FALSE),0)+IF(ISNUMBER(VLOOKUP('Public Expenditure'!$B60,'Local Government'!$B$16:$O$75,'Public Expenditure'!D$1,FALSE)),VLOOKUP('Public Expenditure'!$B60,'Local Government'!$B$16:$O$75,'Public Expenditure'!D$1,FALSE),0)</f>
        <v>10656273.039999999</v>
      </c>
      <c r="E60" s="96">
        <f t="shared" si="0"/>
        <v>0.31404783415671989</v>
      </c>
      <c r="F60" s="159">
        <f>+IF(ISNUMBER(VLOOKUP($B60,'Cental Budget'!$B$16:$K$90,'Public Expenditure'!F$1,FALSE)),VLOOKUP($B60,'Cental Budget'!$B$16:$K$90,'Public Expenditure'!F$1,FALSE),0)+IF(ISNUMBER(VLOOKUP('Public Expenditure'!$B60,'Local Government'!$B$16:$O$75,'Public Expenditure'!F$1,FALSE)),VLOOKUP('Public Expenditure'!$B60,'Local Government'!$B$16:$O$75,'Public Expenditure'!F$1,FALSE),0)</f>
        <v>9339138.6576049998</v>
      </c>
      <c r="G60" s="96">
        <f t="shared" si="4"/>
        <v>0.2752309608904453</v>
      </c>
      <c r="H60" s="247">
        <f t="shared" si="5"/>
        <v>1317134.3823949993</v>
      </c>
      <c r="I60" s="248">
        <f t="shared" si="6"/>
        <v>14.103381807298021</v>
      </c>
      <c r="J60" s="159">
        <f>+IF(ISNUMBER(VLOOKUP($B60,'Cental Budget'!$B$16:$K$90,'Public Expenditure'!J$1,FALSE)),VLOOKUP($B60,'Cental Budget'!$B$16:$K$90,'Public Expenditure'!J$1,FALSE),0)+IF(ISNUMBER(VLOOKUP('Public Expenditure'!$B60,'Local Government'!$B$16:$O$75,'Public Expenditure'!J$1,FALSE)),VLOOKUP('Public Expenditure'!$B60,'Local Government'!$B$16:$O$75,'Public Expenditure'!J$1,FALSE),0)</f>
        <v>13611255.809999999</v>
      </c>
      <c r="K60" s="96">
        <f t="shared" si="1"/>
        <v>0.40802349620791989</v>
      </c>
      <c r="L60" s="247">
        <f t="shared" si="8"/>
        <v>-2954982.7699999996</v>
      </c>
      <c r="M60" s="248">
        <f t="shared" si="9"/>
        <v>-21.709846697826478</v>
      </c>
      <c r="O60" s="255"/>
      <c r="P60" s="81"/>
      <c r="Q60" s="81"/>
      <c r="R60" s="81"/>
      <c r="CD60" s="170"/>
      <c r="CE60" s="170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52" t="str">
        <f>+'Cental Budget'!C74</f>
        <v>Guarantees</v>
      </c>
      <c r="D61" s="172">
        <f>+IF(ISNUMBER(VLOOKUP($B61,'Cental Budget'!$B$16:$K$90,'Public Expenditure'!D$1,FALSE)),VLOOKUP($B61,'Cental Budget'!$B$16:$K$90,'Public Expenditure'!D$1,FALSE),0)+IF(ISNUMBER(VLOOKUP('Public Expenditure'!$B61,'Local Government'!$B$16:$O$75,'Public Expenditure'!D$1,FALSE)),VLOOKUP('Public Expenditure'!$B61,'Local Government'!$B$16:$O$75,'Public Expenditure'!D$1,FALSE),0)</f>
        <v>15258930.949999999</v>
      </c>
      <c r="E61" s="154">
        <f t="shared" si="0"/>
        <v>0.4496913881998692</v>
      </c>
      <c r="F61" s="172">
        <f>+IF(ISNUMBER(VLOOKUP($B61,'Cental Budget'!$B$16:$K$90,'Public Expenditure'!F$1,FALSE)),VLOOKUP($B61,'Cental Budget'!$B$16:$K$90,'Public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154">
        <f t="shared" si="4"/>
        <v>0</v>
      </c>
      <c r="H61" s="252">
        <f t="shared" si="5"/>
        <v>15258930.949999999</v>
      </c>
      <c r="I61" s="253" t="e">
        <f t="shared" si="6"/>
        <v>#DIV/0!</v>
      </c>
      <c r="J61" s="172">
        <f>+IF(ISNUMBER(VLOOKUP($B61,'Cental Budget'!$B$16:$K$90,'Public Expenditure'!J$1,FALSE)),VLOOKUP($B61,'Cental Budget'!$B$16:$K$90,'Public Expenditure'!J$1,FALSE),0)+IF(ISNUMBER(VLOOKUP('Public Expenditure'!$B61,'Local Government'!$B$16:$O$75,'Public Expenditure'!J$1,FALSE)),VLOOKUP('Public Expenditure'!$B61,'Local Government'!$B$16:$O$75,'Public Expenditure'!J$1,FALSE),0)</f>
        <v>103102294.38</v>
      </c>
      <c r="K61" s="154">
        <f t="shared" si="1"/>
        <v>3.0906890008693306</v>
      </c>
      <c r="L61" s="252">
        <f t="shared" si="8"/>
        <v>-87843363.429999992</v>
      </c>
      <c r="M61" s="253">
        <f t="shared" si="9"/>
        <v>-85.200202341025729</v>
      </c>
      <c r="O61" s="255"/>
      <c r="P61" s="81"/>
      <c r="Q61" s="81"/>
      <c r="R61" s="81"/>
      <c r="CD61" s="170"/>
      <c r="CE61" s="170"/>
      <c r="CF61" s="145"/>
      <c r="CG61" s="145"/>
      <c r="CH61" s="145"/>
      <c r="CI61" s="142"/>
    </row>
    <row r="62" spans="1:87" ht="13.5" customHeight="1" thickTop="1" thickBot="1">
      <c r="B62" s="80">
        <v>990</v>
      </c>
      <c r="C62" s="151" t="str">
        <f>+'Cental Budget'!C75</f>
        <v>Net increase of liabilities</v>
      </c>
      <c r="D62" s="159">
        <f>+IF(ISNUMBER(VLOOKUP($B62,'Cental Budget'!$B$16:$K$90,'Public Expenditure'!D$1,FALSE)),VLOOKUP($B62,'Cental Budget'!$B$16:$K$90,'Public Expenditure'!D$1,FALSE),0)+IF(ISNUMBER(VLOOKUP('Public Expenditure'!$B62,'Local Government'!$B$16:$O$75,'Public Expenditure'!D$1,FALSE)),VLOOKUP('Public Expenditure'!$B62,'Local Government'!$B$16:$O$75,'Public Expenditure'!D$1,FALSE),0)</f>
        <v>0</v>
      </c>
      <c r="E62" s="96">
        <f t="shared" si="0"/>
        <v>0</v>
      </c>
      <c r="F62" s="159">
        <f>+IF(ISNUMBER(VLOOKUP($B62,'Cental Budget'!$B$16:$K$90,'Public Expenditure'!F$1,FALSE)),VLOOKUP($B62,'Cental Budget'!$B$16:$K$90,'Public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96">
        <f t="shared" si="4"/>
        <v>0</v>
      </c>
      <c r="H62" s="247">
        <f t="shared" si="5"/>
        <v>0</v>
      </c>
      <c r="I62" s="248" t="e">
        <f t="shared" si="6"/>
        <v>#DIV/0!</v>
      </c>
      <c r="J62" s="159">
        <f>+IF(ISNUMBER(VLOOKUP($B62,'Cental Budget'!$B$16:$K$90,'Public Expenditure'!J$1,FALSE)),VLOOKUP($B62,'Cental Budget'!$B$16:$K$90,'Public Expenditure'!J$1,FALSE),0)+IF(ISNUMBER(VLOOKUP('Public Expenditure'!$B62,'Local Government'!$B$16:$O$75,'Public Expenditure'!J$1,FALSE)),VLOOKUP('Public Expenditure'!$B62,'Local Government'!$B$16:$O$75,'Public Expenditure'!J$1,FALSE),0)</f>
        <v>0</v>
      </c>
      <c r="K62" s="96">
        <f t="shared" si="1"/>
        <v>0</v>
      </c>
      <c r="L62" s="247">
        <f t="shared" si="8"/>
        <v>0</v>
      </c>
      <c r="M62" s="248" t="e">
        <f t="shared" si="9"/>
        <v>#DIV/0!</v>
      </c>
      <c r="O62" s="81"/>
      <c r="P62" s="81"/>
      <c r="Q62" s="81"/>
      <c r="R62" s="81"/>
      <c r="CD62" s="170"/>
      <c r="CE62" s="170"/>
      <c r="CF62" s="145"/>
      <c r="CG62" s="145"/>
      <c r="CH62" s="145"/>
      <c r="CI62" s="142"/>
    </row>
    <row r="63" spans="1:87" ht="13.5" customHeight="1" thickTop="1" thickBot="1">
      <c r="C63" s="189" t="str">
        <f>+'Cental Budget'!C76</f>
        <v>Surplus / deficit</v>
      </c>
      <c r="D63" s="183">
        <f t="shared" ref="D63" si="25">+D16-D36</f>
        <v>10506348.61076951</v>
      </c>
      <c r="E63" s="184">
        <f t="shared" si="0"/>
        <v>0.30962945616374971</v>
      </c>
      <c r="F63" s="183">
        <f t="shared" ref="F63" si="26">+F16-F36</f>
        <v>-54629812.396572709</v>
      </c>
      <c r="G63" s="184">
        <f t="shared" si="4"/>
        <v>-1.6099788546269822</v>
      </c>
      <c r="H63" s="183">
        <f t="shared" si="5"/>
        <v>65136161.007342219</v>
      </c>
      <c r="I63" s="184">
        <f t="shared" si="6"/>
        <v>-119.23189582732054</v>
      </c>
      <c r="J63" s="183">
        <f t="shared" ref="J63" si="27">+J16-J36</f>
        <v>-98149715.01000011</v>
      </c>
      <c r="K63" s="184">
        <f t="shared" si="1"/>
        <v>-2.94222593632903</v>
      </c>
      <c r="L63" s="183">
        <f t="shared" si="8"/>
        <v>108656063.62076962</v>
      </c>
      <c r="M63" s="184">
        <f t="shared" si="9"/>
        <v>-110.70441071550647</v>
      </c>
      <c r="O63" s="255"/>
      <c r="P63" s="255"/>
      <c r="Q63" s="81"/>
      <c r="R63" s="81"/>
      <c r="CD63" s="170"/>
      <c r="CE63" s="170"/>
      <c r="CF63" s="145"/>
      <c r="CG63" s="145"/>
      <c r="CH63" s="145"/>
      <c r="CI63" s="142"/>
    </row>
    <row r="64" spans="1:87" ht="13.5" customHeight="1" thickTop="1" thickBot="1">
      <c r="C64" s="189" t="str">
        <f>+'Cental Budget'!C77</f>
        <v>Primary deficit</v>
      </c>
      <c r="D64" s="183">
        <f t="shared" ref="D64" si="28">+D63+D44</f>
        <v>76535553.010769516</v>
      </c>
      <c r="E64" s="184">
        <f t="shared" si="0"/>
        <v>2.2555563815601136</v>
      </c>
      <c r="F64" s="183">
        <f t="shared" ref="F64" si="29">+F63+F44</f>
        <v>2700384.3854272962</v>
      </c>
      <c r="G64" s="184">
        <f t="shared" si="4"/>
        <v>7.9582220205017151E-2</v>
      </c>
      <c r="H64" s="183">
        <f t="shared" si="5"/>
        <v>73835168.62534222</v>
      </c>
      <c r="I64" s="184">
        <f t="shared" si="6"/>
        <v>2734.246614067089</v>
      </c>
      <c r="J64" s="183">
        <f t="shared" ref="J64" si="30">+J63+J44</f>
        <v>-35061298.150000095</v>
      </c>
      <c r="K64" s="184">
        <f t="shared" si="1"/>
        <v>-1.0510296516682183</v>
      </c>
      <c r="L64" s="183">
        <f t="shared" si="8"/>
        <v>111596851.16076961</v>
      </c>
      <c r="M64" s="184">
        <f t="shared" si="9"/>
        <v>-318.29069957231263</v>
      </c>
      <c r="O64" s="255"/>
      <c r="P64" s="81"/>
      <c r="Q64" s="81"/>
      <c r="R64" s="81"/>
      <c r="CD64" s="170"/>
      <c r="CE64" s="170"/>
      <c r="CF64" s="145"/>
      <c r="CG64" s="145"/>
      <c r="CH64" s="145"/>
      <c r="CI64" s="142"/>
    </row>
    <row r="65" spans="2:87" ht="13.5" customHeight="1" thickTop="1" thickBot="1">
      <c r="C65" s="189" t="str">
        <f>+'Cental Budget'!C78</f>
        <v>Debt repayment</v>
      </c>
      <c r="D65" s="183">
        <f t="shared" ref="D65" si="31">+SUM(D66:D68)</f>
        <v>243373238.34000003</v>
      </c>
      <c r="E65" s="184">
        <f t="shared" si="0"/>
        <v>7.1723798841761095</v>
      </c>
      <c r="F65" s="183">
        <f t="shared" ref="F65" si="32">+SUM(F66:F68)</f>
        <v>167770179.11750001</v>
      </c>
      <c r="G65" s="184">
        <f t="shared" si="4"/>
        <v>4.944304748026223</v>
      </c>
      <c r="H65" s="183">
        <f t="shared" si="5"/>
        <v>75603059.222500026</v>
      </c>
      <c r="I65" s="184">
        <f t="shared" si="6"/>
        <v>45.063466952342253</v>
      </c>
      <c r="J65" s="183">
        <f t="shared" ref="J65" si="33">+SUM(J66:J68)</f>
        <v>181131801.91999996</v>
      </c>
      <c r="K65" s="184">
        <f t="shared" si="1"/>
        <v>5.4297731322881368</v>
      </c>
      <c r="L65" s="183">
        <f t="shared" si="8"/>
        <v>62241436.420000076</v>
      </c>
      <c r="M65" s="184">
        <f t="shared" si="9"/>
        <v>34.36251158561879</v>
      </c>
      <c r="O65" s="81"/>
      <c r="P65" s="81"/>
      <c r="Q65" s="81"/>
      <c r="R65" s="81"/>
      <c r="CD65" s="170"/>
      <c r="CE65" s="170"/>
      <c r="CF65" s="145"/>
      <c r="CG65" s="145"/>
      <c r="CH65" s="145"/>
      <c r="CI65" s="142"/>
    </row>
    <row r="66" spans="2:87" ht="13.5" customHeight="1" thickTop="1">
      <c r="B66" s="80">
        <v>4611</v>
      </c>
      <c r="C66" s="97" t="str">
        <f>+'Cental Budget'!C79</f>
        <v>Debt repayment to residents</v>
      </c>
      <c r="D66" s="161">
        <f>+IF(ISNUMBER(VLOOKUP($B66,'Cental Budget'!$B$16:$K$90,'Public Expenditure'!D$1,FALSE)),VLOOKUP($B66,'Cental Budget'!$B$16:$K$90,'Public Expenditure'!D$1,FALSE),0)+IF(ISNUMBER(VLOOKUP('Public Expenditure'!$B66,'Local Government'!$B$16:$O$75,'Public Expenditure'!D$1,FALSE)),VLOOKUP('Public Expenditure'!$B66,'Local Government'!$B$16:$O$75,'Public Expenditure'!D$1,FALSE),0)</f>
        <v>95122487.370000005</v>
      </c>
      <c r="E66" s="98">
        <f t="shared" si="0"/>
        <v>2.803326362417272</v>
      </c>
      <c r="F66" s="161">
        <f>+IF(ISNUMBER(VLOOKUP($B66,'Cental Budget'!$B$16:$K$90,'Public Expenditure'!F$1,FALSE)),VLOOKUP($B66,'Cental Budget'!$B$16:$K$90,'Public Expenditure'!F$1,FALSE),0)+IF(ISNUMBER(VLOOKUP('Public Expenditure'!$B66,'Local Government'!$B$16:$O$75,'Public Expenditure'!F$1,FALSE)),VLOOKUP('Public Expenditure'!$B66,'Local Government'!$B$16:$O$75,'Public Expenditure'!F$1,FALSE),0)</f>
        <v>26106258.952500001</v>
      </c>
      <c r="G66" s="98">
        <f t="shared" si="4"/>
        <v>0.76936974598833152</v>
      </c>
      <c r="H66" s="249">
        <f t="shared" si="5"/>
        <v>69016228.417500004</v>
      </c>
      <c r="I66" s="250">
        <f t="shared" si="6"/>
        <v>264.36659707955147</v>
      </c>
      <c r="J66" s="161">
        <f>+IF(ISNUMBER(VLOOKUP($B66,'Cental Budget'!$B$16:$K$90,'Public Expenditure'!J$1,FALSE)),VLOOKUP($B66,'Cental Budget'!$B$16:$K$90,'Public Expenditure'!J$1,FALSE),0)+IF(ISNUMBER(VLOOKUP('Public Expenditure'!$B66,'Local Government'!$B$16:$O$75,'Public Expenditure'!J$1,FALSE)),VLOOKUP('Public Expenditure'!$B66,'Local Government'!$B$16:$O$75,'Public Expenditure'!J$1,FALSE),0)</f>
        <v>54678094.399999991</v>
      </c>
      <c r="K66" s="98">
        <f t="shared" si="1"/>
        <v>1.6390807398303304</v>
      </c>
      <c r="L66" s="249">
        <f t="shared" si="8"/>
        <v>40444392.970000014</v>
      </c>
      <c r="M66" s="250">
        <f t="shared" si="9"/>
        <v>73.968183079182126</v>
      </c>
      <c r="O66" s="81"/>
      <c r="P66" s="81"/>
      <c r="Q66" s="81"/>
      <c r="R66" s="81"/>
      <c r="CD66" s="170"/>
      <c r="CE66" s="170"/>
      <c r="CF66" s="145"/>
      <c r="CG66" s="145"/>
      <c r="CH66" s="145"/>
      <c r="CI66" s="142"/>
    </row>
    <row r="67" spans="2:87" ht="13.5" customHeight="1">
      <c r="B67" s="80">
        <v>4612</v>
      </c>
      <c r="C67" s="97" t="str">
        <f>+'Cental Budget'!C80</f>
        <v>Debt repayment to non-residents</v>
      </c>
      <c r="D67" s="161">
        <f>+IF(ISNUMBER(VLOOKUP($B67,'Cental Budget'!$B$16:$K$90,'Public Expenditure'!D$1,FALSE)),VLOOKUP($B67,'Cental Budget'!$B$16:$K$90,'Public Expenditure'!D$1,FALSE),0)+IF(ISNUMBER(VLOOKUP('Public Expenditure'!$B67,'Local Government'!$B$16:$O$75,'Public Expenditure'!D$1,FALSE)),VLOOKUP('Public Expenditure'!$B67,'Local Government'!$B$16:$O$75,'Public Expenditure'!D$1,FALSE),0)</f>
        <v>79017658.890000015</v>
      </c>
      <c r="E67" s="98">
        <f t="shared" si="0"/>
        <v>2.3287057812230185</v>
      </c>
      <c r="F67" s="161">
        <f>+IF(ISNUMBER(VLOOKUP($B67,'Cental Budget'!$B$16:$K$90,'Public Expenditure'!F$1,FALSE)),VLOOKUP($B67,'Cental Budget'!$B$16:$K$90,'Public Expenditure'!F$1,FALSE),0)+IF(ISNUMBER(VLOOKUP('Public Expenditure'!$B67,'Local Government'!$B$16:$O$75,'Public Expenditure'!F$1,FALSE)),VLOOKUP('Public Expenditure'!$B67,'Local Government'!$B$16:$O$75,'Public Expenditure'!F$1,FALSE),0)</f>
        <v>84660300.1875</v>
      </c>
      <c r="G67" s="98">
        <f t="shared" si="4"/>
        <v>2.4949983744919249</v>
      </c>
      <c r="H67" s="249">
        <f t="shared" si="5"/>
        <v>-5642641.2974999845</v>
      </c>
      <c r="I67" s="250">
        <f t="shared" si="6"/>
        <v>-6.6650381406669226</v>
      </c>
      <c r="J67" s="161">
        <f>+IF(ISNUMBER(VLOOKUP($B67,'Cental Budget'!$B$16:$K$90,'Public Expenditure'!J$1,FALSE)),VLOOKUP($B67,'Cental Budget'!$B$16:$K$90,'Public Expenditure'!J$1,FALSE),0)+IF(ISNUMBER(VLOOKUP('Public Expenditure'!$B67,'Local Government'!$B$16:$O$75,'Public Expenditure'!J$1,FALSE)),VLOOKUP('Public Expenditure'!$B67,'Local Government'!$B$16:$O$75,'Public Expenditure'!J$1,FALSE),0)</f>
        <v>46689891.309999995</v>
      </c>
      <c r="K67" s="98">
        <f t="shared" si="1"/>
        <v>1.3996190326448632</v>
      </c>
      <c r="L67" s="249">
        <f t="shared" si="8"/>
        <v>32327767.580000021</v>
      </c>
      <c r="M67" s="250">
        <f t="shared" si="9"/>
        <v>69.239329270137091</v>
      </c>
      <c r="O67" s="81"/>
      <c r="P67" s="81"/>
      <c r="Q67" s="81"/>
      <c r="R67" s="81"/>
      <c r="CD67" s="170"/>
      <c r="CE67" s="170"/>
      <c r="CF67" s="145"/>
      <c r="CG67" s="145"/>
      <c r="CH67" s="145"/>
      <c r="CI67" s="142"/>
    </row>
    <row r="68" spans="2:87" ht="13.5" customHeight="1" thickBot="1">
      <c r="B68" s="80">
        <v>4630</v>
      </c>
      <c r="C68" s="97" t="str">
        <f>+'Cental Budget'!C81</f>
        <v>Repayment of liabilities</v>
      </c>
      <c r="D68" s="161">
        <f>+IF(ISNUMBER(VLOOKUP($B68,'Cental Budget'!$B$16:$K$90,'Public Expenditure'!D$1,FALSE)),VLOOKUP($B68,'Cental Budget'!$B$16:$K$90,'Public Expenditure'!D$1,FALSE),0)+IF(ISNUMBER(VLOOKUP('Public Expenditure'!$B68,'Local Government'!$B$16:$O$75,'Public Expenditure'!D$1,FALSE)),VLOOKUP('Public Expenditure'!$B68,'Local Government'!$B$16:$O$75,'Public Expenditure'!D$1,FALSE),0)</f>
        <v>69233092.079999998</v>
      </c>
      <c r="E68" s="98">
        <f t="shared" si="0"/>
        <v>2.0403477405358186</v>
      </c>
      <c r="F68" s="161">
        <f>+IF(ISNUMBER(VLOOKUP($B68,'Cental Budget'!$B$16:$K$90,'Public Expenditure'!F$1,FALSE)),VLOOKUP($B68,'Cental Budget'!$B$16:$K$90,'Public Expenditure'!F$1,FALSE),0)+IF(ISNUMBER(VLOOKUP('Public Expenditure'!$B68,'Local Government'!$B$16:$O$75,'Public Expenditure'!F$1,FALSE)),VLOOKUP('Public Expenditure'!$B68,'Local Government'!$B$16:$O$75,'Public Expenditure'!F$1,FALSE),0)</f>
        <v>57003619.977499999</v>
      </c>
      <c r="G68" s="98">
        <f t="shared" si="4"/>
        <v>1.6799366275459664</v>
      </c>
      <c r="H68" s="249">
        <f t="shared" si="5"/>
        <v>12229472.102499999</v>
      </c>
      <c r="I68" s="250">
        <f t="shared" si="6"/>
        <v>21.453851715605282</v>
      </c>
      <c r="J68" s="161">
        <f>+IF(ISNUMBER(VLOOKUP($B68,'Cental Budget'!$B$16:$K$90,'Public Expenditure'!J$1,FALSE)),VLOOKUP($B68,'Cental Budget'!$B$16:$K$90,'Public Expenditure'!J$1,FALSE),0)+IF(ISNUMBER(VLOOKUP('Public Expenditure'!$B68,'Local Government'!$B$16:$O$75,'Public Expenditure'!J$1,FALSE)),VLOOKUP('Public Expenditure'!$B68,'Local Government'!$B$16:$O$75,'Public Expenditure'!J$1,FALSE),0)</f>
        <v>79763816.209999993</v>
      </c>
      <c r="K68" s="98">
        <f t="shared" si="1"/>
        <v>2.3910733598129439</v>
      </c>
      <c r="L68" s="249">
        <f t="shared" si="8"/>
        <v>-10530724.129999995</v>
      </c>
      <c r="M68" s="250">
        <f t="shared" si="9"/>
        <v>-13.202382521762743</v>
      </c>
      <c r="O68" s="81"/>
      <c r="P68" s="81"/>
      <c r="Q68" s="81"/>
      <c r="R68" s="81"/>
      <c r="CD68" s="170"/>
      <c r="CE68" s="170"/>
      <c r="CF68" s="145"/>
      <c r="CG68" s="145"/>
      <c r="CH68" s="145"/>
      <c r="CI68" s="142"/>
    </row>
    <row r="69" spans="2:87" ht="13.5" customHeight="1" thickTop="1" thickBot="1">
      <c r="C69" s="189" t="str">
        <f>+'Cental Budget'!C82</f>
        <v>Financing needs</v>
      </c>
      <c r="D69" s="183">
        <f t="shared" ref="D69" si="34">+D63-D65</f>
        <v>-232866889.72923052</v>
      </c>
      <c r="E69" s="184">
        <f t="shared" si="0"/>
        <v>-6.8627504280123599</v>
      </c>
      <c r="F69" s="183">
        <f t="shared" ref="F69" si="35">+F63-F65</f>
        <v>-222399991.51407272</v>
      </c>
      <c r="G69" s="184">
        <f t="shared" si="4"/>
        <v>-6.5542836026532045</v>
      </c>
      <c r="H69" s="183">
        <f t="shared" si="5"/>
        <v>-10466898.215157807</v>
      </c>
      <c r="I69" s="184">
        <f t="shared" si="6"/>
        <v>4.7063393050963782</v>
      </c>
      <c r="J69" s="183">
        <f t="shared" ref="J69" si="36">+J63-J65</f>
        <v>-279281516.93000007</v>
      </c>
      <c r="K69" s="184">
        <f t="shared" si="1"/>
        <v>-8.3719990686171677</v>
      </c>
      <c r="L69" s="183">
        <f t="shared" si="8"/>
        <v>46414627.200769544</v>
      </c>
      <c r="M69" s="184">
        <f t="shared" si="9"/>
        <v>-16.619297872262365</v>
      </c>
      <c r="O69" s="81"/>
      <c r="P69" s="81"/>
      <c r="Q69" s="81"/>
      <c r="R69" s="81"/>
      <c r="CD69" s="170"/>
      <c r="CE69" s="170"/>
      <c r="CF69" s="145"/>
      <c r="CG69" s="145"/>
      <c r="CH69" s="145"/>
      <c r="CI69" s="142"/>
    </row>
    <row r="70" spans="2:87" ht="13.5" customHeight="1" thickTop="1" thickBot="1">
      <c r="C70" s="189" t="str">
        <f>+'Cental Budget'!C83</f>
        <v>Financing</v>
      </c>
      <c r="D70" s="183">
        <f t="shared" ref="D70" si="37">+SUM(D71:D74)</f>
        <v>232866889.72923052</v>
      </c>
      <c r="E70" s="184">
        <f t="shared" si="0"/>
        <v>6.8627504280123599</v>
      </c>
      <c r="F70" s="183">
        <f t="shared" ref="F70" si="38">+SUM(F71:F74)</f>
        <v>222399991.51407272</v>
      </c>
      <c r="G70" s="184">
        <f t="shared" si="4"/>
        <v>6.5542836026532045</v>
      </c>
      <c r="H70" s="183">
        <f t="shared" si="5"/>
        <v>10466898.215157807</v>
      </c>
      <c r="I70" s="184">
        <f t="shared" si="6"/>
        <v>4.7063393050963782</v>
      </c>
      <c r="J70" s="183">
        <f t="shared" ref="J70" si="39">+SUM(J71:J74)</f>
        <v>279281516.93000007</v>
      </c>
      <c r="K70" s="184">
        <f t="shared" si="1"/>
        <v>8.3719990686171677</v>
      </c>
      <c r="L70" s="183">
        <f t="shared" si="8"/>
        <v>-46414627.200769544</v>
      </c>
      <c r="M70" s="184">
        <f t="shared" si="9"/>
        <v>-16.619297872262365</v>
      </c>
      <c r="O70" s="81"/>
      <c r="P70" s="81"/>
      <c r="Q70" s="81"/>
      <c r="R70" s="81"/>
      <c r="CD70" s="170"/>
      <c r="CE70" s="170"/>
      <c r="CF70" s="145"/>
      <c r="CG70" s="145"/>
      <c r="CH70" s="145"/>
      <c r="CI70" s="142"/>
    </row>
    <row r="71" spans="2:87" ht="13.5" customHeight="1" thickTop="1">
      <c r="B71" s="80">
        <v>7511</v>
      </c>
      <c r="C71" s="97" t="str">
        <f>+'Cental Budget'!C84</f>
        <v>Domestic borrowing</v>
      </c>
      <c r="D71" s="161">
        <f>+IF(ISNUMBER(VLOOKUP($B71,'Cental Budget'!$B$16:$K$90,'Public Expenditure'!D$1,FALSE)),VLOOKUP($B71,'Cental Budget'!$B$16:$K$90,'Public Expenditure'!D$1,FALSE),0)+IF(ISNUMBER(VLOOKUP('Public Expenditure'!$B71,'Local Government'!$B$16:$O$75,'Public Expenditure'!D$1,FALSE)),VLOOKUP('Public Expenditure'!$B71,'Local Government'!$B$16:$O$75,'Public Expenditure'!D$1,FALSE),0)</f>
        <v>99903592.790000007</v>
      </c>
      <c r="E71" s="98">
        <f t="shared" si="0"/>
        <v>2.9442288896319795</v>
      </c>
      <c r="F71" s="161">
        <f>+IF(ISNUMBER(VLOOKUP($B71,'Cental Budget'!$B$16:$K$90,'Public Expenditure'!F$1,FALSE)),VLOOKUP($B71,'Cental Budget'!$B$16:$K$90,'Public Expenditure'!F$1,FALSE),0)+IF(ISNUMBER(VLOOKUP('Public Expenditure'!$B71,'Local Government'!$B$16:$O$75,'Public Expenditure'!F$1,FALSE)),VLOOKUP('Public Expenditure'!$B71,'Local Government'!$B$16:$O$75,'Public Expenditure'!F$1,FALSE),0)</f>
        <v>4800000</v>
      </c>
      <c r="G71" s="98">
        <f t="shared" si="4"/>
        <v>0.14145936372818912</v>
      </c>
      <c r="H71" s="249">
        <f t="shared" si="5"/>
        <v>95103592.790000007</v>
      </c>
      <c r="I71" s="250">
        <f t="shared" si="6"/>
        <v>1981.3248497916666</v>
      </c>
      <c r="J71" s="161">
        <f>+IF(ISNUMBER(VLOOKUP($B71,'Cental Budget'!$B$16:$K$90,'Public Expenditure'!J$1,FALSE)),VLOOKUP($B71,'Cental Budget'!$B$16:$K$90,'Public Expenditure'!J$1,FALSE),0)+IF(ISNUMBER(VLOOKUP('Public Expenditure'!$B71,'Local Government'!$B$16:$O$75,'Public Expenditure'!J$1,FALSE)),VLOOKUP('Public Expenditure'!$B71,'Local Government'!$B$16:$O$75,'Public Expenditure'!J$1,FALSE),0)</f>
        <v>129581699.20999999</v>
      </c>
      <c r="K71" s="98">
        <f t="shared" si="1"/>
        <v>3.8844599421445483</v>
      </c>
      <c r="L71" s="249">
        <f t="shared" si="8"/>
        <v>-29678106.419999987</v>
      </c>
      <c r="M71" s="250">
        <f t="shared" si="9"/>
        <v>-22.903007601330856</v>
      </c>
      <c r="O71" s="81"/>
      <c r="P71" s="81"/>
      <c r="Q71" s="81"/>
      <c r="R71" s="81"/>
      <c r="CD71" s="170"/>
      <c r="CE71" s="170"/>
      <c r="CF71" s="145"/>
      <c r="CG71" s="145"/>
      <c r="CH71" s="145"/>
      <c r="CI71" s="142"/>
    </row>
    <row r="72" spans="2:87" ht="13.5" customHeight="1">
      <c r="B72" s="80">
        <v>7512</v>
      </c>
      <c r="C72" s="97" t="str">
        <f>+'Cental Budget'!C85</f>
        <v>Foreign borrowing</v>
      </c>
      <c r="D72" s="161">
        <f>+IF(ISNUMBER(VLOOKUP($B72,'Cental Budget'!$B$16:$K$90,'Public Expenditure'!D$1,FALSE)),VLOOKUP($B72,'Cental Budget'!$B$16:$K$90,'Public Expenditure'!D$1,FALSE),0)+IF(ISNUMBER(VLOOKUP('Public Expenditure'!$B72,'Local Government'!$B$16:$O$75,'Public Expenditure'!D$1,FALSE)),VLOOKUP('Public Expenditure'!$B72,'Local Government'!$B$16:$O$75,'Public Expenditure'!D$1,FALSE),0)</f>
        <v>194373743.29000002</v>
      </c>
      <c r="E72" s="98">
        <f t="shared" si="0"/>
        <v>5.7283304273478688</v>
      </c>
      <c r="F72" s="161">
        <f>+IF(ISNUMBER(VLOOKUP($B72,'Cental Budget'!$B$16:$K$90,'Public Expenditure'!F$1,FALSE)),VLOOKUP($B72,'Cental Budget'!$B$16:$K$90,'Public Expenditure'!F$1,FALSE),0)+IF(ISNUMBER(VLOOKUP('Public Expenditure'!$B72,'Local Government'!$B$16:$O$75,'Public Expenditure'!F$1,FALSE)),VLOOKUP('Public Expenditure'!$B72,'Local Government'!$B$16:$O$75,'Public Expenditure'!F$1,FALSE),0)</f>
        <v>170981681.89712209</v>
      </c>
      <c r="G72" s="98">
        <f t="shared" si="4"/>
        <v>5.0389499854880251</v>
      </c>
      <c r="H72" s="249">
        <f t="shared" si="5"/>
        <v>23392061.392877936</v>
      </c>
      <c r="I72" s="250">
        <f t="shared" si="6"/>
        <v>13.681033624966147</v>
      </c>
      <c r="J72" s="161">
        <f>+IF(ISNUMBER(VLOOKUP($B72,'Cental Budget'!$B$16:$K$90,'Public Expenditure'!J$1,FALSE)),VLOOKUP($B72,'Cental Budget'!$B$16:$K$90,'Public Expenditure'!J$1,FALSE),0)+IF(ISNUMBER(VLOOKUP('Public Expenditure'!$B72,'Local Government'!$B$16:$O$75,'Public Expenditure'!J$1,FALSE)),VLOOKUP('Public Expenditure'!$B72,'Local Government'!$B$16:$O$75,'Public Expenditure'!J$1,FALSE),0)</f>
        <v>104561566</v>
      </c>
      <c r="K72" s="98">
        <f t="shared" si="1"/>
        <v>3.1344334662310023</v>
      </c>
      <c r="L72" s="249">
        <f t="shared" si="8"/>
        <v>89812177.290000021</v>
      </c>
      <c r="M72" s="250">
        <f t="shared" si="9"/>
        <v>85.894062919830446</v>
      </c>
      <c r="O72" s="81"/>
      <c r="P72" s="81"/>
      <c r="Q72" s="81"/>
      <c r="R72" s="81"/>
      <c r="CD72" s="170"/>
      <c r="CE72" s="170"/>
      <c r="CF72" s="145"/>
      <c r="CG72" s="145"/>
      <c r="CH72" s="145"/>
      <c r="CI72" s="142"/>
    </row>
    <row r="73" spans="2:87" ht="13.5" customHeight="1" thickBot="1">
      <c r="B73" s="80">
        <v>72</v>
      </c>
      <c r="C73" s="103" t="str">
        <f>+'Cental Budget'!C86</f>
        <v>Privatization</v>
      </c>
      <c r="D73" s="161">
        <f>+IF(ISNUMBER(VLOOKUP($B73,'Cental Budget'!$B$16:$K$90,'Public Expenditure'!D$1,FALSE)),VLOOKUP($B73,'Cental Budget'!$B$16:$K$90,'Public Expenditure'!D$1,FALSE),0)+IF(ISNUMBER(VLOOKUP('Public Expenditure'!$B73,'Local Government'!$B$16:$O$75,'Public Expenditure'!D$1,FALSE)),VLOOKUP('Public Expenditure'!$B73,'Local Government'!$B$16:$O$75,'Public Expenditure'!D$1,FALSE),0)</f>
        <v>7282335.3100000005</v>
      </c>
      <c r="E73" s="104">
        <f t="shared" si="0"/>
        <v>0.21461552487665103</v>
      </c>
      <c r="F73" s="161">
        <f>+IF(ISNUMBER(VLOOKUP($B73,'Cental Budget'!$B$16:$K$90,'Public Expenditure'!F$1,FALSE)),VLOOKUP($B73,'Cental Budget'!$B$16:$K$90,'Public Expenditure'!F$1,FALSE),0)+IF(ISNUMBER(VLOOKUP('Public Expenditure'!$B73,'Local Government'!$B$16:$O$75,'Public Expenditure'!F$1,FALSE)),VLOOKUP('Public Expenditure'!$B73,'Local Government'!$B$16:$O$75,'Public Expenditure'!F$1,FALSE),0)</f>
        <v>5350000</v>
      </c>
      <c r="G73" s="104">
        <f t="shared" si="4"/>
        <v>0.15766824915537744</v>
      </c>
      <c r="H73" s="249">
        <f t="shared" si="5"/>
        <v>1932335.3100000005</v>
      </c>
      <c r="I73" s="250">
        <f t="shared" si="6"/>
        <v>36.118417009345791</v>
      </c>
      <c r="J73" s="161">
        <f>+IF(ISNUMBER(VLOOKUP($B73,'Cental Budget'!$B$16:$K$90,'Public Expenditure'!J$1,FALSE)),VLOOKUP($B73,'Cental Budget'!$B$16:$K$90,'Public Expenditure'!J$1,FALSE),0)+IF(ISNUMBER(VLOOKUP('Public Expenditure'!$B73,'Local Government'!$B$16:$O$75,'Public Expenditure'!J$1,FALSE)),VLOOKUP('Public Expenditure'!$B73,'Local Government'!$B$16:$O$75,'Public Expenditure'!J$1,FALSE),0)</f>
        <v>9072683.4100000001</v>
      </c>
      <c r="K73" s="104">
        <f t="shared" si="1"/>
        <v>0.27197108456488506</v>
      </c>
      <c r="L73" s="249">
        <f t="shared" si="8"/>
        <v>-1790348.0999999996</v>
      </c>
      <c r="M73" s="250">
        <f t="shared" si="9"/>
        <v>-19.733391093826341</v>
      </c>
      <c r="O73" s="81"/>
      <c r="P73" s="81"/>
      <c r="Q73" s="81"/>
      <c r="R73" s="81"/>
      <c r="CD73" s="170"/>
      <c r="CE73" s="170"/>
      <c r="CF73" s="145"/>
      <c r="CG73" s="145"/>
      <c r="CH73" s="145"/>
      <c r="CI73" s="142"/>
    </row>
    <row r="74" spans="2:87" ht="13.5" customHeight="1" thickTop="1" thickBot="1">
      <c r="C74" s="152" t="str">
        <f>+'Cental Budget'!C87</f>
        <v>Increase / decrease of depostits</v>
      </c>
      <c r="D74" s="153">
        <f>-D69-SUM(D71:D73)</f>
        <v>-68692781.660769522</v>
      </c>
      <c r="E74" s="154">
        <f t="shared" si="0"/>
        <v>-2.0244244138441405</v>
      </c>
      <c r="F74" s="153">
        <f>-F69-SUM(F71:F73)</f>
        <v>41268309.616950631</v>
      </c>
      <c r="G74" s="154">
        <f t="shared" si="4"/>
        <v>1.2162060042816134</v>
      </c>
      <c r="H74" s="246">
        <f t="shared" si="5"/>
        <v>-109961091.27772015</v>
      </c>
      <c r="I74" s="253">
        <f t="shared" si="6"/>
        <v>-266.45407165539564</v>
      </c>
      <c r="J74" s="153">
        <f>-J69-SUM(J71:J73)</f>
        <v>36065568.310000092</v>
      </c>
      <c r="K74" s="154">
        <f t="shared" si="1"/>
        <v>1.0811345756767317</v>
      </c>
      <c r="L74" s="246">
        <f t="shared" si="8"/>
        <v>-104758349.97076961</v>
      </c>
      <c r="M74" s="253">
        <f t="shared" si="9"/>
        <v>-290.46637798779039</v>
      </c>
      <c r="O74" s="81"/>
      <c r="P74" s="81"/>
      <c r="Q74" s="81"/>
      <c r="R74" s="81"/>
      <c r="CD74" s="170"/>
      <c r="CE74" s="170"/>
      <c r="CF74" s="145"/>
      <c r="CG74" s="145"/>
      <c r="CH74" s="145"/>
      <c r="CI74" s="142"/>
    </row>
    <row r="75" spans="2:87" ht="13.5" thickTop="1">
      <c r="C75" s="106" t="str">
        <f>IF(MasterSheet!$A$1=1,MasterSheet!C151,MasterSheet!B151)</f>
        <v>Izvor: Ministarstvo finansija Crne Gore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O75" s="81"/>
      <c r="P75" s="81"/>
      <c r="Q75" s="81"/>
      <c r="R75" s="81"/>
    </row>
    <row r="80" spans="2:87">
      <c r="D80" s="102"/>
      <c r="F80" s="102"/>
      <c r="J80" s="102"/>
    </row>
    <row r="81" spans="4:10">
      <c r="D81" s="102"/>
      <c r="F81" s="102"/>
      <c r="J81" s="102"/>
    </row>
    <row r="85" spans="4:10">
      <c r="D85" s="102"/>
      <c r="F85" s="102"/>
      <c r="J85" s="102"/>
    </row>
    <row r="86" spans="4:10">
      <c r="D86" s="102"/>
      <c r="F86" s="102"/>
      <c r="J86" s="102"/>
    </row>
    <row r="90" spans="4:10">
      <c r="D90" s="102"/>
      <c r="F90" s="102"/>
      <c r="J90" s="102"/>
    </row>
    <row r="91" spans="4:10">
      <c r="D91" s="260"/>
      <c r="F91" s="260"/>
      <c r="G91" s="260"/>
      <c r="H91" s="260"/>
      <c r="I91" s="260"/>
      <c r="J91" s="259"/>
    </row>
  </sheetData>
  <sheetProtection formatCells="0" formatColumns="0" formatRows="0" sort="0" autoFilter="0"/>
  <mergeCells count="10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B2:G59"/>
  <sheetViews>
    <sheetView workbookViewId="0">
      <selection activeCell="F5" sqref="F5"/>
    </sheetView>
  </sheetViews>
  <sheetFormatPr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91" t="s">
        <v>437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D2:G24"/>
  <sheetViews>
    <sheetView workbookViewId="0">
      <selection activeCell="G24" sqref="G24"/>
    </sheetView>
  </sheetViews>
  <sheetFormatPr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323" t="s">
        <v>196</v>
      </c>
      <c r="C3" s="323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23" t="s">
        <v>244</v>
      </c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</row>
    <row r="40" spans="2:20" ht="12.75" customHeight="1">
      <c r="B40" s="326" t="s">
        <v>239</v>
      </c>
      <c r="C40" s="326"/>
      <c r="D40" s="327" t="s">
        <v>245</v>
      </c>
      <c r="E40" s="327"/>
      <c r="F40" s="326" t="s">
        <v>240</v>
      </c>
      <c r="G40" s="326"/>
      <c r="H40" s="326"/>
      <c r="I40" s="2" t="s">
        <v>241</v>
      </c>
      <c r="J40" s="326" t="s">
        <v>242</v>
      </c>
      <c r="K40" s="326"/>
      <c r="L40" s="326"/>
      <c r="M40" s="326" t="s">
        <v>243</v>
      </c>
      <c r="N40" s="326"/>
      <c r="O40" s="326"/>
      <c r="P40" s="326"/>
    </row>
    <row r="41" spans="2:20">
      <c r="B41" s="326"/>
      <c r="C41" s="326"/>
      <c r="D41" s="327"/>
      <c r="E41" s="327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24" t="s">
        <v>223</v>
      </c>
      <c r="C42" s="15" t="s">
        <v>224</v>
      </c>
      <c r="D42" s="328" t="s">
        <v>181</v>
      </c>
      <c r="E42" s="16" t="s">
        <v>182</v>
      </c>
      <c r="F42" s="328" t="s">
        <v>247</v>
      </c>
      <c r="G42" s="328"/>
      <c r="H42" s="328"/>
      <c r="I42" s="17" t="s">
        <v>248</v>
      </c>
      <c r="J42" s="329" t="s">
        <v>249</v>
      </c>
      <c r="K42" s="329"/>
      <c r="L42" s="329"/>
      <c r="M42" s="328" t="s">
        <v>250</v>
      </c>
      <c r="N42" s="328"/>
      <c r="O42" s="328"/>
      <c r="P42" s="328"/>
    </row>
    <row r="43" spans="2:20">
      <c r="B43" s="324"/>
      <c r="C43" s="18" t="s">
        <v>225</v>
      </c>
      <c r="D43" s="328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24"/>
      <c r="C44" s="15" t="s">
        <v>226</v>
      </c>
      <c r="D44" s="328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24"/>
      <c r="C45" s="15" t="s">
        <v>227</v>
      </c>
      <c r="D45" s="328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24"/>
      <c r="C46" s="15" t="s">
        <v>228</v>
      </c>
      <c r="D46" s="328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24"/>
      <c r="C47" s="15" t="s">
        <v>229</v>
      </c>
      <c r="D47" s="328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24"/>
      <c r="C48" s="15" t="s">
        <v>230</v>
      </c>
      <c r="D48" s="328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24"/>
      <c r="C49" s="19" t="s">
        <v>231</v>
      </c>
      <c r="D49" s="328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24"/>
      <c r="C50" s="15" t="s">
        <v>232</v>
      </c>
      <c r="D50" s="328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24"/>
      <c r="C51" s="15" t="s">
        <v>379</v>
      </c>
      <c r="D51" s="328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25" t="s">
        <v>233</v>
      </c>
      <c r="C52" s="20" t="s">
        <v>234</v>
      </c>
      <c r="D52" s="328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25"/>
      <c r="C53" s="20" t="s">
        <v>235</v>
      </c>
      <c r="D53" s="328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25"/>
      <c r="C54" s="20" t="s">
        <v>236</v>
      </c>
      <c r="D54" s="328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25"/>
      <c r="C55" s="20" t="s">
        <v>375</v>
      </c>
      <c r="D55" s="328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25"/>
      <c r="C56" s="20" t="s">
        <v>80</v>
      </c>
      <c r="D56" s="328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25"/>
      <c r="C57" s="20" t="s">
        <v>237</v>
      </c>
      <c r="D57" s="328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25"/>
      <c r="C58" s="20" t="s">
        <v>376</v>
      </c>
      <c r="D58" s="328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25"/>
      <c r="C59" s="20" t="s">
        <v>238</v>
      </c>
      <c r="D59" s="328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23" t="s">
        <v>252</v>
      </c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23" t="s">
        <v>256</v>
      </c>
      <c r="C154" s="323"/>
      <c r="D154" s="323"/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23"/>
      <c r="P154" s="323"/>
      <c r="Q154" s="323"/>
      <c r="R154" s="323"/>
      <c r="S154" s="323"/>
      <c r="T154" s="323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23" t="s">
        <v>279</v>
      </c>
      <c r="C253" s="323"/>
      <c r="D253" s="323"/>
      <c r="E253" s="323"/>
      <c r="F253" s="323"/>
      <c r="G253" s="323"/>
      <c r="H253" s="323"/>
      <c r="I253" s="323"/>
      <c r="J253" s="323"/>
      <c r="K253" s="323"/>
      <c r="L253" s="323"/>
      <c r="M253" s="323"/>
      <c r="N253" s="323"/>
      <c r="O253" s="323"/>
      <c r="P253" s="323"/>
      <c r="Q253" s="323"/>
      <c r="R253" s="323"/>
      <c r="S253" s="323"/>
      <c r="T253" s="323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23" t="s">
        <v>315</v>
      </c>
      <c r="C331" s="323"/>
      <c r="D331" s="323"/>
      <c r="E331" s="323"/>
      <c r="F331" s="323"/>
      <c r="G331" s="323"/>
      <c r="H331" s="323"/>
      <c r="I331" s="323"/>
      <c r="J331" s="323"/>
      <c r="K331" s="323"/>
      <c r="L331" s="323"/>
      <c r="M331" s="323"/>
      <c r="N331" s="323"/>
      <c r="O331" s="323"/>
      <c r="P331" s="323"/>
      <c r="Q331" s="323"/>
      <c r="R331" s="323"/>
      <c r="S331" s="323"/>
      <c r="T331" s="323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23" t="s">
        <v>387</v>
      </c>
      <c r="C419" s="330"/>
      <c r="D419" s="330"/>
      <c r="E419" s="330"/>
      <c r="F419" s="330"/>
      <c r="G419" s="330"/>
      <c r="H419" s="330"/>
      <c r="I419" s="330"/>
      <c r="J419" s="330"/>
      <c r="K419" s="330"/>
      <c r="L419" s="330"/>
      <c r="M419" s="330"/>
      <c r="N419" s="330"/>
      <c r="O419" s="330"/>
      <c r="P419" s="330"/>
      <c r="Q419" s="330"/>
      <c r="R419" s="330"/>
      <c r="S419" s="330"/>
      <c r="T419" s="330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23" t="s">
        <v>330</v>
      </c>
      <c r="C427" s="323"/>
      <c r="D427" s="323"/>
      <c r="E427" s="323"/>
      <c r="F427" s="323"/>
      <c r="G427" s="323"/>
      <c r="H427" s="323"/>
      <c r="I427" s="323"/>
      <c r="J427" s="323"/>
      <c r="K427" s="323"/>
      <c r="L427" s="323"/>
      <c r="M427" s="323"/>
      <c r="N427" s="323"/>
      <c r="O427" s="323"/>
      <c r="P427" s="323"/>
      <c r="Q427" s="323"/>
      <c r="R427" s="323"/>
      <c r="S427" s="323"/>
      <c r="T427" s="323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23" t="s">
        <v>345</v>
      </c>
      <c r="C432" s="323"/>
      <c r="D432" s="323"/>
      <c r="E432" s="323"/>
      <c r="F432" s="323"/>
      <c r="G432" s="323"/>
      <c r="H432" s="323"/>
      <c r="I432" s="323"/>
      <c r="J432" s="323"/>
      <c r="K432" s="323"/>
      <c r="L432" s="323"/>
      <c r="M432" s="323"/>
      <c r="N432" s="323"/>
      <c r="O432" s="323"/>
      <c r="P432" s="323"/>
      <c r="Q432" s="323"/>
      <c r="R432" s="323"/>
      <c r="S432" s="323"/>
      <c r="T432" s="323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93" t="s">
        <v>293</v>
      </c>
      <c r="E4" s="193" t="s">
        <v>294</v>
      </c>
      <c r="F4" s="193" t="s">
        <v>295</v>
      </c>
      <c r="G4" s="193" t="s">
        <v>296</v>
      </c>
      <c r="H4" s="193" t="s">
        <v>297</v>
      </c>
      <c r="I4" s="193" t="s">
        <v>298</v>
      </c>
      <c r="J4" s="193" t="s">
        <v>299</v>
      </c>
      <c r="K4" s="193" t="s">
        <v>300</v>
      </c>
      <c r="L4" s="193" t="s">
        <v>301</v>
      </c>
      <c r="M4" s="193" t="s">
        <v>302</v>
      </c>
      <c r="N4" s="193" t="s">
        <v>303</v>
      </c>
      <c r="O4" s="193" t="s">
        <v>304</v>
      </c>
    </row>
    <row r="5" spans="3:16">
      <c r="C5" s="193" t="s">
        <v>438</v>
      </c>
      <c r="D5" s="194">
        <v>62425293.156965584</v>
      </c>
      <c r="E5" s="194">
        <v>79762187.59852089</v>
      </c>
      <c r="F5" s="194">
        <v>89318688.151918903</v>
      </c>
      <c r="G5" s="194">
        <v>106294081.27535464</v>
      </c>
      <c r="H5" s="194">
        <v>97189661.825924918</v>
      </c>
      <c r="I5" s="194">
        <v>105191801.34506513</v>
      </c>
      <c r="J5" s="194">
        <v>123272889.17858437</v>
      </c>
      <c r="K5" s="194">
        <v>125579133.65326507</v>
      </c>
      <c r="L5" s="194">
        <v>121047897.33843082</v>
      </c>
      <c r="M5" s="194">
        <v>114789505.85515907</v>
      </c>
      <c r="N5" s="194">
        <v>97406301.479715049</v>
      </c>
      <c r="O5" s="194">
        <v>145778958.57826602</v>
      </c>
      <c r="P5" s="194">
        <f>+SUM(D5:O5)</f>
        <v>1268056399.4371705</v>
      </c>
    </row>
    <row r="6" spans="3:16">
      <c r="C6" s="193" t="s">
        <v>439</v>
      </c>
      <c r="D6" s="194">
        <v>70632268.589999989</v>
      </c>
      <c r="E6" s="194">
        <v>81381758.450000018</v>
      </c>
      <c r="F6" s="194">
        <v>100495765.61000001</v>
      </c>
      <c r="G6" s="194">
        <v>107356417.33534782</v>
      </c>
      <c r="H6" s="194">
        <v>98816734.644163221</v>
      </c>
      <c r="I6" s="194">
        <v>107147051.5707173</v>
      </c>
      <c r="J6" s="194">
        <v>125666748.8575906</v>
      </c>
      <c r="K6" s="194">
        <v>127890096.38694921</v>
      </c>
      <c r="L6" s="194">
        <v>123465322.33433203</v>
      </c>
      <c r="M6" s="194">
        <v>117130344.73943919</v>
      </c>
      <c r="N6" s="194">
        <v>99294843.070796907</v>
      </c>
      <c r="O6" s="194">
        <v>149056317.49743444</v>
      </c>
      <c r="P6" s="194">
        <f t="shared" ref="P6:P7" si="0">+SUM(D6:O6)</f>
        <v>1308333669.0867708</v>
      </c>
    </row>
    <row r="7" spans="3:16">
      <c r="C7" s="193" t="s">
        <v>440</v>
      </c>
      <c r="D7" s="194">
        <v>54757461.979999989</v>
      </c>
      <c r="E7" s="194">
        <v>75673443.909999996</v>
      </c>
      <c r="F7" s="194">
        <v>88296245.580000013</v>
      </c>
      <c r="G7" s="194">
        <v>103948239.19999999</v>
      </c>
      <c r="H7" s="194">
        <v>93997829.679999992</v>
      </c>
      <c r="I7" s="194">
        <v>99561632.659999996</v>
      </c>
      <c r="J7" s="194">
        <v>122021331.04999998</v>
      </c>
      <c r="K7" s="194">
        <v>125053427.64999999</v>
      </c>
      <c r="L7" s="194">
        <v>116342017.78000002</v>
      </c>
      <c r="M7" s="194">
        <v>117283627.60000001</v>
      </c>
      <c r="N7" s="194">
        <v>95781753.159999996</v>
      </c>
      <c r="O7" s="194">
        <v>142429369.22999999</v>
      </c>
      <c r="P7" s="194">
        <f t="shared" si="0"/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298">
        <v>3335894492.1291356</v>
      </c>
      <c r="D3" s="298"/>
      <c r="E3" s="291">
        <v>3516156889.9792166</v>
      </c>
      <c r="F3" s="292"/>
      <c r="G3" s="292"/>
      <c r="H3" s="293"/>
    </row>
    <row r="4" spans="2:13" ht="13.5" thickTop="1">
      <c r="E4" s="83"/>
      <c r="F4" s="83"/>
      <c r="G4" s="82"/>
      <c r="H4" s="82"/>
    </row>
    <row r="5" spans="2:13" ht="13.5" thickBot="1">
      <c r="E5" s="173"/>
      <c r="F5" s="173"/>
      <c r="G5" s="173"/>
      <c r="H5" s="173"/>
    </row>
    <row r="6" spans="2:13" ht="13.5" thickTop="1">
      <c r="B6" t="s">
        <v>127</v>
      </c>
      <c r="C6" s="289">
        <v>2013</v>
      </c>
      <c r="D6" s="290"/>
      <c r="E6" s="289" t="s">
        <v>393</v>
      </c>
      <c r="F6" s="290"/>
      <c r="G6" s="289" t="s">
        <v>427</v>
      </c>
      <c r="H6" s="290"/>
      <c r="I6" s="289" t="s">
        <v>441</v>
      </c>
      <c r="J6" s="290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96" t="s">
        <v>263</v>
      </c>
      <c r="J7" s="196" t="s">
        <v>442</v>
      </c>
    </row>
    <row r="8" spans="2:13" ht="14.25" thickTop="1" thickBot="1">
      <c r="B8" s="90" t="s">
        <v>128</v>
      </c>
      <c r="C8" s="174">
        <f>C9+C17+C22+C27+C34+C39</f>
        <v>1235146379.48</v>
      </c>
      <c r="D8" s="92">
        <f>C8/C$3*100</f>
        <v>37.025942588839719</v>
      </c>
      <c r="E8" s="174">
        <f>+E9+E17+E22+E27+E34+E39+E40</f>
        <v>1276056399.4371703</v>
      </c>
      <c r="F8" s="92">
        <f>E8/E$3*100</f>
        <v>36.291224748071834</v>
      </c>
      <c r="G8" s="171">
        <f>+G9+G17+G22+G27+G34+G39+G40</f>
        <v>1316333669.0867703</v>
      </c>
      <c r="H8" s="92">
        <f>G8/E$3*100</f>
        <v>37.436716002014087</v>
      </c>
      <c r="I8" s="171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9">
        <f>SUM(C10:C16)</f>
        <v>755696459.51000011</v>
      </c>
      <c r="D9" s="95">
        <f t="shared" ref="D9:D72" si="0">C9/C$3*100</f>
        <v>22.653488031261944</v>
      </c>
      <c r="E9" s="159">
        <f>+SUM(E10:E16)</f>
        <v>797828901.35953081</v>
      </c>
      <c r="F9" s="96">
        <f t="shared" ref="F9:F73" si="1">E9/E$3*100</f>
        <v>22.690366963808792</v>
      </c>
      <c r="G9" s="159">
        <f>+SUM(G10:G16)</f>
        <v>819077478.06873</v>
      </c>
      <c r="H9" s="96">
        <f t="shared" ref="H9:H72" si="2">G9/E$3*100</f>
        <v>23.294679495190881</v>
      </c>
      <c r="I9" s="159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60">
        <v>95618433.909999996</v>
      </c>
      <c r="D10" s="98">
        <f t="shared" si="0"/>
        <v>2.8663506635358695</v>
      </c>
      <c r="E10" s="160">
        <v>96011654.614494905</v>
      </c>
      <c r="F10" s="98">
        <f t="shared" si="1"/>
        <v>2.7305850568875618</v>
      </c>
      <c r="G10" s="161">
        <v>96781150.729929999</v>
      </c>
      <c r="H10" s="98">
        <f t="shared" si="2"/>
        <v>2.7524696354064582</v>
      </c>
      <c r="I10" s="161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61">
        <v>40638726.390000008</v>
      </c>
      <c r="D11" s="98">
        <f t="shared" si="0"/>
        <v>1.2182257708055488</v>
      </c>
      <c r="E11" s="161">
        <v>44395641.531501003</v>
      </c>
      <c r="F11" s="98">
        <f t="shared" si="1"/>
        <v>1.2626183336137604</v>
      </c>
      <c r="G11" s="161">
        <v>50018934.706970006</v>
      </c>
      <c r="H11" s="98">
        <f t="shared" si="2"/>
        <v>1.4225455880401758</v>
      </c>
      <c r="I11" s="161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61">
        <v>1440565.3199999998</v>
      </c>
      <c r="D12" s="98">
        <f t="shared" si="0"/>
        <v>4.318377944503151E-2</v>
      </c>
      <c r="E12" s="161">
        <v>1544536.6728920399</v>
      </c>
      <c r="F12" s="98">
        <f t="shared" si="1"/>
        <v>4.3926841754241781E-2</v>
      </c>
      <c r="G12" s="161">
        <v>1489198.0023599996</v>
      </c>
      <c r="H12" s="98">
        <f t="shared" si="2"/>
        <v>4.2353002125818169E-2</v>
      </c>
      <c r="I12" s="161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60">
        <v>429195069.32999998</v>
      </c>
      <c r="D13" s="98">
        <f t="shared" si="0"/>
        <v>12.865966544885122</v>
      </c>
      <c r="E13" s="160">
        <v>455945630.52919102</v>
      </c>
      <c r="F13" s="98">
        <f t="shared" si="1"/>
        <v>12.967158315051353</v>
      </c>
      <c r="G13" s="161">
        <v>473642045.78458995</v>
      </c>
      <c r="H13" s="98">
        <f t="shared" si="2"/>
        <v>13.470446871538474</v>
      </c>
      <c r="I13" s="161">
        <f t="shared" si="3"/>
        <v>17696415.255398929</v>
      </c>
      <c r="J13" s="98">
        <f t="shared" si="4"/>
        <v>3.8812555862986784</v>
      </c>
      <c r="L13" s="161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61">
        <v>161445470.17000002</v>
      </c>
      <c r="D14" s="98">
        <f t="shared" si="0"/>
        <v>4.8396455748502225</v>
      </c>
      <c r="E14" s="161">
        <v>171111988.52539012</v>
      </c>
      <c r="F14" s="98">
        <f t="shared" si="1"/>
        <v>4.8664491909631922</v>
      </c>
      <c r="G14" s="161">
        <v>169158715.98390999</v>
      </c>
      <c r="H14" s="98">
        <f t="shared" si="2"/>
        <v>4.8108978432105705</v>
      </c>
      <c r="I14" s="161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61">
        <v>22269382.640000001</v>
      </c>
      <c r="D15" s="98">
        <f t="shared" si="0"/>
        <v>0.66756855447746977</v>
      </c>
      <c r="E15" s="161">
        <v>23735353.696558259</v>
      </c>
      <c r="F15" s="98">
        <f t="shared" si="1"/>
        <v>0.67503682114419394</v>
      </c>
      <c r="G15" s="161">
        <v>22781578.440719999</v>
      </c>
      <c r="H15" s="98">
        <f t="shared" si="2"/>
        <v>0.64791131776985811</v>
      </c>
      <c r="I15" s="161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61">
        <v>5088811.75</v>
      </c>
      <c r="D16" s="98">
        <f t="shared" si="0"/>
        <v>0.15254714326267749</v>
      </c>
      <c r="E16" s="161">
        <v>5084095.7895035082</v>
      </c>
      <c r="F16" s="98">
        <f t="shared" si="1"/>
        <v>0.14459240439449103</v>
      </c>
      <c r="G16" s="161">
        <v>5205854.4202499995</v>
      </c>
      <c r="H16" s="98">
        <f t="shared" si="2"/>
        <v>0.14805523709952459</v>
      </c>
      <c r="I16" s="161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75">
        <f>SUM(C18:C21)</f>
        <v>398494284.19</v>
      </c>
      <c r="D17" s="96">
        <f t="shared" si="0"/>
        <v>11.94565011364196</v>
      </c>
      <c r="E17" s="159">
        <f>+SUM(E18:E21)</f>
        <v>397823173.70918262</v>
      </c>
      <c r="F17" s="96">
        <f t="shared" si="1"/>
        <v>11.314147410286179</v>
      </c>
      <c r="G17" s="159">
        <f>+SUM(G18:G21)</f>
        <v>417559652.73636997</v>
      </c>
      <c r="H17" s="96">
        <f t="shared" si="2"/>
        <v>11.87545566940951</v>
      </c>
      <c r="I17" s="159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61">
        <v>241949355.72999999</v>
      </c>
      <c r="D18" s="98">
        <f t="shared" si="0"/>
        <v>7.2529079172277937</v>
      </c>
      <c r="E18" s="161">
        <v>234882396.70208701</v>
      </c>
      <c r="F18" s="98">
        <f t="shared" si="1"/>
        <v>6.6800886323213922</v>
      </c>
      <c r="G18" s="161">
        <v>254875867.28178996</v>
      </c>
      <c r="H18" s="98">
        <f t="shared" si="2"/>
        <v>7.2487057676000486</v>
      </c>
      <c r="I18" s="161">
        <f t="shared" si="3"/>
        <v>19993470.579702944</v>
      </c>
      <c r="J18" s="98">
        <f t="shared" si="4"/>
        <v>8.5121196225963445</v>
      </c>
      <c r="L18" s="161">
        <f>+G18-C18</f>
        <v>12926511.551789969</v>
      </c>
    </row>
    <row r="19" spans="2:12">
      <c r="B19" s="97" t="s">
        <v>23</v>
      </c>
      <c r="C19" s="161">
        <v>134703897.09</v>
      </c>
      <c r="D19" s="98">
        <f t="shared" si="0"/>
        <v>4.038014313936686</v>
      </c>
      <c r="E19" s="161">
        <v>138667298.82084399</v>
      </c>
      <c r="F19" s="98">
        <f t="shared" si="1"/>
        <v>3.9437176201106214</v>
      </c>
      <c r="G19" s="161">
        <v>139196347.37307</v>
      </c>
      <c r="H19" s="98">
        <f t="shared" si="2"/>
        <v>3.9587638358734543</v>
      </c>
      <c r="I19" s="161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61">
        <v>10770190.189999999</v>
      </c>
      <c r="D20" s="98">
        <f t="shared" si="0"/>
        <v>0.32285763879558199</v>
      </c>
      <c r="E20" s="161">
        <v>11617385.520490499</v>
      </c>
      <c r="F20" s="98">
        <f t="shared" si="1"/>
        <v>0.33040008975706336</v>
      </c>
      <c r="G20" s="161">
        <v>11434714.104369998</v>
      </c>
      <c r="H20" s="98">
        <f t="shared" si="2"/>
        <v>0.3252048888079504</v>
      </c>
      <c r="I20" s="161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61">
        <v>11070841.180000002</v>
      </c>
      <c r="D21" s="98">
        <f t="shared" si="0"/>
        <v>0.33187024368189877</v>
      </c>
      <c r="E21" s="160">
        <v>12656092.6657611</v>
      </c>
      <c r="F21" s="98">
        <f t="shared" si="1"/>
        <v>0.3599410680971038</v>
      </c>
      <c r="G21" s="161">
        <v>12052723.97714</v>
      </c>
      <c r="H21" s="98">
        <f t="shared" si="2"/>
        <v>0.34278117712805589</v>
      </c>
      <c r="I21" s="161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9">
        <f>SUM(C23:C26)</f>
        <v>27069458</v>
      </c>
      <c r="D22" s="96">
        <f t="shared" si="0"/>
        <v>0.81146025642804165</v>
      </c>
      <c r="E22" s="159">
        <f>+SUM(E23:E26)</f>
        <v>20923047.198280636</v>
      </c>
      <c r="F22" s="96">
        <f t="shared" si="1"/>
        <v>0.59505442598166625</v>
      </c>
      <c r="G22" s="159">
        <f>+SUM(G23:G26)</f>
        <v>19923047.198280636</v>
      </c>
      <c r="H22" s="96">
        <f t="shared" si="2"/>
        <v>0.56661428433582772</v>
      </c>
      <c r="I22" s="159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61">
        <v>7881462.9399999995</v>
      </c>
      <c r="D23" s="98">
        <f t="shared" si="0"/>
        <v>0.23626235657620134</v>
      </c>
      <c r="E23" s="161">
        <v>8144616.5029747505</v>
      </c>
      <c r="F23" s="98">
        <f t="shared" si="1"/>
        <v>0.23163404699563594</v>
      </c>
      <c r="G23" s="161">
        <v>8144616.5029747505</v>
      </c>
      <c r="H23" s="98">
        <f t="shared" si="2"/>
        <v>0.23163404699563594</v>
      </c>
      <c r="I23" s="161">
        <f t="shared" si="3"/>
        <v>0</v>
      </c>
      <c r="J23" s="98">
        <f t="shared" si="4"/>
        <v>0</v>
      </c>
    </row>
    <row r="24" spans="2:12">
      <c r="B24" s="97" t="s">
        <v>32</v>
      </c>
      <c r="C24" s="161">
        <v>4557791.26</v>
      </c>
      <c r="D24" s="98">
        <f t="shared" si="0"/>
        <v>0.13662875941531916</v>
      </c>
      <c r="E24" s="161">
        <v>3676083.5729169641</v>
      </c>
      <c r="F24" s="98">
        <f t="shared" si="1"/>
        <v>0.10454833751569864</v>
      </c>
      <c r="G24" s="161">
        <v>5176083.5729169641</v>
      </c>
      <c r="H24" s="98">
        <f t="shared" si="2"/>
        <v>0.14720854998445643</v>
      </c>
      <c r="I24" s="161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61">
        <v>767936.98999999987</v>
      </c>
      <c r="D25" s="98">
        <f t="shared" si="0"/>
        <v>2.3020422013103413E-2</v>
      </c>
      <c r="E25" s="161">
        <v>762511.44191594806</v>
      </c>
      <c r="F25" s="98">
        <f t="shared" si="1"/>
        <v>2.1685933414662142E-2</v>
      </c>
      <c r="G25" s="161">
        <v>762511.44191594806</v>
      </c>
      <c r="H25" s="98">
        <f t="shared" si="2"/>
        <v>2.1685933414662142E-2</v>
      </c>
      <c r="I25" s="161">
        <f t="shared" si="3"/>
        <v>0</v>
      </c>
      <c r="J25" s="98">
        <f t="shared" si="4"/>
        <v>0</v>
      </c>
    </row>
    <row r="26" spans="2:12">
      <c r="B26" s="97" t="s">
        <v>37</v>
      </c>
      <c r="C26" s="160">
        <v>13862266.809999999</v>
      </c>
      <c r="D26" s="98">
        <f t="shared" si="0"/>
        <v>0.41554871842341756</v>
      </c>
      <c r="E26" s="160">
        <v>8339835.6804729737</v>
      </c>
      <c r="F26" s="98">
        <f t="shared" si="1"/>
        <v>0.23718610805566953</v>
      </c>
      <c r="G26" s="160">
        <v>5839835.6804729737</v>
      </c>
      <c r="H26" s="98">
        <f t="shared" si="2"/>
        <v>0.16608575394107319</v>
      </c>
      <c r="I26" s="160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9">
        <f>SUM(C28:C33)</f>
        <v>13233490.18</v>
      </c>
      <c r="D27" s="96">
        <f t="shared" si="0"/>
        <v>0.39669990196703492</v>
      </c>
      <c r="E27" s="159">
        <f>+SUM(E28:E33)</f>
        <v>13024243.76827177</v>
      </c>
      <c r="F27" s="96">
        <f t="shared" si="1"/>
        <v>0.37041133759957889</v>
      </c>
      <c r="G27" s="159">
        <f>+SUM(G28:G33)</f>
        <v>12724243.76827177</v>
      </c>
      <c r="H27" s="96">
        <f t="shared" si="2"/>
        <v>0.36187929510582734</v>
      </c>
      <c r="I27" s="159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61">
        <v>647266.8600000001</v>
      </c>
      <c r="D28" s="98">
        <f t="shared" si="0"/>
        <v>1.9403097475870164E-2</v>
      </c>
      <c r="E28" s="161">
        <v>698651.48499726248</v>
      </c>
      <c r="F28" s="98">
        <f t="shared" si="1"/>
        <v>1.9869747194397578E-2</v>
      </c>
      <c r="G28" s="161">
        <v>698651.48499726248</v>
      </c>
      <c r="H28" s="98">
        <f t="shared" si="2"/>
        <v>1.9869747194397578E-2</v>
      </c>
      <c r="I28" s="161">
        <f t="shared" si="3"/>
        <v>0</v>
      </c>
      <c r="J28" s="98">
        <f t="shared" si="4"/>
        <v>0</v>
      </c>
    </row>
    <row r="29" spans="2:12">
      <c r="B29" s="97" t="s">
        <v>42</v>
      </c>
      <c r="C29" s="161">
        <v>1995183.6300000001</v>
      </c>
      <c r="D29" s="98">
        <f t="shared" si="0"/>
        <v>5.9809554370125591E-2</v>
      </c>
      <c r="E29" s="161">
        <v>1997965.7673730874</v>
      </c>
      <c r="F29" s="98">
        <f t="shared" si="1"/>
        <v>5.6822429427627073E-2</v>
      </c>
      <c r="G29" s="161">
        <v>1997965.7673730874</v>
      </c>
      <c r="H29" s="98">
        <f t="shared" si="2"/>
        <v>5.6822429427627073E-2</v>
      </c>
      <c r="I29" s="161">
        <f t="shared" si="3"/>
        <v>0</v>
      </c>
      <c r="J29" s="98">
        <f t="shared" si="4"/>
        <v>0</v>
      </c>
    </row>
    <row r="30" spans="2:12">
      <c r="B30" s="97" t="s">
        <v>45</v>
      </c>
      <c r="C30" s="161">
        <v>309851.25</v>
      </c>
      <c r="D30" s="98">
        <f t="shared" si="0"/>
        <v>9.2884007791936302E-3</v>
      </c>
      <c r="E30" s="161">
        <v>424373.88097611902</v>
      </c>
      <c r="F30" s="98">
        <f t="shared" si="1"/>
        <v>1.2069253285755047E-2</v>
      </c>
      <c r="G30" s="161">
        <v>424373.88097611902</v>
      </c>
      <c r="H30" s="98">
        <f t="shared" si="2"/>
        <v>1.2069253285755047E-2</v>
      </c>
      <c r="I30" s="161">
        <f t="shared" si="3"/>
        <v>0</v>
      </c>
      <c r="J30" s="98">
        <f t="shared" si="4"/>
        <v>0</v>
      </c>
    </row>
    <row r="31" spans="2:12">
      <c r="B31" s="97" t="s">
        <v>47</v>
      </c>
      <c r="C31" s="161">
        <v>3324177.16</v>
      </c>
      <c r="D31" s="98">
        <f t="shared" si="0"/>
        <v>9.9648749918296836E-2</v>
      </c>
      <c r="E31" s="161">
        <v>3266343.0516235088</v>
      </c>
      <c r="F31" s="98">
        <f t="shared" si="1"/>
        <v>9.2895259052073062E-2</v>
      </c>
      <c r="G31" s="161">
        <v>3666343.0516235088</v>
      </c>
      <c r="H31" s="98">
        <f t="shared" si="2"/>
        <v>0.10427131571040847</v>
      </c>
      <c r="I31" s="161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61">
        <v>3659024.1899999995</v>
      </c>
      <c r="D32" s="98">
        <f t="shared" si="0"/>
        <v>0.10968644837638813</v>
      </c>
      <c r="E32" s="161">
        <v>3355752.0175728933</v>
      </c>
      <c r="F32" s="98">
        <f t="shared" si="1"/>
        <v>9.5438062708081514E-2</v>
      </c>
      <c r="G32" s="161">
        <v>3355752.0175728933</v>
      </c>
      <c r="H32" s="98">
        <f t="shared" si="2"/>
        <v>9.5438062708081514E-2</v>
      </c>
      <c r="I32" s="161">
        <f t="shared" si="3"/>
        <v>0</v>
      </c>
      <c r="J32" s="98">
        <f t="shared" si="4"/>
        <v>0</v>
      </c>
    </row>
    <row r="33" spans="2:10">
      <c r="B33" s="97" t="s">
        <v>51</v>
      </c>
      <c r="C33" s="161">
        <v>3297987.09</v>
      </c>
      <c r="D33" s="98">
        <f t="shared" si="0"/>
        <v>9.8863651047160633E-2</v>
      </c>
      <c r="E33" s="161">
        <v>3281157.5657288986</v>
      </c>
      <c r="F33" s="98">
        <f t="shared" si="1"/>
        <v>9.331658593164463E-2</v>
      </c>
      <c r="G33" s="161">
        <v>2581157.5657288986</v>
      </c>
      <c r="H33" s="98">
        <f t="shared" si="2"/>
        <v>7.340848677955765E-2</v>
      </c>
      <c r="I33" s="161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9">
        <f>SUM(C35:C38)</f>
        <v>33088194.540000003</v>
      </c>
      <c r="D34" s="96">
        <f t="shared" si="0"/>
        <v>0.99188372468223518</v>
      </c>
      <c r="E34" s="159">
        <f>+SUM(E35:E38)</f>
        <v>31410770.914738216</v>
      </c>
      <c r="F34" s="96">
        <f t="shared" si="1"/>
        <v>0.89332677402013982</v>
      </c>
      <c r="G34" s="159">
        <f>+SUM(G35:G38)</f>
        <v>31310770.914738216</v>
      </c>
      <c r="H34" s="96">
        <f t="shared" si="2"/>
        <v>0.89048275985555603</v>
      </c>
      <c r="I34" s="159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61">
        <v>6034873.3200000003</v>
      </c>
      <c r="D35" s="98">
        <f t="shared" si="0"/>
        <v>0.18090719998006413</v>
      </c>
      <c r="E35" s="161">
        <v>5533606.7424404304</v>
      </c>
      <c r="F35" s="98">
        <f t="shared" si="1"/>
        <v>0.15737655956737298</v>
      </c>
      <c r="G35" s="161">
        <v>6533606.7424404304</v>
      </c>
      <c r="H35" s="98">
        <f t="shared" si="2"/>
        <v>0.1858167012132115</v>
      </c>
      <c r="I35" s="161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61">
        <v>12316700.43</v>
      </c>
      <c r="D36" s="98">
        <f t="shared" si="0"/>
        <v>0.36921732563966259</v>
      </c>
      <c r="E36" s="161">
        <v>11824073.889814863</v>
      </c>
      <c r="F36" s="98">
        <f t="shared" si="1"/>
        <v>0.33627833625719566</v>
      </c>
      <c r="G36" s="161">
        <v>12424073.889814863</v>
      </c>
      <c r="H36" s="98">
        <f t="shared" si="2"/>
        <v>0.35334242124469878</v>
      </c>
      <c r="I36" s="161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61">
        <v>2179410.2600000002</v>
      </c>
      <c r="D37" s="98">
        <f t="shared" si="0"/>
        <v>6.5332110027526411E-2</v>
      </c>
      <c r="E37" s="161">
        <v>2220205.3434794326</v>
      </c>
      <c r="F37" s="98">
        <f t="shared" si="1"/>
        <v>6.3142954451402653E-2</v>
      </c>
      <c r="G37" s="161">
        <v>2220205.3434794326</v>
      </c>
      <c r="H37" s="98">
        <f t="shared" si="2"/>
        <v>6.3142954451402653E-2</v>
      </c>
      <c r="I37" s="161">
        <f t="shared" si="3"/>
        <v>0</v>
      </c>
      <c r="J37" s="98">
        <f t="shared" si="4"/>
        <v>0</v>
      </c>
    </row>
    <row r="38" spans="2:10">
      <c r="B38" s="97" t="s">
        <v>53</v>
      </c>
      <c r="C38" s="161">
        <v>12557210.530000001</v>
      </c>
      <c r="D38" s="98">
        <f t="shared" si="0"/>
        <v>0.37642708903498195</v>
      </c>
      <c r="E38" s="161">
        <v>11832884.939003492</v>
      </c>
      <c r="F38" s="98">
        <f t="shared" si="1"/>
        <v>0.33652892374416871</v>
      </c>
      <c r="G38" s="161">
        <v>10132884.939003492</v>
      </c>
      <c r="H38" s="98">
        <f t="shared" si="2"/>
        <v>0.28818068294624322</v>
      </c>
      <c r="I38" s="161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9">
        <v>7564493.0600000005</v>
      </c>
      <c r="D39" s="96">
        <f t="shared" si="0"/>
        <v>0.22676056085850488</v>
      </c>
      <c r="E39" s="159">
        <v>7046262.4871663069</v>
      </c>
      <c r="F39" s="96">
        <f t="shared" si="1"/>
        <v>0.20039670320876826</v>
      </c>
      <c r="G39" s="159">
        <v>7738476.4003799995</v>
      </c>
      <c r="H39" s="96">
        <f t="shared" si="2"/>
        <v>0.22008336494978584</v>
      </c>
      <c r="I39" s="159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61">
        <v>6615451.54</v>
      </c>
      <c r="D40" s="98">
        <f t="shared" si="0"/>
        <v>0.19831117427750797</v>
      </c>
      <c r="E40" s="159">
        <v>8000000</v>
      </c>
      <c r="F40" s="96">
        <f t="shared" si="1"/>
        <v>0.22752113316670824</v>
      </c>
      <c r="G40" s="159">
        <v>8000000</v>
      </c>
      <c r="H40" s="96">
        <f t="shared" si="2"/>
        <v>0.22752113316670824</v>
      </c>
      <c r="I40" s="159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9">
        <v>366128508.17291778</v>
      </c>
      <c r="D44" s="96">
        <f t="shared" si="0"/>
        <v>10.975422305375018</v>
      </c>
      <c r="E44" s="159">
        <v>386488693.71999997</v>
      </c>
      <c r="F44" s="96">
        <f t="shared" si="1"/>
        <v>10.991793193911903</v>
      </c>
      <c r="G44" s="159">
        <v>386488693.71999997</v>
      </c>
      <c r="H44" s="96">
        <f t="shared" si="2"/>
        <v>10.991793193911903</v>
      </c>
      <c r="I44" s="159">
        <f t="shared" si="5"/>
        <v>0</v>
      </c>
      <c r="J44" s="96">
        <f t="shared" si="4"/>
        <v>0</v>
      </c>
    </row>
    <row r="45" spans="2:10">
      <c r="B45" s="93" t="s">
        <v>75</v>
      </c>
      <c r="C45" s="159">
        <v>12022159.040000001</v>
      </c>
      <c r="D45" s="96">
        <f t="shared" si="0"/>
        <v>0.36038786803256645</v>
      </c>
      <c r="E45" s="159">
        <v>11478163.960000001</v>
      </c>
      <c r="F45" s="96">
        <f t="shared" si="1"/>
        <v>0.3264406088565589</v>
      </c>
      <c r="G45" s="159">
        <v>11478163.960000001</v>
      </c>
      <c r="H45" s="96">
        <f t="shared" si="2"/>
        <v>0.3264406088565589</v>
      </c>
      <c r="I45" s="159">
        <f t="shared" si="5"/>
        <v>0</v>
      </c>
      <c r="J45" s="96">
        <f t="shared" si="4"/>
        <v>0</v>
      </c>
    </row>
    <row r="46" spans="2:10">
      <c r="B46" s="93" t="s">
        <v>429</v>
      </c>
      <c r="C46" s="159">
        <v>90442340.840000004</v>
      </c>
      <c r="D46" s="96">
        <f t="shared" si="0"/>
        <v>2.7111870910004456</v>
      </c>
      <c r="E46" s="159">
        <v>89210330.25999999</v>
      </c>
      <c r="F46" s="96">
        <f t="shared" si="1"/>
        <v>2.5371544288664349</v>
      </c>
      <c r="G46" s="159">
        <v>29295302.830000002</v>
      </c>
      <c r="H46" s="96">
        <f t="shared" si="2"/>
        <v>0.83316256204293437</v>
      </c>
      <c r="I46" s="159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9"/>
      <c r="D47" s="96">
        <f t="shared" si="0"/>
        <v>0</v>
      </c>
      <c r="E47" s="159"/>
      <c r="F47" s="96">
        <f t="shared" si="1"/>
        <v>0</v>
      </c>
      <c r="G47" s="159">
        <v>40692845.799999997</v>
      </c>
      <c r="H47" s="96">
        <f t="shared" si="2"/>
        <v>1.1573102985242654</v>
      </c>
      <c r="I47" s="159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9">
        <v>20416485.639999997</v>
      </c>
      <c r="D48" s="96">
        <f t="shared" si="0"/>
        <v>0.61202432175752564</v>
      </c>
      <c r="E48" s="159">
        <v>21655403.200000003</v>
      </c>
      <c r="F48" s="96">
        <f t="shared" si="1"/>
        <v>0.61588273440574504</v>
      </c>
      <c r="G48" s="159">
        <v>21655403.200000003</v>
      </c>
      <c r="H48" s="96">
        <f t="shared" si="2"/>
        <v>0.61588273440574504</v>
      </c>
      <c r="I48" s="159">
        <f t="shared" si="5"/>
        <v>0</v>
      </c>
      <c r="J48" s="96">
        <f t="shared" si="4"/>
        <v>0</v>
      </c>
    </row>
    <row r="49" spans="2:10">
      <c r="B49" s="93" t="s">
        <v>80</v>
      </c>
      <c r="C49" s="159">
        <v>67427730.789999992</v>
      </c>
      <c r="D49" s="96">
        <f t="shared" si="0"/>
        <v>2.0212788788462022</v>
      </c>
      <c r="E49" s="159">
        <v>73316123.120000005</v>
      </c>
      <c r="F49" s="96">
        <f t="shared" si="1"/>
        <v>2.0851209264565371</v>
      </c>
      <c r="G49" s="159">
        <v>73316123.120000005</v>
      </c>
      <c r="H49" s="96">
        <f t="shared" si="2"/>
        <v>2.0851209264565371</v>
      </c>
      <c r="I49" s="159">
        <f t="shared" si="5"/>
        <v>0</v>
      </c>
      <c r="J49" s="96">
        <f t="shared" si="4"/>
        <v>0</v>
      </c>
    </row>
    <row r="50" spans="2:10">
      <c r="B50" s="93" t="s">
        <v>82</v>
      </c>
      <c r="C50" s="159">
        <v>7928041.8100000005</v>
      </c>
      <c r="D50" s="96">
        <f t="shared" si="0"/>
        <v>0.23765864983757101</v>
      </c>
      <c r="E50" s="159">
        <v>8172802.1399999997</v>
      </c>
      <c r="F50" s="96">
        <f t="shared" si="1"/>
        <v>0.23243565050501225</v>
      </c>
      <c r="G50" s="159">
        <v>8172802.1399999997</v>
      </c>
      <c r="H50" s="96">
        <f t="shared" si="2"/>
        <v>0.23243565050501225</v>
      </c>
      <c r="I50" s="159">
        <f t="shared" si="5"/>
        <v>0</v>
      </c>
      <c r="J50" s="96">
        <f t="shared" si="4"/>
        <v>0</v>
      </c>
    </row>
    <row r="51" spans="2:10">
      <c r="B51" s="93" t="s">
        <v>84</v>
      </c>
      <c r="C51" s="159">
        <v>17426749.959999997</v>
      </c>
      <c r="D51" s="96">
        <f t="shared" si="0"/>
        <v>0.52240111313824467</v>
      </c>
      <c r="E51" s="159">
        <v>18874600</v>
      </c>
      <c r="F51" s="96">
        <f t="shared" si="1"/>
        <v>0.53679629750854385</v>
      </c>
      <c r="G51" s="159">
        <v>18874600</v>
      </c>
      <c r="H51" s="96">
        <f t="shared" si="2"/>
        <v>0.53679629750854385</v>
      </c>
      <c r="I51" s="159">
        <f t="shared" si="5"/>
        <v>0</v>
      </c>
      <c r="J51" s="96">
        <f t="shared" si="4"/>
        <v>0</v>
      </c>
    </row>
    <row r="52" spans="2:10">
      <c r="B52" s="93" t="s">
        <v>86</v>
      </c>
      <c r="C52" s="159">
        <v>6279093.0100000007</v>
      </c>
      <c r="D52" s="96">
        <f t="shared" si="0"/>
        <v>0.18822816563339112</v>
      </c>
      <c r="E52" s="159">
        <v>5827393.7300000023</v>
      </c>
      <c r="F52" s="96">
        <f t="shared" si="1"/>
        <v>0.16573190310727137</v>
      </c>
      <c r="G52" s="159">
        <v>25049575.370000001</v>
      </c>
      <c r="H52" s="96">
        <f t="shared" si="2"/>
        <v>0.71241347169090818</v>
      </c>
      <c r="I52" s="159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9">
        <v>12216538.75</v>
      </c>
      <c r="D53" s="169">
        <f t="shared" si="0"/>
        <v>0.36621478223679643</v>
      </c>
      <c r="E53" s="159"/>
      <c r="F53" s="169">
        <f t="shared" si="1"/>
        <v>0</v>
      </c>
      <c r="G53" s="159">
        <v>10502963.32</v>
      </c>
      <c r="H53" s="169">
        <f t="shared" si="2"/>
        <v>0.2987057645218465</v>
      </c>
      <c r="I53" s="159">
        <f t="shared" si="5"/>
        <v>10502963.32</v>
      </c>
      <c r="J53" s="169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61">
        <v>64036543.990000002</v>
      </c>
      <c r="D55" s="98">
        <f t="shared" si="0"/>
        <v>1.919621383142986</v>
      </c>
      <c r="E55" s="161">
        <v>58645000</v>
      </c>
      <c r="F55" s="98">
        <f t="shared" si="1"/>
        <v>1.6678721068202007</v>
      </c>
      <c r="G55" s="161">
        <v>58645000</v>
      </c>
      <c r="H55" s="98">
        <f t="shared" si="2"/>
        <v>1.6678721068202007</v>
      </c>
      <c r="I55" s="161">
        <f t="shared" si="5"/>
        <v>0</v>
      </c>
      <c r="J55" s="98">
        <f t="shared" si="4"/>
        <v>0</v>
      </c>
    </row>
    <row r="56" spans="2:10">
      <c r="B56" s="97" t="s">
        <v>91</v>
      </c>
      <c r="C56" s="161">
        <v>13086355.520000001</v>
      </c>
      <c r="D56" s="98">
        <f t="shared" si="0"/>
        <v>0.39228925108022916</v>
      </c>
      <c r="E56" s="161">
        <v>20758124</v>
      </c>
      <c r="F56" s="98">
        <f t="shared" si="1"/>
        <v>0.59036398686188019</v>
      </c>
      <c r="G56" s="161">
        <v>20758124</v>
      </c>
      <c r="H56" s="98">
        <f t="shared" si="2"/>
        <v>0.59036398686188019</v>
      </c>
      <c r="I56" s="161">
        <f t="shared" si="5"/>
        <v>0</v>
      </c>
      <c r="J56" s="98">
        <f t="shared" si="4"/>
        <v>0</v>
      </c>
    </row>
    <row r="57" spans="2:10">
      <c r="B57" s="97" t="s">
        <v>93</v>
      </c>
      <c r="C57" s="161">
        <v>383190248.31999987</v>
      </c>
      <c r="D57" s="98">
        <f t="shared" si="0"/>
        <v>11.486881531298929</v>
      </c>
      <c r="E57" s="161">
        <v>397320274.96999997</v>
      </c>
      <c r="F57" s="98">
        <f t="shared" si="1"/>
        <v>11.299844898910312</v>
      </c>
      <c r="G57" s="161">
        <v>397320274.96999997</v>
      </c>
      <c r="H57" s="98">
        <f t="shared" si="2"/>
        <v>11.299844898910312</v>
      </c>
      <c r="I57" s="161">
        <f t="shared" si="5"/>
        <v>0</v>
      </c>
      <c r="J57" s="98">
        <f t="shared" si="4"/>
        <v>0</v>
      </c>
    </row>
    <row r="58" spans="2:10">
      <c r="B58" s="97" t="s">
        <v>95</v>
      </c>
      <c r="C58" s="161">
        <v>14792096.089999998</v>
      </c>
      <c r="D58" s="98">
        <f t="shared" si="0"/>
        <v>0.44342218031478986</v>
      </c>
      <c r="E58" s="161">
        <v>14500000</v>
      </c>
      <c r="F58" s="98">
        <f t="shared" si="1"/>
        <v>0.4123820538646587</v>
      </c>
      <c r="G58" s="161">
        <v>14500000</v>
      </c>
      <c r="H58" s="98">
        <f t="shared" si="2"/>
        <v>0.4123820538646587</v>
      </c>
      <c r="I58" s="161">
        <f t="shared" si="5"/>
        <v>0</v>
      </c>
      <c r="J58" s="98">
        <f t="shared" si="4"/>
        <v>0</v>
      </c>
    </row>
    <row r="59" spans="2:10">
      <c r="B59" s="97" t="s">
        <v>432</v>
      </c>
      <c r="C59" s="161">
        <v>7862525.3600000013</v>
      </c>
      <c r="D59" s="98">
        <f t="shared" si="0"/>
        <v>0.23569466536040659</v>
      </c>
      <c r="E59" s="161">
        <v>7000000</v>
      </c>
      <c r="F59" s="98">
        <f t="shared" si="1"/>
        <v>0.19908099152086972</v>
      </c>
      <c r="G59" s="161">
        <v>7000000</v>
      </c>
      <c r="H59" s="98">
        <f t="shared" si="2"/>
        <v>0.19908099152086972</v>
      </c>
      <c r="I59" s="161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61">
        <v>94307106.209999993</v>
      </c>
      <c r="D61" s="98">
        <f t="shared" si="0"/>
        <v>2.8270410359953697</v>
      </c>
      <c r="E61" s="161">
        <v>101040047.61999999</v>
      </c>
      <c r="F61" s="98">
        <f t="shared" si="1"/>
        <v>2.8735932662150696</v>
      </c>
      <c r="G61" s="161">
        <v>101040047.61999999</v>
      </c>
      <c r="H61" s="98">
        <f t="shared" si="2"/>
        <v>2.8735932662150696</v>
      </c>
      <c r="I61" s="161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61"/>
      <c r="D62" s="98">
        <f t="shared" si="0"/>
        <v>0</v>
      </c>
      <c r="E62" s="161"/>
      <c r="F62" s="98">
        <f t="shared" si="1"/>
        <v>0</v>
      </c>
      <c r="G62" s="161"/>
      <c r="H62" s="98">
        <f t="shared" si="2"/>
        <v>0</v>
      </c>
      <c r="I62" s="161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131</v>
      </c>
      <c r="C63" s="171">
        <v>61785502.860000007</v>
      </c>
      <c r="D63" s="92">
        <f t="shared" si="0"/>
        <v>1.8521419968700925</v>
      </c>
      <c r="E63" s="171">
        <v>101820500</v>
      </c>
      <c r="F63" s="92">
        <f t="shared" si="1"/>
        <v>2.8957894424501021</v>
      </c>
      <c r="G63" s="171">
        <v>101820500</v>
      </c>
      <c r="H63" s="92">
        <f t="shared" si="2"/>
        <v>2.8957894424501021</v>
      </c>
      <c r="I63" s="171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9">
        <v>2752781.9799999995</v>
      </c>
      <c r="D64" s="96">
        <f t="shared" si="0"/>
        <v>8.2520055310353516E-2</v>
      </c>
      <c r="E64" s="159">
        <v>2140000</v>
      </c>
      <c r="F64" s="96">
        <f t="shared" si="1"/>
        <v>6.0861903122094448E-2</v>
      </c>
      <c r="G64" s="159">
        <v>2140000</v>
      </c>
      <c r="H64" s="96">
        <f t="shared" si="2"/>
        <v>6.0861903122094448E-2</v>
      </c>
      <c r="I64" s="159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9">
        <v>14126844.789999999</v>
      </c>
      <c r="D65" s="96">
        <f t="shared" si="0"/>
        <v>0.42347996386970665</v>
      </c>
      <c r="E65" s="159">
        <v>8854649.7699999996</v>
      </c>
      <c r="F65" s="96">
        <f t="shared" si="1"/>
        <v>0.25182749368309154</v>
      </c>
      <c r="G65" s="159">
        <v>8854649.7699999996</v>
      </c>
      <c r="H65" s="96">
        <f t="shared" si="2"/>
        <v>0.25182749368309154</v>
      </c>
      <c r="I65" s="159">
        <f t="shared" si="5"/>
        <v>0</v>
      </c>
      <c r="J65" s="96">
        <f t="shared" si="4"/>
        <v>0</v>
      </c>
    </row>
    <row r="66" spans="2:10" ht="14.25" thickTop="1" thickBot="1">
      <c r="B66" s="152" t="s">
        <v>113</v>
      </c>
      <c r="C66" s="172">
        <v>107239350.92999999</v>
      </c>
      <c r="D66" s="154">
        <f t="shared" si="0"/>
        <v>3.2147105126683559</v>
      </c>
      <c r="E66" s="172">
        <v>0</v>
      </c>
      <c r="F66" s="154">
        <f t="shared" si="1"/>
        <v>0</v>
      </c>
      <c r="G66" s="172">
        <v>5153201.26</v>
      </c>
      <c r="H66" s="154">
        <f t="shared" si="2"/>
        <v>0.14655777376391357</v>
      </c>
      <c r="I66" s="172">
        <f t="shared" si="5"/>
        <v>5153201.26</v>
      </c>
      <c r="J66" s="154" t="e">
        <f t="shared" si="4"/>
        <v>#DIV/0!</v>
      </c>
    </row>
    <row r="67" spans="2:10" ht="14.25" thickTop="1" thickBot="1">
      <c r="B67" s="195" t="s">
        <v>152</v>
      </c>
      <c r="C67" s="159">
        <v>0</v>
      </c>
      <c r="D67" s="96">
        <f t="shared" si="0"/>
        <v>0</v>
      </c>
      <c r="E67" s="159">
        <v>0</v>
      </c>
      <c r="F67" s="96">
        <f t="shared" si="1"/>
        <v>0</v>
      </c>
      <c r="G67" s="159">
        <v>0</v>
      </c>
      <c r="H67" s="96">
        <f t="shared" si="2"/>
        <v>0</v>
      </c>
      <c r="I67" s="159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61">
        <v>112695950.91</v>
      </c>
      <c r="D71" s="98">
        <f t="shared" si="0"/>
        <v>3.3782828316632929</v>
      </c>
      <c r="E71" s="161">
        <v>30008345.27</v>
      </c>
      <c r="F71" s="98">
        <f t="shared" si="1"/>
        <v>0.8534415900360286</v>
      </c>
      <c r="G71" s="161">
        <v>30008345.27</v>
      </c>
      <c r="H71" s="98">
        <f t="shared" si="2"/>
        <v>0.8534415900360286</v>
      </c>
      <c r="I71" s="161">
        <f t="shared" si="5"/>
        <v>0</v>
      </c>
      <c r="J71" s="98">
        <f t="shared" si="4"/>
        <v>0</v>
      </c>
    </row>
    <row r="72" spans="2:10">
      <c r="B72" s="97" t="s">
        <v>137</v>
      </c>
      <c r="C72" s="161">
        <v>68802905.489999995</v>
      </c>
      <c r="D72" s="98">
        <f t="shared" si="0"/>
        <v>2.0625024458158605</v>
      </c>
      <c r="E72" s="161">
        <v>108080400.25</v>
      </c>
      <c r="F72" s="98">
        <f t="shared" si="1"/>
        <v>3.073821892248922</v>
      </c>
      <c r="G72" s="161">
        <v>108080400.25</v>
      </c>
      <c r="H72" s="98">
        <f t="shared" si="2"/>
        <v>3.073821892248922</v>
      </c>
      <c r="I72" s="161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61">
        <v>60278571.609999992</v>
      </c>
      <c r="D73" s="98">
        <f t="shared" ref="D73:D79" si="6">C73/C$3*100</f>
        <v>1.8069687681137414</v>
      </c>
      <c r="E73" s="161">
        <v>33338159.969999999</v>
      </c>
      <c r="F73" s="98">
        <f t="shared" si="1"/>
        <v>0.94814199175842395</v>
      </c>
      <c r="G73" s="161">
        <v>33338159.969999999</v>
      </c>
      <c r="H73" s="98">
        <f t="shared" ref="H73:H79" si="7">G73/E$3*100</f>
        <v>0.94814199175842395</v>
      </c>
      <c r="I73" s="161">
        <f t="shared" si="5"/>
        <v>0</v>
      </c>
      <c r="J73" s="98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61">
        <v>102834751.84999999</v>
      </c>
      <c r="D76" s="98">
        <f t="shared" si="6"/>
        <v>3.0826739902186082</v>
      </c>
      <c r="E76" s="161">
        <v>0</v>
      </c>
      <c r="F76" s="98">
        <f t="shared" si="8"/>
        <v>0</v>
      </c>
      <c r="G76" s="197">
        <v>0</v>
      </c>
      <c r="H76" s="198">
        <f t="shared" si="7"/>
        <v>0</v>
      </c>
      <c r="I76" s="161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61">
        <v>230537476.81999999</v>
      </c>
      <c r="D77" s="98">
        <f t="shared" si="6"/>
        <v>6.910814396676539</v>
      </c>
      <c r="E77" s="161">
        <v>227975575.86282945</v>
      </c>
      <c r="F77" s="98">
        <f t="shared" si="8"/>
        <v>6.4836576693304764</v>
      </c>
      <c r="G77" s="197">
        <v>227975575.86282945</v>
      </c>
      <c r="H77" s="198">
        <f t="shared" si="7"/>
        <v>6.4836576693304764</v>
      </c>
      <c r="I77" s="161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61">
        <v>11948846.35</v>
      </c>
      <c r="D78" s="104">
        <f t="shared" si="6"/>
        <v>0.35819017592410862</v>
      </c>
      <c r="E78" s="161">
        <v>5000000</v>
      </c>
      <c r="F78" s="104">
        <f t="shared" si="8"/>
        <v>0.14220070822919265</v>
      </c>
      <c r="G78" s="197">
        <v>5000000</v>
      </c>
      <c r="H78" s="198">
        <f t="shared" si="7"/>
        <v>0.14220070822919265</v>
      </c>
      <c r="I78" s="161">
        <f t="shared" si="9"/>
        <v>0</v>
      </c>
      <c r="J78" s="104">
        <f t="shared" si="10"/>
        <v>0</v>
      </c>
    </row>
    <row r="79" spans="2:10" ht="14.25" thickTop="1" thickBot="1">
      <c r="B79" s="152" t="s">
        <v>125</v>
      </c>
      <c r="C79" s="153">
        <f>-C74-SUM(C76:C78)</f>
        <v>24776977.5729177</v>
      </c>
      <c r="D79" s="154">
        <f t="shared" si="6"/>
        <v>0.74273864570290371</v>
      </c>
      <c r="E79" s="153">
        <f>-E74-SUM(E76:E78)</f>
        <v>-10502963.319999933</v>
      </c>
      <c r="F79" s="154">
        <f t="shared" si="8"/>
        <v>-0.29870576452184461</v>
      </c>
      <c r="G79" s="199">
        <f>-G74-SUM(G76:G78)</f>
        <v>-27124068.379600048</v>
      </c>
      <c r="H79" s="200">
        <f t="shared" si="7"/>
        <v>-0.77141234672723535</v>
      </c>
      <c r="I79" s="153">
        <f t="shared" si="9"/>
        <v>-16621105.059600115</v>
      </c>
      <c r="J79" s="154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94">
        <v>-26424601.993229389</v>
      </c>
      <c r="E5" s="194">
        <v>-24569497.372829676</v>
      </c>
      <c r="F5" s="194">
        <v>33498994.005818129</v>
      </c>
      <c r="G5" s="194">
        <v>103834080.12588143</v>
      </c>
    </row>
    <row r="6" spans="3:7">
      <c r="C6" t="s">
        <v>444</v>
      </c>
      <c r="D6" s="194">
        <v>-51424601.993229389</v>
      </c>
      <c r="E6" s="194">
        <v>-149569497.37282968</v>
      </c>
      <c r="F6" s="194">
        <v>-191501005.99418187</v>
      </c>
      <c r="G6" s="194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2014-03-31T14:20:27Z</cp:lastPrinted>
  <dcterms:created xsi:type="dcterms:W3CDTF">2008-03-17T08:49:23Z</dcterms:created>
  <dcterms:modified xsi:type="dcterms:W3CDTF">2014-11-25T10:49:24Z</dcterms:modified>
</cp:coreProperties>
</file>