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\NOVEMBAR 2025\"/>
    </mc:Choice>
  </mc:AlternateContent>
  <xr:revisionPtr revIDLastSave="0" documentId="13_ncr:1_{9200BD92-052F-405F-AC33-26CD1D06405B}" xr6:coauthVersionLast="36" xr6:coauthVersionMax="36" xr10:uidLastSave="{00000000-0000-0000-0000-000000000000}"/>
  <workbookProtection workbookAlgorithmName="SHA-512" workbookHashValue="pALNIV8Ohyiqs5jCA6T9WDLvWY6nJJeGUuxg8gKj3zRYsgK53ZpdSLiyvfUyLIYn/AjegyaVVoh1351hmQVcOQ==" workbookSaltValue="WHPYCKBaL8rV3ajfRio2T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G55" i="28" l="1"/>
  <c r="H55" i="28"/>
  <c r="I55" i="28"/>
  <c r="J55" i="28"/>
  <c r="K55" i="28"/>
  <c r="L55" i="28"/>
  <c r="M55" i="28"/>
  <c r="N55" i="28"/>
  <c r="O55" i="28"/>
  <c r="P55" i="28"/>
  <c r="T83" i="28" l="1"/>
  <c r="P17" i="11" l="1"/>
  <c r="P18" i="11"/>
  <c r="Q62" i="11"/>
  <c r="T65" i="11"/>
  <c r="R116" i="28" l="1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l="1"/>
  <c r="N105" i="28"/>
  <c r="G136" i="28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R136" i="28"/>
  <c r="R142" i="28" s="1"/>
  <c r="R137" i="28" s="1"/>
  <c r="N129" i="28" l="1"/>
  <c r="G142" i="28"/>
  <c r="G130" i="28"/>
  <c r="S133" i="28"/>
  <c r="S132" i="28"/>
  <c r="G137" i="28" l="1"/>
  <c r="N130" i="28"/>
  <c r="N136" i="28"/>
  <c r="A142" i="28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N19" i="11" s="1"/>
  <c r="P19" i="28"/>
  <c r="O19" i="28"/>
  <c r="N19" i="28"/>
  <c r="M19" i="28"/>
  <c r="L19" i="28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N11" i="11" s="1"/>
  <c r="P11" i="28"/>
  <c r="O11" i="28"/>
  <c r="N11" i="28"/>
  <c r="M11" i="28"/>
  <c r="L11" i="28"/>
  <c r="K11" i="28"/>
  <c r="J11" i="28"/>
  <c r="I11" i="28"/>
  <c r="H11" i="28"/>
  <c r="G11" i="28"/>
  <c r="G10" i="28" s="1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O29" i="28" l="1"/>
  <c r="R29" i="28"/>
  <c r="R53" i="28" s="1"/>
  <c r="R54" i="28" s="1"/>
  <c r="N29" i="28"/>
  <c r="N142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N10" i="11" s="1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S10" i="28" l="1"/>
  <c r="G10" i="11" s="1"/>
  <c r="N53" i="28"/>
  <c r="N54" i="28" s="1"/>
  <c r="O53" i="28"/>
  <c r="O54" i="28" s="1"/>
  <c r="D12" i="1"/>
  <c r="N137" i="28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S29" i="28"/>
  <c r="Q60" i="28" l="1"/>
  <c r="N53" i="11"/>
  <c r="P54" i="28"/>
  <c r="D20" i="1"/>
  <c r="N60" i="28"/>
  <c r="N66" i="28" s="1"/>
  <c r="O60" i="28"/>
  <c r="J60" i="28"/>
  <c r="J66" i="28" s="1"/>
  <c r="Q54" i="28"/>
  <c r="N54" i="11" s="1"/>
  <c r="P60" i="28"/>
  <c r="M54" i="28"/>
  <c r="M66" i="28"/>
  <c r="L60" i="28"/>
  <c r="K60" i="28"/>
  <c r="K54" i="28"/>
  <c r="I60" i="28"/>
  <c r="I66" i="28" s="1"/>
  <c r="H60" i="28"/>
  <c r="H66" i="28" s="1"/>
  <c r="T10" i="28"/>
  <c r="S53" i="28"/>
  <c r="S60" i="28" s="1"/>
  <c r="G60" i="28"/>
  <c r="G66" i="28" s="1"/>
  <c r="G61" i="28" s="1"/>
  <c r="T29" i="28"/>
  <c r="G29" i="11"/>
  <c r="S129" i="28"/>
  <c r="G19" i="26"/>
  <c r="H19" i="26"/>
  <c r="Q66" i="28" l="1"/>
  <c r="N60" i="11"/>
  <c r="P66" i="28"/>
  <c r="O66" i="28"/>
  <c r="S54" i="28"/>
  <c r="G54" i="11" s="1"/>
  <c r="N61" i="28"/>
  <c r="M61" i="28"/>
  <c r="L66" i="28"/>
  <c r="K66" i="28"/>
  <c r="J61" i="28"/>
  <c r="I61" i="28"/>
  <c r="T129" i="28"/>
  <c r="H61" i="28"/>
  <c r="T53" i="28"/>
  <c r="G53" i="11"/>
  <c r="G60" i="11"/>
  <c r="S130" i="28"/>
  <c r="S136" i="28"/>
  <c r="S66" i="28"/>
  <c r="T60" i="28"/>
  <c r="G55" i="26"/>
  <c r="Q61" i="28" l="1"/>
  <c r="N61" i="11" s="1"/>
  <c r="N66" i="11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<sst xmlns="http://schemas.openxmlformats.org/spreadsheetml/2006/main" count="1910" uniqueCount="881">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</sst>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-novembar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2,543.3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31.3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79.7mil. € ili 3%.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45.7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1.8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2,721.5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33.5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157.4 mil. € ili 5.5%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224.7 mil. € ili 9%.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-novembar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178.2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2.2%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budžetskih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2025-11</v>
      </c>
      <c r="O6" s="128" t="str">
        <f>+CONCATENATE(N6,"p")</f>
        <v>2025-11p</v>
      </c>
      <c r="P6" s="116"/>
      <c r="Q6" s="116"/>
      <c r="R6" s="128" t="str">
        <f>+IF(Master!B3-10&gt;=0,CONCATENATE(Master!B4-1,"-",Master!B3),CONCATENATE(Master!B4-1,"-0",Master!B3))</f>
        <v>2024-11</v>
      </c>
      <c r="S6" s="116"/>
      <c r="T6" s="116"/>
    </row>
    <row r="7" spans="1:20">
      <c r="A7" s="129"/>
      <c r="B7" s="567" t="s">
        <v>691</v>
      </c>
      <c r="C7" s="568"/>
      <c r="D7" s="568"/>
      <c r="E7" s="568"/>
      <c r="F7" s="568"/>
      <c r="G7" s="576" t="s">
        <v>690</v>
      </c>
      <c r="H7" s="577"/>
      <c r="I7" s="577"/>
      <c r="J7" s="577"/>
      <c r="K7" s="577"/>
      <c r="L7" s="577"/>
      <c r="M7" s="578"/>
      <c r="N7" s="579" t="str">
        <f>+Master!G243</f>
        <v>Decembar</v>
      </c>
      <c r="O7" s="577"/>
      <c r="P7" s="577"/>
      <c r="Q7" s="577"/>
      <c r="R7" s="577"/>
      <c r="S7" s="577"/>
      <c r="T7" s="580"/>
    </row>
    <row r="8" spans="1:20">
      <c r="A8" s="129"/>
      <c r="B8" s="569"/>
      <c r="C8" s="570"/>
      <c r="D8" s="570"/>
      <c r="E8" s="570"/>
      <c r="F8" s="571"/>
      <c r="G8" s="130" t="str">
        <f>+Master!G26</f>
        <v>Ostvarenje</v>
      </c>
      <c r="H8" s="130" t="str">
        <f>+Master!G25</f>
        <v>Plan</v>
      </c>
      <c r="I8" s="563" t="str">
        <f>+Master!G261</f>
        <v>Odstupanje</v>
      </c>
      <c r="J8" s="563"/>
      <c r="K8" s="130" t="str">
        <f>+CONCATENATE(Master!G246," ",Master!B4-1)</f>
        <v>Jan - Nov 2024</v>
      </c>
      <c r="L8" s="563" t="str">
        <f>+I8</f>
        <v>Odstupanje</v>
      </c>
      <c r="M8" s="575"/>
      <c r="N8" s="131" t="str">
        <f>+G8</f>
        <v>Ostvarenje</v>
      </c>
      <c r="O8" s="130" t="str">
        <f>+H8</f>
        <v>Plan</v>
      </c>
      <c r="P8" s="563" t="str">
        <f>+I8</f>
        <v>Odstupanje</v>
      </c>
      <c r="Q8" s="563"/>
      <c r="R8" s="130" t="str">
        <f>+CONCATENATE(Master!G245," ",Master!B4-1)</f>
        <v>Novembar 2024</v>
      </c>
      <c r="S8" s="563" t="str">
        <f>+P8</f>
        <v>Odstupanje</v>
      </c>
      <c r="T8" s="564"/>
    </row>
    <row r="9" spans="1:20" ht="15.7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7" t="e">
        <f>+VLOOKUP($A18,Master!$D$30:$G$226,4,FALSE)</f>
        <v>#N/A</v>
      </c>
      <c r="C18" s="598"/>
      <c r="D18" s="598"/>
      <c r="E18" s="598"/>
      <c r="F18" s="598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7" t="str">
        <f>+VLOOKUP($A19,Master!$D$30:$G$226,4,FALSE)</f>
        <v>Ostali državni porezi</v>
      </c>
      <c r="C19" s="598"/>
      <c r="D19" s="598"/>
      <c r="E19" s="598"/>
      <c r="F19" s="598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7" t="str">
        <f>+VLOOKUP($A20,Master!$D$30:$G$226,4,FALSE)</f>
        <v>Doprinosi</v>
      </c>
      <c r="C20" s="608"/>
      <c r="D20" s="608"/>
      <c r="E20" s="608"/>
      <c r="F20" s="608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7" t="str">
        <f>+VLOOKUP($A21,Master!$D$30:$G$226,4,FALSE)</f>
        <v>Doprinosi za penzijsko i invalidsko osiguranje</v>
      </c>
      <c r="C21" s="598"/>
      <c r="D21" s="598"/>
      <c r="E21" s="598"/>
      <c r="F21" s="598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7" t="str">
        <f>+VLOOKUP($A22,Master!$D$30:$G$226,4,FALSE)</f>
        <v>Doprinosi za zdravstveno osiguranje</v>
      </c>
      <c r="C22" s="598"/>
      <c r="D22" s="598"/>
      <c r="E22" s="598"/>
      <c r="F22" s="598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7" t="str">
        <f>+VLOOKUP($A23,Master!$D$30:$G$226,4,FALSE)</f>
        <v>Doprinosi za osiguranje od nezaposlenosti</v>
      </c>
      <c r="C23" s="598"/>
      <c r="D23" s="598"/>
      <c r="E23" s="598"/>
      <c r="F23" s="598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7" t="str">
        <f>+VLOOKUP($A24,Master!$D$30:$G$226,4,FALSE)</f>
        <v>Ostali doprinosi</v>
      </c>
      <c r="C24" s="598"/>
      <c r="D24" s="598"/>
      <c r="E24" s="598"/>
      <c r="F24" s="598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9" t="str">
        <f>+VLOOKUP($A25,Master!$D$30:$G$226,4,FALSE)</f>
        <v>Takse</v>
      </c>
      <c r="C25" s="600"/>
      <c r="D25" s="600"/>
      <c r="E25" s="600"/>
      <c r="F25" s="600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9" t="str">
        <f>+VLOOKUP($A26,Master!$D$30:$G$226,4,FALSE)</f>
        <v>Naknade</v>
      </c>
      <c r="C26" s="600"/>
      <c r="D26" s="600"/>
      <c r="E26" s="600"/>
      <c r="F26" s="600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9" t="str">
        <f>+VLOOKUP($A27,Master!$D$30:$G$226,4,FALSE)</f>
        <v>Ostali prihodi</v>
      </c>
      <c r="C27" s="600"/>
      <c r="D27" s="600"/>
      <c r="E27" s="600"/>
      <c r="F27" s="600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9" t="str">
        <f>+VLOOKUP($A28,Master!$D$30:$G$226,4,FALSE)</f>
        <v>Primici od otplate kredita i sredstva prenesena iz prethodne godine</v>
      </c>
      <c r="C28" s="600"/>
      <c r="D28" s="600"/>
      <c r="E28" s="600"/>
      <c r="F28" s="600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1" t="str">
        <f>+VLOOKUP($A29,Master!$D$30:$G$226,4,FALSE)</f>
        <v>Donacije i transferi</v>
      </c>
      <c r="C29" s="602"/>
      <c r="D29" s="602"/>
      <c r="E29" s="602"/>
      <c r="F29" s="602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7" t="str">
        <f>+VLOOKUP($A30,Master!$D$30:$G$226,4,FALSE)</f>
        <v>Izdaci budžeta</v>
      </c>
      <c r="C30" s="588"/>
      <c r="D30" s="588"/>
      <c r="E30" s="588"/>
      <c r="F30" s="588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3" t="str">
        <f>+VLOOKUP($A31,Master!$D$30:$G$226,4,FALSE)</f>
        <v>Tekući izdaci</v>
      </c>
      <c r="C31" s="604"/>
      <c r="D31" s="604"/>
      <c r="E31" s="604"/>
      <c r="F31" s="604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5" t="str">
        <f>+VLOOKUP($A32,Master!$D$30:$G$226,4,FALSE)</f>
        <v>Tekuća budžetska potrošnja</v>
      </c>
      <c r="C32" s="606"/>
      <c r="D32" s="606"/>
      <c r="E32" s="606"/>
      <c r="F32" s="606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7" t="str">
        <f>+VLOOKUP($A33,Master!$D$30:$G$226,4,FALSE)</f>
        <v>Bruto zarade i doprinosi na teret poslodavca</v>
      </c>
      <c r="C33" s="598"/>
      <c r="D33" s="598"/>
      <c r="E33" s="598"/>
      <c r="F33" s="598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7" t="str">
        <f>+VLOOKUP($A34,Master!$D$30:$G$226,4,FALSE)</f>
        <v>Ostala lična primanja</v>
      </c>
      <c r="C34" s="598"/>
      <c r="D34" s="598"/>
      <c r="E34" s="598"/>
      <c r="F34" s="598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7" t="str">
        <f>+VLOOKUP($A35,Master!$D$30:$G$226,4,FALSE)</f>
        <v>Rashodi za materijal</v>
      </c>
      <c r="C35" s="598"/>
      <c r="D35" s="598"/>
      <c r="E35" s="598"/>
      <c r="F35" s="598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7" t="str">
        <f>+VLOOKUP($A36,Master!$D$30:$G$226,4,FALSE)</f>
        <v>Rashodi za usluge</v>
      </c>
      <c r="C36" s="598"/>
      <c r="D36" s="598"/>
      <c r="E36" s="598"/>
      <c r="F36" s="598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7" t="str">
        <f>+VLOOKUP($A37,Master!$D$30:$G$226,4,FALSE)</f>
        <v>Rashodi za tekuće održavanje</v>
      </c>
      <c r="C37" s="598"/>
      <c r="D37" s="598"/>
      <c r="E37" s="598"/>
      <c r="F37" s="598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7" t="str">
        <f>+VLOOKUP($A38,Master!$D$30:$G$226,4,FALSE)</f>
        <v>Kamate</v>
      </c>
      <c r="C38" s="598"/>
      <c r="D38" s="598"/>
      <c r="E38" s="598"/>
      <c r="F38" s="598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7" t="str">
        <f>+VLOOKUP($A39,Master!$D$30:$G$226,4,FALSE)</f>
        <v>Renta</v>
      </c>
      <c r="C39" s="598"/>
      <c r="D39" s="598"/>
      <c r="E39" s="598"/>
      <c r="F39" s="598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7" t="str">
        <f>+VLOOKUP($A40,Master!$D$30:$G$226,4,FALSE)</f>
        <v>Subvencije</v>
      </c>
      <c r="C40" s="598"/>
      <c r="D40" s="598"/>
      <c r="E40" s="598"/>
      <c r="F40" s="598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7" t="str">
        <f>+VLOOKUP($A41,Master!$D$30:$G$226,4,FALSE)</f>
        <v>Ostali izdaci</v>
      </c>
      <c r="C41" s="598"/>
      <c r="D41" s="598"/>
      <c r="E41" s="598"/>
      <c r="F41" s="598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7" t="e">
        <f>+VLOOKUP($A42,Master!$D$30:$G$226,4,FALSE)</f>
        <v>#N/A</v>
      </c>
      <c r="C42" s="598"/>
      <c r="D42" s="598"/>
      <c r="E42" s="598"/>
      <c r="F42" s="598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3" t="str">
        <f>+VLOOKUP($A43,Master!$D$30:$G$226,4,FALSE)</f>
        <v>Transferi za socijalnu zaštitu</v>
      </c>
      <c r="C43" s="594"/>
      <c r="D43" s="594"/>
      <c r="E43" s="594"/>
      <c r="F43" s="594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7" t="str">
        <f>+VLOOKUP($A44,Master!$D$30:$G$226,4,FALSE)</f>
        <v>Prava iz oblasti socijalne zaštite</v>
      </c>
      <c r="C44" s="598"/>
      <c r="D44" s="598"/>
      <c r="E44" s="598"/>
      <c r="F44" s="598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7" t="str">
        <f>+VLOOKUP($A45,Master!$D$30:$G$226,4,FALSE)</f>
        <v>Sredstva za tehnološke viškove</v>
      </c>
      <c r="C45" s="598"/>
      <c r="D45" s="598"/>
      <c r="E45" s="598"/>
      <c r="F45" s="598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7" t="str">
        <f>+VLOOKUP($A46,Master!$D$30:$G$226,4,FALSE)</f>
        <v>Prava iz oblasti penzijskog i invalidskog osiguranja</v>
      </c>
      <c r="C46" s="598"/>
      <c r="D46" s="598"/>
      <c r="E46" s="598"/>
      <c r="F46" s="598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7" t="str">
        <f>+VLOOKUP($A47,Master!$D$30:$G$226,4,FALSE)</f>
        <v>Ostala prava iz oblasti zdravstvene zaštite</v>
      </c>
      <c r="C47" s="598"/>
      <c r="D47" s="598"/>
      <c r="E47" s="598"/>
      <c r="F47" s="598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7" t="str">
        <f>+VLOOKUP($A48,Master!$D$30:$G$226,4,FALSE)</f>
        <v>Ostala prava iz zdravstvenog osiguranja</v>
      </c>
      <c r="C48" s="598"/>
      <c r="D48" s="598"/>
      <c r="E48" s="598"/>
      <c r="F48" s="598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5" t="str">
        <f>+VLOOKUP($A49,Master!$D$30:$G$226,4,FALSE)</f>
        <v xml:space="preserve">Transferi institucijama, pojedincima, nevladinom i javnom sektoru </v>
      </c>
      <c r="C49" s="596"/>
      <c r="D49" s="596"/>
      <c r="E49" s="596"/>
      <c r="F49" s="596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5" t="str">
        <f>+VLOOKUP($A50,Master!$D$30:$G$226,4,FALSE)</f>
        <v>Kapitalni izdaci</v>
      </c>
      <c r="C50" s="596"/>
      <c r="D50" s="596"/>
      <c r="E50" s="596"/>
      <c r="F50" s="596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5" t="str">
        <f>+VLOOKUP($A51,Master!$D$30:$G$226,4,FALSE)</f>
        <v>Pozajmice i krediti</v>
      </c>
      <c r="C51" s="566"/>
      <c r="D51" s="566"/>
      <c r="E51" s="566"/>
      <c r="F51" s="566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5" t="str">
        <f>+VLOOKUP($A52,Master!$D$30:$G$226,4,FALSE)</f>
        <v>Rezerve</v>
      </c>
      <c r="C52" s="566"/>
      <c r="D52" s="566"/>
      <c r="E52" s="566"/>
      <c r="F52" s="566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3" t="str">
        <f>+VLOOKUP($A53,Master!$D$30:$G$226,4,FALSE)</f>
        <v>Otplata garancija</v>
      </c>
      <c r="C53" s="584"/>
      <c r="D53" s="584"/>
      <c r="E53" s="584"/>
      <c r="F53" s="584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3" t="str">
        <f>+VLOOKUP($A54,Master!$D$30:$G$226,4,FALSE)</f>
        <v>Otplata obaveza iz prethodnog perioda</v>
      </c>
      <c r="C54" s="584"/>
      <c r="D54" s="584"/>
      <c r="E54" s="584"/>
      <c r="F54" s="584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3" t="str">
        <f>+VLOOKUP($A55,Master!$D$30:$G$228,4,FALSE)</f>
        <v>Neto povećanje obaveza</v>
      </c>
      <c r="C55" s="584"/>
      <c r="D55" s="584"/>
      <c r="E55" s="584"/>
      <c r="F55" s="584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9" t="str">
        <f>+VLOOKUP($A56,Master!$D$30:$G$226,4,FALSE)</f>
        <v>Suficit / deficit</v>
      </c>
      <c r="C56" s="590"/>
      <c r="D56" s="590"/>
      <c r="E56" s="590"/>
      <c r="F56" s="590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1" t="str">
        <f>+VLOOKUP($A57,Master!$D$30:$G$226,4,FALSE)</f>
        <v>Primarni suficit/deficit</v>
      </c>
      <c r="C57" s="592"/>
      <c r="D57" s="592"/>
      <c r="E57" s="592"/>
      <c r="F57" s="592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3" t="str">
        <f>+VLOOKUP($A58,Master!$D$30:$G$226,4,FALSE)</f>
        <v>Otplata dugova</v>
      </c>
      <c r="C58" s="594"/>
      <c r="D58" s="594"/>
      <c r="E58" s="594"/>
      <c r="F58" s="594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1" t="str">
        <f>+VLOOKUP($A59,Master!$D$30:$G$226,4,FALSE)</f>
        <v>Otplata hartija od vrijednosti i kredita rezidentima</v>
      </c>
      <c r="C59" s="582"/>
      <c r="D59" s="582"/>
      <c r="E59" s="582"/>
      <c r="F59" s="582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5" t="str">
        <f>+VLOOKUP($A60,Master!$D$30:$G$226,4,FALSE)</f>
        <v>Otplata hartija od vrijednosti i kredita nerezidentima</v>
      </c>
      <c r="C60" s="566"/>
      <c r="D60" s="566"/>
      <c r="E60" s="566"/>
      <c r="F60" s="566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5" t="str">
        <f>+VLOOKUP($A62,Master!$D$30:$G$226,4,FALSE)</f>
        <v>Nedostajuća sredstva</v>
      </c>
      <c r="C62" s="586"/>
      <c r="D62" s="586"/>
      <c r="E62" s="586"/>
      <c r="F62" s="586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7" t="str">
        <f>+VLOOKUP($A63,Master!$D$30:$G$226,4,FALSE)</f>
        <v>Finansiranje</v>
      </c>
      <c r="C63" s="588"/>
      <c r="D63" s="588"/>
      <c r="E63" s="588"/>
      <c r="F63" s="588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1" t="str">
        <f>+VLOOKUP($A64,Master!$D$30:$G$226,4,FALSE)</f>
        <v>Pozajmice i krediti od domaćih izvora</v>
      </c>
      <c r="C64" s="582"/>
      <c r="D64" s="582"/>
      <c r="E64" s="582"/>
      <c r="F64" s="582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5" t="str">
        <f>+VLOOKUP($A65,Master!$D$30:$G$226,4,FALSE)</f>
        <v>Pozajmice i krediti od inostranih izvora</v>
      </c>
      <c r="C65" s="566"/>
      <c r="D65" s="566"/>
      <c r="E65" s="566"/>
      <c r="F65" s="566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5" t="str">
        <f>+VLOOKUP($A66,Master!$D$30:$G$226,4,FALSE)</f>
        <v>Primici od prodaje imovine</v>
      </c>
      <c r="C66" s="566"/>
      <c r="D66" s="566"/>
      <c r="E66" s="566"/>
      <c r="F66" s="566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7" t="s">
        <v>553</v>
      </c>
      <c r="C7" s="568"/>
      <c r="D7" s="568"/>
      <c r="E7" s="568"/>
      <c r="F7" s="568"/>
      <c r="G7" s="576">
        <v>2019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">
        <v>419</v>
      </c>
      <c r="T7" s="221">
        <v>4951000000</v>
      </c>
    </row>
    <row r="8" spans="1:20" ht="16.5" customHeight="1">
      <c r="A8" s="129"/>
      <c r="B8" s="569"/>
      <c r="C8" s="570"/>
      <c r="D8" s="570"/>
      <c r="E8" s="570"/>
      <c r="F8" s="57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6" t="s">
        <v>806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7" t="s">
        <v>680</v>
      </c>
      <c r="C10" s="588"/>
      <c r="D10" s="588"/>
      <c r="E10" s="588"/>
      <c r="F10" s="588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1" t="s">
        <v>21</v>
      </c>
      <c r="C11" s="612"/>
      <c r="D11" s="612"/>
      <c r="E11" s="612"/>
      <c r="F11" s="612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7" t="s">
        <v>23</v>
      </c>
      <c r="C12" s="598"/>
      <c r="D12" s="598"/>
      <c r="E12" s="598"/>
      <c r="F12" s="598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7" t="s">
        <v>25</v>
      </c>
      <c r="C13" s="598"/>
      <c r="D13" s="598"/>
      <c r="E13" s="598"/>
      <c r="F13" s="598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7" t="s">
        <v>27</v>
      </c>
      <c r="C14" s="598"/>
      <c r="D14" s="598"/>
      <c r="E14" s="598"/>
      <c r="F14" s="598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7" t="s">
        <v>29</v>
      </c>
      <c r="C15" s="598"/>
      <c r="D15" s="598"/>
      <c r="E15" s="598"/>
      <c r="F15" s="598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7" t="s">
        <v>31</v>
      </c>
      <c r="C16" s="598"/>
      <c r="D16" s="598"/>
      <c r="E16" s="598"/>
      <c r="F16" s="598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7" t="s">
        <v>33</v>
      </c>
      <c r="C17" s="598"/>
      <c r="D17" s="598"/>
      <c r="E17" s="598"/>
      <c r="F17" s="598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7" t="s">
        <v>721</v>
      </c>
      <c r="C18" s="598"/>
      <c r="D18" s="598"/>
      <c r="E18" s="598"/>
      <c r="F18" s="598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7" t="s">
        <v>37</v>
      </c>
      <c r="C19" s="608"/>
      <c r="D19" s="608"/>
      <c r="E19" s="608"/>
      <c r="F19" s="608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7" t="s">
        <v>39</v>
      </c>
      <c r="C20" s="598"/>
      <c r="D20" s="598"/>
      <c r="E20" s="598"/>
      <c r="F20" s="598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7" t="s">
        <v>41</v>
      </c>
      <c r="C21" s="598"/>
      <c r="D21" s="598"/>
      <c r="E21" s="598"/>
      <c r="F21" s="598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7" t="s">
        <v>43</v>
      </c>
      <c r="C22" s="598"/>
      <c r="D22" s="598"/>
      <c r="E22" s="598"/>
      <c r="F22" s="598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7" t="s">
        <v>45</v>
      </c>
      <c r="C23" s="598"/>
      <c r="D23" s="598"/>
      <c r="E23" s="598"/>
      <c r="F23" s="598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9" t="s">
        <v>47</v>
      </c>
      <c r="C24" s="600"/>
      <c r="D24" s="600"/>
      <c r="E24" s="600"/>
      <c r="F24" s="600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9" t="s">
        <v>61</v>
      </c>
      <c r="C25" s="600"/>
      <c r="D25" s="600"/>
      <c r="E25" s="600"/>
      <c r="F25" s="600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9" t="s">
        <v>81</v>
      </c>
      <c r="C26" s="600"/>
      <c r="D26" s="600"/>
      <c r="E26" s="600"/>
      <c r="F26" s="600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9" t="s">
        <v>99</v>
      </c>
      <c r="C27" s="600"/>
      <c r="D27" s="600"/>
      <c r="E27" s="600"/>
      <c r="F27" s="600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1" t="s">
        <v>105</v>
      </c>
      <c r="C28" s="602"/>
      <c r="D28" s="602"/>
      <c r="E28" s="602"/>
      <c r="F28" s="602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7" t="s">
        <v>801</v>
      </c>
      <c r="C29" s="588"/>
      <c r="D29" s="588"/>
      <c r="E29" s="588"/>
      <c r="F29" s="588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3" t="s">
        <v>120</v>
      </c>
      <c r="C30" s="604"/>
      <c r="D30" s="604"/>
      <c r="E30" s="604"/>
      <c r="F30" s="604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7" t="s">
        <v>122</v>
      </c>
      <c r="C31" s="598"/>
      <c r="D31" s="598"/>
      <c r="E31" s="598"/>
      <c r="F31" s="598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7" t="s">
        <v>133</v>
      </c>
      <c r="C32" s="598"/>
      <c r="D32" s="598"/>
      <c r="E32" s="598"/>
      <c r="F32" s="598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7" t="s">
        <v>148</v>
      </c>
      <c r="C33" s="598"/>
      <c r="D33" s="598"/>
      <c r="E33" s="598"/>
      <c r="F33" s="598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7" t="s">
        <v>162</v>
      </c>
      <c r="C34" s="598"/>
      <c r="D34" s="598"/>
      <c r="E34" s="598"/>
      <c r="F34" s="598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5" t="s">
        <v>182</v>
      </c>
      <c r="C35" s="616"/>
      <c r="D35" s="616"/>
      <c r="E35" s="616"/>
      <c r="F35" s="616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7" t="s">
        <v>190</v>
      </c>
      <c r="C36" s="598"/>
      <c r="D36" s="598"/>
      <c r="E36" s="598"/>
      <c r="F36" s="598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7" t="s">
        <v>196</v>
      </c>
      <c r="C37" s="598"/>
      <c r="D37" s="598"/>
      <c r="E37" s="598"/>
      <c r="F37" s="598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7" t="s">
        <v>204</v>
      </c>
      <c r="C38" s="598"/>
      <c r="D38" s="598"/>
      <c r="E38" s="598"/>
      <c r="F38" s="598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7" t="s">
        <v>212</v>
      </c>
      <c r="C39" s="598"/>
      <c r="D39" s="598"/>
      <c r="E39" s="598"/>
      <c r="F39" s="598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3" t="s">
        <v>230</v>
      </c>
      <c r="C40" s="594"/>
      <c r="D40" s="594"/>
      <c r="E40" s="594"/>
      <c r="F40" s="594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7" t="s">
        <v>232</v>
      </c>
      <c r="C41" s="598"/>
      <c r="D41" s="598"/>
      <c r="E41" s="598"/>
      <c r="F41" s="598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7" t="s">
        <v>248</v>
      </c>
      <c r="C42" s="598"/>
      <c r="D42" s="598"/>
      <c r="E42" s="598"/>
      <c r="F42" s="598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7" t="s">
        <v>259</v>
      </c>
      <c r="C43" s="598"/>
      <c r="D43" s="598"/>
      <c r="E43" s="598"/>
      <c r="F43" s="598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7" t="s">
        <v>274</v>
      </c>
      <c r="C44" s="598"/>
      <c r="D44" s="598"/>
      <c r="E44" s="598"/>
      <c r="F44" s="598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7" t="s">
        <v>278</v>
      </c>
      <c r="C45" s="598"/>
      <c r="D45" s="598"/>
      <c r="E45" s="598"/>
      <c r="F45" s="598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5" t="s">
        <v>286</v>
      </c>
      <c r="C46" s="596"/>
      <c r="D46" s="596"/>
      <c r="E46" s="596"/>
      <c r="F46" s="596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5" t="s">
        <v>320</v>
      </c>
      <c r="C47" s="596"/>
      <c r="D47" s="596"/>
      <c r="E47" s="596"/>
      <c r="F47" s="596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9" t="s">
        <v>113</v>
      </c>
      <c r="C48" s="620"/>
      <c r="D48" s="620"/>
      <c r="E48" s="620"/>
      <c r="F48" s="620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4" t="s">
        <v>366</v>
      </c>
      <c r="C49" s="625"/>
      <c r="D49" s="625"/>
      <c r="E49" s="625"/>
      <c r="F49" s="625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3" t="s">
        <v>359</v>
      </c>
      <c r="C50" s="584"/>
      <c r="D50" s="584"/>
      <c r="E50" s="584"/>
      <c r="F50" s="584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6" t="s">
        <v>794</v>
      </c>
      <c r="C51" s="627"/>
      <c r="D51" s="627"/>
      <c r="E51" s="627"/>
      <c r="F51" s="627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8" t="s">
        <v>684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9" t="s">
        <v>545</v>
      </c>
      <c r="C53" s="590"/>
      <c r="D53" s="590"/>
      <c r="E53" s="590"/>
      <c r="F53" s="590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1" t="s">
        <v>792</v>
      </c>
      <c r="C54" s="592"/>
      <c r="D54" s="592"/>
      <c r="E54" s="592"/>
      <c r="F54" s="592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3" t="s">
        <v>352</v>
      </c>
      <c r="C55" s="614"/>
      <c r="D55" s="614"/>
      <c r="E55" s="614"/>
      <c r="F55" s="614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1" t="s">
        <v>355</v>
      </c>
      <c r="C56" s="582"/>
      <c r="D56" s="582"/>
      <c r="E56" s="582"/>
      <c r="F56" s="582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5" t="s">
        <v>357</v>
      </c>
      <c r="C57" s="566"/>
      <c r="D57" s="566"/>
      <c r="E57" s="566"/>
      <c r="F57" s="566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8" t="s">
        <v>336</v>
      </c>
      <c r="C58" s="669"/>
      <c r="D58" s="669"/>
      <c r="E58" s="669"/>
      <c r="F58" s="669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5" t="s">
        <v>543</v>
      </c>
      <c r="C59" s="586"/>
      <c r="D59" s="586"/>
      <c r="E59" s="586"/>
      <c r="F59" s="586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7" t="s">
        <v>544</v>
      </c>
      <c r="C60" s="588"/>
      <c r="D60" s="588"/>
      <c r="E60" s="588"/>
      <c r="F60" s="588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1" t="s">
        <v>114</v>
      </c>
      <c r="C61" s="582"/>
      <c r="D61" s="582"/>
      <c r="E61" s="582"/>
      <c r="F61" s="582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5" t="s">
        <v>116</v>
      </c>
      <c r="C62" s="566"/>
      <c r="D62" s="566"/>
      <c r="E62" s="566"/>
      <c r="F62" s="566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5" t="s">
        <v>93</v>
      </c>
      <c r="C63" s="566"/>
      <c r="D63" s="566"/>
      <c r="E63" s="566"/>
      <c r="F63" s="566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6" t="s">
        <v>551</v>
      </c>
      <c r="C100" s="637"/>
      <c r="D100" s="637"/>
      <c r="E100" s="637"/>
      <c r="F100" s="637"/>
      <c r="G100" s="621">
        <v>2019</v>
      </c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23"/>
      <c r="S100" s="96" t="str">
        <f>+S7</f>
        <v>BDP</v>
      </c>
      <c r="T100" s="97">
        <f>+T7</f>
        <v>4951000000</v>
      </c>
    </row>
    <row r="101" spans="1:21" ht="15.75" customHeight="1">
      <c r="B101" s="638"/>
      <c r="C101" s="639"/>
      <c r="D101" s="639"/>
      <c r="E101" s="639"/>
      <c r="F101" s="640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1" t="s">
        <v>806</v>
      </c>
      <c r="T101" s="623">
        <f>+T8</f>
        <v>0</v>
      </c>
    </row>
    <row r="102" spans="1:21" ht="13.5" thickBot="1">
      <c r="B102" s="641"/>
      <c r="C102" s="642"/>
      <c r="D102" s="642"/>
      <c r="E102" s="642"/>
      <c r="F102" s="643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6" t="s">
        <v>680</v>
      </c>
      <c r="C103" s="667"/>
      <c r="D103" s="667"/>
      <c r="E103" s="667"/>
      <c r="F103" s="667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2" t="s">
        <v>21</v>
      </c>
      <c r="C104" s="633"/>
      <c r="D104" s="633"/>
      <c r="E104" s="633"/>
      <c r="F104" s="633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4" t="s">
        <v>23</v>
      </c>
      <c r="C105" s="635"/>
      <c r="D105" s="635"/>
      <c r="E105" s="635"/>
      <c r="F105" s="635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4" t="s">
        <v>25</v>
      </c>
      <c r="C106" s="635"/>
      <c r="D106" s="635"/>
      <c r="E106" s="635"/>
      <c r="F106" s="635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4" t="s">
        <v>27</v>
      </c>
      <c r="C107" s="635"/>
      <c r="D107" s="635"/>
      <c r="E107" s="635"/>
      <c r="F107" s="635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4" t="s">
        <v>29</v>
      </c>
      <c r="C108" s="635"/>
      <c r="D108" s="635"/>
      <c r="E108" s="635"/>
      <c r="F108" s="635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4" t="s">
        <v>31</v>
      </c>
      <c r="C109" s="635"/>
      <c r="D109" s="635"/>
      <c r="E109" s="635"/>
      <c r="F109" s="635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4" t="s">
        <v>33</v>
      </c>
      <c r="C110" s="635"/>
      <c r="D110" s="635"/>
      <c r="E110" s="635"/>
      <c r="F110" s="635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4" t="s">
        <v>721</v>
      </c>
      <c r="C111" s="635"/>
      <c r="D111" s="635"/>
      <c r="E111" s="635"/>
      <c r="F111" s="635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4" t="s">
        <v>37</v>
      </c>
      <c r="C112" s="665"/>
      <c r="D112" s="665"/>
      <c r="E112" s="665"/>
      <c r="F112" s="665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4" t="s">
        <v>39</v>
      </c>
      <c r="C113" s="635"/>
      <c r="D113" s="635"/>
      <c r="E113" s="635"/>
      <c r="F113" s="635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4" t="s">
        <v>41</v>
      </c>
      <c r="C114" s="635"/>
      <c r="D114" s="635"/>
      <c r="E114" s="635"/>
      <c r="F114" s="635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4" t="s">
        <v>43</v>
      </c>
      <c r="C115" s="635"/>
      <c r="D115" s="635"/>
      <c r="E115" s="635"/>
      <c r="F115" s="635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4" t="s">
        <v>45</v>
      </c>
      <c r="C116" s="635"/>
      <c r="D116" s="635"/>
      <c r="E116" s="635"/>
      <c r="F116" s="635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4" t="s">
        <v>47</v>
      </c>
      <c r="C117" s="645"/>
      <c r="D117" s="645"/>
      <c r="E117" s="645"/>
      <c r="F117" s="645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4" t="s">
        <v>61</v>
      </c>
      <c r="C118" s="645"/>
      <c r="D118" s="645"/>
      <c r="E118" s="645"/>
      <c r="F118" s="645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4" t="s">
        <v>81</v>
      </c>
      <c r="C119" s="645"/>
      <c r="D119" s="645"/>
      <c r="E119" s="645"/>
      <c r="F119" s="645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4" t="s">
        <v>99</v>
      </c>
      <c r="C120" s="645"/>
      <c r="D120" s="645"/>
      <c r="E120" s="645"/>
      <c r="F120" s="645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6" t="s">
        <v>105</v>
      </c>
      <c r="C121" s="647"/>
      <c r="D121" s="647"/>
      <c r="E121" s="647"/>
      <c r="F121" s="647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30" t="s">
        <v>808</v>
      </c>
      <c r="C122" s="631"/>
      <c r="D122" s="631"/>
      <c r="E122" s="631"/>
      <c r="F122" s="631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2" t="s">
        <v>773</v>
      </c>
      <c r="C123" s="673"/>
      <c r="D123" s="673"/>
      <c r="E123" s="673"/>
      <c r="F123" s="673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8" t="e">
        <v>#REF!</v>
      </c>
      <c r="C124" s="649"/>
      <c r="D124" s="649"/>
      <c r="E124" s="649"/>
      <c r="F124" s="649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4" t="s">
        <v>122</v>
      </c>
      <c r="C125" s="635"/>
      <c r="D125" s="635"/>
      <c r="E125" s="635"/>
      <c r="F125" s="635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4" t="s">
        <v>133</v>
      </c>
      <c r="C126" s="635"/>
      <c r="D126" s="635"/>
      <c r="E126" s="635"/>
      <c r="F126" s="635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4" t="s">
        <v>148</v>
      </c>
      <c r="C127" s="635"/>
      <c r="D127" s="635"/>
      <c r="E127" s="635"/>
      <c r="F127" s="635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4" t="s">
        <v>162</v>
      </c>
      <c r="C128" s="635"/>
      <c r="D128" s="635"/>
      <c r="E128" s="635"/>
      <c r="F128" s="635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4" t="s">
        <v>182</v>
      </c>
      <c r="C129" s="635"/>
      <c r="D129" s="635"/>
      <c r="E129" s="635"/>
      <c r="F129" s="635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4" t="s">
        <v>190</v>
      </c>
      <c r="C130" s="635"/>
      <c r="D130" s="635"/>
      <c r="E130" s="635"/>
      <c r="F130" s="635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4" t="s">
        <v>196</v>
      </c>
      <c r="C131" s="635"/>
      <c r="D131" s="635"/>
      <c r="E131" s="635"/>
      <c r="F131" s="635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4" t="s">
        <v>204</v>
      </c>
      <c r="C132" s="635"/>
      <c r="D132" s="635"/>
      <c r="E132" s="635"/>
      <c r="F132" s="635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4" t="s">
        <v>212</v>
      </c>
      <c r="C133" s="635"/>
      <c r="D133" s="635"/>
      <c r="E133" s="635"/>
      <c r="F133" s="635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4" t="e">
        <v>#REF!</v>
      </c>
      <c r="C134" s="635"/>
      <c r="D134" s="635"/>
      <c r="E134" s="635"/>
      <c r="F134" s="635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4" t="s">
        <v>230</v>
      </c>
      <c r="C135" s="655"/>
      <c r="D135" s="655"/>
      <c r="E135" s="655"/>
      <c r="F135" s="655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4" t="s">
        <v>232</v>
      </c>
      <c r="C136" s="635"/>
      <c r="D136" s="635"/>
      <c r="E136" s="635"/>
      <c r="F136" s="635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4" t="s">
        <v>248</v>
      </c>
      <c r="C137" s="635"/>
      <c r="D137" s="635"/>
      <c r="E137" s="635"/>
      <c r="F137" s="635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4" t="s">
        <v>259</v>
      </c>
      <c r="C138" s="635"/>
      <c r="D138" s="635"/>
      <c r="E138" s="635"/>
      <c r="F138" s="635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4" t="s">
        <v>274</v>
      </c>
      <c r="C139" s="635"/>
      <c r="D139" s="635"/>
      <c r="E139" s="635"/>
      <c r="F139" s="635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4" t="s">
        <v>278</v>
      </c>
      <c r="C140" s="635"/>
      <c r="D140" s="635"/>
      <c r="E140" s="635"/>
      <c r="F140" s="635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50" t="s">
        <v>286</v>
      </c>
      <c r="C141" s="651"/>
      <c r="D141" s="651"/>
      <c r="E141" s="651"/>
      <c r="F141" s="651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50" t="s">
        <v>809</v>
      </c>
      <c r="C142" s="651"/>
      <c r="D142" s="651"/>
      <c r="E142" s="651"/>
      <c r="F142" s="651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2" t="s">
        <v>113</v>
      </c>
      <c r="C143" s="653"/>
      <c r="D143" s="653"/>
      <c r="E143" s="653"/>
      <c r="F143" s="653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2" t="s">
        <v>366</v>
      </c>
      <c r="C144" s="653"/>
      <c r="D144" s="653"/>
      <c r="E144" s="653"/>
      <c r="F144" s="653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2" t="s">
        <v>359</v>
      </c>
      <c r="C145" s="653"/>
      <c r="D145" s="653"/>
      <c r="E145" s="653"/>
      <c r="F145" s="653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2" t="s">
        <v>365</v>
      </c>
      <c r="C146" s="653"/>
      <c r="D146" s="653"/>
      <c r="E146" s="653"/>
      <c r="F146" s="653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0" t="s">
        <v>685</v>
      </c>
      <c r="C147" s="671"/>
      <c r="D147" s="671"/>
      <c r="E147" s="671"/>
      <c r="F147" s="671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60" t="s">
        <v>545</v>
      </c>
      <c r="C148" s="661"/>
      <c r="D148" s="661"/>
      <c r="E148" s="661"/>
      <c r="F148" s="661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2" t="s">
        <v>810</v>
      </c>
      <c r="C149" s="663"/>
      <c r="D149" s="663"/>
      <c r="E149" s="663"/>
      <c r="F149" s="663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4" t="s">
        <v>352</v>
      </c>
      <c r="C150" s="655"/>
      <c r="D150" s="655"/>
      <c r="E150" s="655"/>
      <c r="F150" s="655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8" t="s">
        <v>355</v>
      </c>
      <c r="C151" s="659"/>
      <c r="D151" s="659"/>
      <c r="E151" s="659"/>
      <c r="F151" s="659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2" t="s">
        <v>357</v>
      </c>
      <c r="C152" s="653"/>
      <c r="D152" s="653"/>
      <c r="E152" s="653"/>
      <c r="F152" s="653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8" t="s">
        <v>336</v>
      </c>
      <c r="C153" s="669"/>
      <c r="D153" s="669"/>
      <c r="E153" s="669"/>
      <c r="F153" s="669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6" t="s">
        <v>543</v>
      </c>
      <c r="C154" s="657"/>
      <c r="D154" s="657"/>
      <c r="E154" s="657"/>
      <c r="F154" s="657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30" t="s">
        <v>544</v>
      </c>
      <c r="C155" s="631"/>
      <c r="D155" s="631"/>
      <c r="E155" s="631"/>
      <c r="F155" s="631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8" t="s">
        <v>114</v>
      </c>
      <c r="C156" s="659"/>
      <c r="D156" s="659"/>
      <c r="E156" s="659"/>
      <c r="F156" s="659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2" t="s">
        <v>116</v>
      </c>
      <c r="C157" s="653"/>
      <c r="D157" s="653"/>
      <c r="E157" s="653"/>
      <c r="F157" s="653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2" t="s">
        <v>93</v>
      </c>
      <c r="C158" s="653"/>
      <c r="D158" s="653"/>
      <c r="E158" s="653"/>
      <c r="F158" s="653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7" t="s">
        <v>553</v>
      </c>
      <c r="C7" s="568"/>
      <c r="D7" s="568"/>
      <c r="E7" s="568"/>
      <c r="F7" s="568"/>
      <c r="G7" s="576">
        <v>2018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">
        <v>419</v>
      </c>
      <c r="T7" s="221">
        <v>4663130000</v>
      </c>
    </row>
    <row r="8" spans="1:20" ht="16.5" customHeight="1">
      <c r="A8" s="129"/>
      <c r="B8" s="569"/>
      <c r="C8" s="570"/>
      <c r="D8" s="570"/>
      <c r="E8" s="570"/>
      <c r="F8" s="57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6" t="s">
        <v>806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9" t="s">
        <v>680</v>
      </c>
      <c r="C10" s="610"/>
      <c r="D10" s="610"/>
      <c r="E10" s="610"/>
      <c r="F10" s="610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1" t="s">
        <v>21</v>
      </c>
      <c r="C11" s="612"/>
      <c r="D11" s="612"/>
      <c r="E11" s="612"/>
      <c r="F11" s="612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7" t="s">
        <v>23</v>
      </c>
      <c r="C12" s="598"/>
      <c r="D12" s="598"/>
      <c r="E12" s="598"/>
      <c r="F12" s="598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7" t="s">
        <v>25</v>
      </c>
      <c r="C13" s="598"/>
      <c r="D13" s="598"/>
      <c r="E13" s="598"/>
      <c r="F13" s="598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7" t="s">
        <v>27</v>
      </c>
      <c r="C14" s="598"/>
      <c r="D14" s="598"/>
      <c r="E14" s="598"/>
      <c r="F14" s="598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7" t="s">
        <v>29</v>
      </c>
      <c r="C15" s="598"/>
      <c r="D15" s="598"/>
      <c r="E15" s="598"/>
      <c r="F15" s="598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7" t="s">
        <v>31</v>
      </c>
      <c r="C16" s="598"/>
      <c r="D16" s="598"/>
      <c r="E16" s="598"/>
      <c r="F16" s="598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7" t="s">
        <v>33</v>
      </c>
      <c r="C17" s="598"/>
      <c r="D17" s="598"/>
      <c r="E17" s="598"/>
      <c r="F17" s="598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7" t="s">
        <v>721</v>
      </c>
      <c r="C18" s="598"/>
      <c r="D18" s="598"/>
      <c r="E18" s="598"/>
      <c r="F18" s="598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7" t="s">
        <v>37</v>
      </c>
      <c r="C19" s="608"/>
      <c r="D19" s="608"/>
      <c r="E19" s="608"/>
      <c r="F19" s="608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7" t="s">
        <v>39</v>
      </c>
      <c r="C20" s="598"/>
      <c r="D20" s="598"/>
      <c r="E20" s="598"/>
      <c r="F20" s="598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7" t="s">
        <v>41</v>
      </c>
      <c r="C21" s="598"/>
      <c r="D21" s="598"/>
      <c r="E21" s="598"/>
      <c r="F21" s="598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7" t="s">
        <v>43</v>
      </c>
      <c r="C22" s="598"/>
      <c r="D22" s="598"/>
      <c r="E22" s="598"/>
      <c r="F22" s="598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7" t="s">
        <v>45</v>
      </c>
      <c r="C23" s="598"/>
      <c r="D23" s="598"/>
      <c r="E23" s="598"/>
      <c r="F23" s="598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9" t="s">
        <v>47</v>
      </c>
      <c r="C24" s="600"/>
      <c r="D24" s="600"/>
      <c r="E24" s="600"/>
      <c r="F24" s="600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9" t="s">
        <v>61</v>
      </c>
      <c r="C25" s="600"/>
      <c r="D25" s="600"/>
      <c r="E25" s="600"/>
      <c r="F25" s="600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9" t="s">
        <v>81</v>
      </c>
      <c r="C26" s="600"/>
      <c r="D26" s="600"/>
      <c r="E26" s="600"/>
      <c r="F26" s="600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9" t="s">
        <v>99</v>
      </c>
      <c r="C27" s="600"/>
      <c r="D27" s="600"/>
      <c r="E27" s="600"/>
      <c r="F27" s="600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1" t="s">
        <v>105</v>
      </c>
      <c r="C28" s="602"/>
      <c r="D28" s="602"/>
      <c r="E28" s="602"/>
      <c r="F28" s="602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7" t="s">
        <v>801</v>
      </c>
      <c r="C29" s="588"/>
      <c r="D29" s="588"/>
      <c r="E29" s="588"/>
      <c r="F29" s="588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3" t="s">
        <v>773</v>
      </c>
      <c r="C30" s="604"/>
      <c r="D30" s="604"/>
      <c r="E30" s="604"/>
      <c r="F30" s="604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5" t="s">
        <v>120</v>
      </c>
      <c r="C31" s="606"/>
      <c r="D31" s="606"/>
      <c r="E31" s="606"/>
      <c r="F31" s="606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7" t="s">
        <v>122</v>
      </c>
      <c r="C32" s="598"/>
      <c r="D32" s="598"/>
      <c r="E32" s="598"/>
      <c r="F32" s="598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7" t="s">
        <v>133</v>
      </c>
      <c r="C33" s="598"/>
      <c r="D33" s="598"/>
      <c r="E33" s="598"/>
      <c r="F33" s="598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7" t="s">
        <v>148</v>
      </c>
      <c r="C34" s="598"/>
      <c r="D34" s="598"/>
      <c r="E34" s="598"/>
      <c r="F34" s="598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7" t="s">
        <v>162</v>
      </c>
      <c r="C35" s="598"/>
      <c r="D35" s="598"/>
      <c r="E35" s="598"/>
      <c r="F35" s="598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7" t="s">
        <v>182</v>
      </c>
      <c r="C36" s="598"/>
      <c r="D36" s="598"/>
      <c r="E36" s="598"/>
      <c r="F36" s="598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7" t="s">
        <v>190</v>
      </c>
      <c r="C37" s="598"/>
      <c r="D37" s="598"/>
      <c r="E37" s="598"/>
      <c r="F37" s="598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7" t="s">
        <v>196</v>
      </c>
      <c r="C38" s="598"/>
      <c r="D38" s="598"/>
      <c r="E38" s="598"/>
      <c r="F38" s="598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7" t="s">
        <v>204</v>
      </c>
      <c r="C39" s="598"/>
      <c r="D39" s="598"/>
      <c r="E39" s="598"/>
      <c r="F39" s="598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7" t="s">
        <v>212</v>
      </c>
      <c r="C40" s="598"/>
      <c r="D40" s="598"/>
      <c r="E40" s="598"/>
      <c r="F40" s="598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7" t="s">
        <v>802</v>
      </c>
      <c r="C41" s="598"/>
      <c r="D41" s="598"/>
      <c r="E41" s="598"/>
      <c r="F41" s="598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3" t="s">
        <v>230</v>
      </c>
      <c r="C42" s="594"/>
      <c r="D42" s="594"/>
      <c r="E42" s="594"/>
      <c r="F42" s="594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7" t="s">
        <v>232</v>
      </c>
      <c r="C43" s="598"/>
      <c r="D43" s="598"/>
      <c r="E43" s="598"/>
      <c r="F43" s="598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7" t="s">
        <v>248</v>
      </c>
      <c r="C44" s="598"/>
      <c r="D44" s="598"/>
      <c r="E44" s="598"/>
      <c r="F44" s="598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7" t="s">
        <v>259</v>
      </c>
      <c r="C45" s="598"/>
      <c r="D45" s="598"/>
      <c r="E45" s="598"/>
      <c r="F45" s="598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7" t="s">
        <v>274</v>
      </c>
      <c r="C46" s="598"/>
      <c r="D46" s="598"/>
      <c r="E46" s="598"/>
      <c r="F46" s="598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6" t="s">
        <v>278</v>
      </c>
      <c r="C47" s="677"/>
      <c r="D47" s="677"/>
      <c r="E47" s="677"/>
      <c r="F47" s="677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5" t="s">
        <v>286</v>
      </c>
      <c r="C48" s="596"/>
      <c r="D48" s="596"/>
      <c r="E48" s="596"/>
      <c r="F48" s="596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5" t="s">
        <v>320</v>
      </c>
      <c r="C49" s="596"/>
      <c r="D49" s="596"/>
      <c r="E49" s="596"/>
      <c r="F49" s="596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9" t="s">
        <v>113</v>
      </c>
      <c r="C50" s="620"/>
      <c r="D50" s="620"/>
      <c r="E50" s="620"/>
      <c r="F50" s="620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5" t="s">
        <v>366</v>
      </c>
      <c r="C51" s="566"/>
      <c r="D51" s="566"/>
      <c r="E51" s="566"/>
      <c r="F51" s="566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3" t="s">
        <v>359</v>
      </c>
      <c r="C52" s="584"/>
      <c r="D52" s="584"/>
      <c r="E52" s="584"/>
      <c r="F52" s="584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6" t="s">
        <v>794</v>
      </c>
      <c r="C53" s="627"/>
      <c r="D53" s="627"/>
      <c r="E53" s="627"/>
      <c r="F53" s="627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8" t="s">
        <v>684</v>
      </c>
      <c r="C54" s="629"/>
      <c r="D54" s="629"/>
      <c r="E54" s="629"/>
      <c r="F54" s="629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9" t="s">
        <v>545</v>
      </c>
      <c r="C55" s="590"/>
      <c r="D55" s="590"/>
      <c r="E55" s="590"/>
      <c r="F55" s="590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1" t="s">
        <v>793</v>
      </c>
      <c r="C57" s="592"/>
      <c r="D57" s="592"/>
      <c r="E57" s="592"/>
      <c r="F57" s="592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3" t="s">
        <v>352</v>
      </c>
      <c r="C58" s="614"/>
      <c r="D58" s="614"/>
      <c r="E58" s="614"/>
      <c r="F58" s="614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1" t="s">
        <v>355</v>
      </c>
      <c r="C59" s="582"/>
      <c r="D59" s="582"/>
      <c r="E59" s="582"/>
      <c r="F59" s="582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5" t="s">
        <v>357</v>
      </c>
      <c r="C60" s="566"/>
      <c r="D60" s="566"/>
      <c r="E60" s="566"/>
      <c r="F60" s="566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4" t="s">
        <v>336</v>
      </c>
      <c r="C61" s="675"/>
      <c r="D61" s="675"/>
      <c r="E61" s="675"/>
      <c r="F61" s="675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5" t="s">
        <v>543</v>
      </c>
      <c r="C62" s="586"/>
      <c r="D62" s="586"/>
      <c r="E62" s="586"/>
      <c r="F62" s="586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7" t="s">
        <v>544</v>
      </c>
      <c r="C63" s="588"/>
      <c r="D63" s="588"/>
      <c r="E63" s="588"/>
      <c r="F63" s="588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1" t="s">
        <v>114</v>
      </c>
      <c r="C64" s="582"/>
      <c r="D64" s="582"/>
      <c r="E64" s="582"/>
      <c r="F64" s="582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5" t="s">
        <v>116</v>
      </c>
      <c r="C65" s="566"/>
      <c r="D65" s="566"/>
      <c r="E65" s="566"/>
      <c r="F65" s="566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5" t="s">
        <v>93</v>
      </c>
      <c r="C66" s="566"/>
      <c r="D66" s="566"/>
      <c r="E66" s="566"/>
      <c r="F66" s="566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6" t="s">
        <v>551</v>
      </c>
      <c r="C103" s="637"/>
      <c r="D103" s="637"/>
      <c r="E103" s="637"/>
      <c r="F103" s="637"/>
      <c r="G103" s="621">
        <v>2018</v>
      </c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23"/>
      <c r="S103" s="96" t="str">
        <f>+S7</f>
        <v>BDP</v>
      </c>
      <c r="T103" s="97">
        <f>+T7</f>
        <v>4663130000</v>
      </c>
    </row>
    <row r="104" spans="1:21" ht="15.75" customHeight="1">
      <c r="B104" s="638"/>
      <c r="C104" s="639"/>
      <c r="D104" s="639"/>
      <c r="E104" s="639"/>
      <c r="F104" s="640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1" t="s">
        <v>806</v>
      </c>
      <c r="T104" s="623">
        <f>+T8</f>
        <v>0</v>
      </c>
    </row>
    <row r="105" spans="1:21" ht="13.5" thickBot="1">
      <c r="B105" s="641"/>
      <c r="C105" s="642"/>
      <c r="D105" s="642"/>
      <c r="E105" s="642"/>
      <c r="F105" s="643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6" t="s">
        <v>680</v>
      </c>
      <c r="C106" s="667"/>
      <c r="D106" s="667"/>
      <c r="E106" s="667"/>
      <c r="F106" s="667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2" t="s">
        <v>21</v>
      </c>
      <c r="C107" s="633"/>
      <c r="D107" s="633"/>
      <c r="E107" s="633"/>
      <c r="F107" s="633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4" t="s">
        <v>23</v>
      </c>
      <c r="C108" s="635"/>
      <c r="D108" s="635"/>
      <c r="E108" s="635"/>
      <c r="F108" s="635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4" t="s">
        <v>25</v>
      </c>
      <c r="C109" s="635"/>
      <c r="D109" s="635"/>
      <c r="E109" s="635"/>
      <c r="F109" s="635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4" t="s">
        <v>27</v>
      </c>
      <c r="C110" s="635"/>
      <c r="D110" s="635"/>
      <c r="E110" s="635"/>
      <c r="F110" s="635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4" t="s">
        <v>29</v>
      </c>
      <c r="C111" s="635"/>
      <c r="D111" s="635"/>
      <c r="E111" s="635"/>
      <c r="F111" s="635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4" t="s">
        <v>31</v>
      </c>
      <c r="C112" s="635"/>
      <c r="D112" s="635"/>
      <c r="E112" s="635"/>
      <c r="F112" s="635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4" t="s">
        <v>33</v>
      </c>
      <c r="C113" s="635"/>
      <c r="D113" s="635"/>
      <c r="E113" s="635"/>
      <c r="F113" s="635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4" t="s">
        <v>721</v>
      </c>
      <c r="C114" s="635"/>
      <c r="D114" s="635"/>
      <c r="E114" s="635"/>
      <c r="F114" s="635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4" t="s">
        <v>37</v>
      </c>
      <c r="C115" s="665"/>
      <c r="D115" s="665"/>
      <c r="E115" s="665"/>
      <c r="F115" s="665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4" t="s">
        <v>39</v>
      </c>
      <c r="C116" s="635"/>
      <c r="D116" s="635"/>
      <c r="E116" s="635"/>
      <c r="F116" s="635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4" t="s">
        <v>41</v>
      </c>
      <c r="C117" s="635"/>
      <c r="D117" s="635"/>
      <c r="E117" s="635"/>
      <c r="F117" s="635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4" t="s">
        <v>43</v>
      </c>
      <c r="C118" s="635"/>
      <c r="D118" s="635"/>
      <c r="E118" s="635"/>
      <c r="F118" s="635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4" t="s">
        <v>45</v>
      </c>
      <c r="C119" s="635"/>
      <c r="D119" s="635"/>
      <c r="E119" s="635"/>
      <c r="F119" s="635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4" t="s">
        <v>47</v>
      </c>
      <c r="C120" s="645"/>
      <c r="D120" s="645"/>
      <c r="E120" s="645"/>
      <c r="F120" s="645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4" t="s">
        <v>61</v>
      </c>
      <c r="C121" s="645"/>
      <c r="D121" s="645"/>
      <c r="E121" s="645"/>
      <c r="F121" s="645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4" t="s">
        <v>81</v>
      </c>
      <c r="C122" s="645"/>
      <c r="D122" s="645"/>
      <c r="E122" s="645"/>
      <c r="F122" s="645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4" t="s">
        <v>99</v>
      </c>
      <c r="C123" s="645"/>
      <c r="D123" s="645"/>
      <c r="E123" s="645"/>
      <c r="F123" s="645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6" t="s">
        <v>105</v>
      </c>
      <c r="C124" s="647"/>
      <c r="D124" s="647"/>
      <c r="E124" s="647"/>
      <c r="F124" s="647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30" t="s">
        <v>808</v>
      </c>
      <c r="C125" s="631"/>
      <c r="D125" s="631"/>
      <c r="E125" s="631"/>
      <c r="F125" s="631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2" t="s">
        <v>773</v>
      </c>
      <c r="C126" s="673"/>
      <c r="D126" s="673"/>
      <c r="E126" s="673"/>
      <c r="F126" s="673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8" t="s">
        <v>120</v>
      </c>
      <c r="C127" s="649"/>
      <c r="D127" s="649"/>
      <c r="E127" s="649"/>
      <c r="F127" s="649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4" t="s">
        <v>122</v>
      </c>
      <c r="C128" s="635"/>
      <c r="D128" s="635"/>
      <c r="E128" s="635"/>
      <c r="F128" s="635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4" t="s">
        <v>133</v>
      </c>
      <c r="C129" s="635"/>
      <c r="D129" s="635"/>
      <c r="E129" s="635"/>
      <c r="F129" s="635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4" t="s">
        <v>148</v>
      </c>
      <c r="C130" s="635"/>
      <c r="D130" s="635"/>
      <c r="E130" s="635"/>
      <c r="F130" s="635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4" t="s">
        <v>162</v>
      </c>
      <c r="C131" s="635"/>
      <c r="D131" s="635"/>
      <c r="E131" s="635"/>
      <c r="F131" s="635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4" t="s">
        <v>182</v>
      </c>
      <c r="C132" s="635"/>
      <c r="D132" s="635"/>
      <c r="E132" s="635"/>
      <c r="F132" s="635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4" t="s">
        <v>190</v>
      </c>
      <c r="C133" s="635"/>
      <c r="D133" s="635"/>
      <c r="E133" s="635"/>
      <c r="F133" s="635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4" t="s">
        <v>196</v>
      </c>
      <c r="C134" s="635"/>
      <c r="D134" s="635"/>
      <c r="E134" s="635"/>
      <c r="F134" s="635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4" t="s">
        <v>204</v>
      </c>
      <c r="C135" s="635"/>
      <c r="D135" s="635"/>
      <c r="E135" s="635"/>
      <c r="F135" s="635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4" t="s">
        <v>212</v>
      </c>
      <c r="C136" s="635"/>
      <c r="D136" s="635"/>
      <c r="E136" s="635"/>
      <c r="F136" s="635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4" t="s">
        <v>802</v>
      </c>
      <c r="C137" s="635"/>
      <c r="D137" s="635"/>
      <c r="E137" s="635"/>
      <c r="F137" s="635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4" t="s">
        <v>230</v>
      </c>
      <c r="C138" s="655"/>
      <c r="D138" s="655"/>
      <c r="E138" s="655"/>
      <c r="F138" s="655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4" t="s">
        <v>232</v>
      </c>
      <c r="C139" s="635"/>
      <c r="D139" s="635"/>
      <c r="E139" s="635"/>
      <c r="F139" s="635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4" t="s">
        <v>248</v>
      </c>
      <c r="C140" s="635"/>
      <c r="D140" s="635"/>
      <c r="E140" s="635"/>
      <c r="F140" s="635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4" t="s">
        <v>259</v>
      </c>
      <c r="C141" s="635"/>
      <c r="D141" s="635"/>
      <c r="E141" s="635"/>
      <c r="F141" s="635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4" t="s">
        <v>274</v>
      </c>
      <c r="C142" s="635"/>
      <c r="D142" s="635"/>
      <c r="E142" s="635"/>
      <c r="F142" s="635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4" t="s">
        <v>278</v>
      </c>
      <c r="C143" s="635"/>
      <c r="D143" s="635"/>
      <c r="E143" s="635"/>
      <c r="F143" s="635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50" t="s">
        <v>286</v>
      </c>
      <c r="C144" s="651"/>
      <c r="D144" s="651"/>
      <c r="E144" s="651"/>
      <c r="F144" s="651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50" t="s">
        <v>809</v>
      </c>
      <c r="C145" s="651"/>
      <c r="D145" s="651"/>
      <c r="E145" s="651"/>
      <c r="F145" s="651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2" t="s">
        <v>113</v>
      </c>
      <c r="C146" s="653"/>
      <c r="D146" s="653"/>
      <c r="E146" s="653"/>
      <c r="F146" s="653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2" t="s">
        <v>366</v>
      </c>
      <c r="C147" s="653"/>
      <c r="D147" s="653"/>
      <c r="E147" s="653"/>
      <c r="F147" s="653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2" t="s">
        <v>359</v>
      </c>
      <c r="C148" s="653"/>
      <c r="D148" s="653"/>
      <c r="E148" s="653"/>
      <c r="F148" s="653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60" t="s">
        <v>545</v>
      </c>
      <c r="C150" s="661"/>
      <c r="D150" s="661"/>
      <c r="E150" s="661"/>
      <c r="F150" s="661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2" t="s">
        <v>810</v>
      </c>
      <c r="C151" s="663"/>
      <c r="D151" s="663"/>
      <c r="E151" s="663"/>
      <c r="F151" s="663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4" t="s">
        <v>352</v>
      </c>
      <c r="C152" s="655"/>
      <c r="D152" s="655"/>
      <c r="E152" s="655"/>
      <c r="F152" s="655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8" t="s">
        <v>355</v>
      </c>
      <c r="C153" s="659"/>
      <c r="D153" s="659"/>
      <c r="E153" s="659"/>
      <c r="F153" s="659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2" t="s">
        <v>357</v>
      </c>
      <c r="C154" s="653"/>
      <c r="D154" s="653"/>
      <c r="E154" s="653"/>
      <c r="F154" s="653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2" t="s">
        <v>365</v>
      </c>
      <c r="C155" s="653"/>
      <c r="D155" s="653"/>
      <c r="E155" s="653"/>
      <c r="F155" s="653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6" t="s">
        <v>543</v>
      </c>
      <c r="C157" s="657"/>
      <c r="D157" s="657"/>
      <c r="E157" s="657"/>
      <c r="F157" s="657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30" t="s">
        <v>544</v>
      </c>
      <c r="C158" s="631"/>
      <c r="D158" s="631"/>
      <c r="E158" s="631"/>
      <c r="F158" s="631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8" t="s">
        <v>114</v>
      </c>
      <c r="C159" s="659"/>
      <c r="D159" s="659"/>
      <c r="E159" s="659"/>
      <c r="F159" s="659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2" t="s">
        <v>116</v>
      </c>
      <c r="C160" s="653"/>
      <c r="D160" s="653"/>
      <c r="E160" s="653"/>
      <c r="F160" s="653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2" t="s">
        <v>93</v>
      </c>
      <c r="C161" s="653"/>
      <c r="D161" s="653"/>
      <c r="E161" s="653"/>
      <c r="F161" s="653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1" t="s">
        <v>554</v>
      </c>
      <c r="F6" s="678">
        <v>2006</v>
      </c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80"/>
      <c r="R6" s="678">
        <v>2007</v>
      </c>
      <c r="S6" s="679"/>
      <c r="T6" s="679"/>
      <c r="U6" s="679"/>
      <c r="V6" s="679"/>
      <c r="W6" s="679"/>
      <c r="X6" s="679"/>
      <c r="Y6" s="679"/>
      <c r="Z6" s="679"/>
      <c r="AA6" s="679"/>
      <c r="AB6" s="679"/>
      <c r="AC6" s="680"/>
      <c r="AD6" s="678">
        <v>2008</v>
      </c>
      <c r="AE6" s="679"/>
      <c r="AF6" s="679"/>
      <c r="AG6" s="679"/>
      <c r="AH6" s="679"/>
      <c r="AI6" s="679"/>
      <c r="AJ6" s="679"/>
      <c r="AK6" s="679"/>
      <c r="AL6" s="679"/>
      <c r="AM6" s="679"/>
      <c r="AN6" s="679"/>
      <c r="AO6" s="680"/>
      <c r="AP6" s="678">
        <v>2009</v>
      </c>
      <c r="AQ6" s="679"/>
      <c r="AR6" s="679"/>
      <c r="AS6" s="679"/>
      <c r="AT6" s="679"/>
      <c r="AU6" s="679"/>
      <c r="AV6" s="679"/>
      <c r="AW6" s="679"/>
      <c r="AX6" s="679"/>
      <c r="AY6" s="679"/>
      <c r="AZ6" s="679"/>
      <c r="BA6" s="680"/>
      <c r="BB6" s="678">
        <v>2010</v>
      </c>
      <c r="BC6" s="679"/>
      <c r="BD6" s="679"/>
      <c r="BE6" s="679"/>
      <c r="BF6" s="679"/>
      <c r="BG6" s="679"/>
      <c r="BH6" s="679"/>
      <c r="BI6" s="679"/>
      <c r="BJ6" s="679"/>
      <c r="BK6" s="679"/>
      <c r="BL6" s="679"/>
      <c r="BM6" s="680"/>
      <c r="BN6" s="678">
        <v>2011</v>
      </c>
      <c r="BO6" s="679"/>
      <c r="BP6" s="679"/>
      <c r="BQ6" s="679"/>
      <c r="BR6" s="679"/>
      <c r="BS6" s="679"/>
      <c r="BT6" s="679"/>
      <c r="BU6" s="679"/>
      <c r="BV6" s="679"/>
      <c r="BW6" s="679"/>
      <c r="BX6" s="679"/>
      <c r="BY6" s="680"/>
      <c r="BZ6" s="679">
        <v>2012</v>
      </c>
      <c r="CA6" s="679"/>
      <c r="CB6" s="679"/>
      <c r="CC6" s="679"/>
      <c r="CD6" s="679"/>
      <c r="CE6" s="679"/>
      <c r="CF6" s="679"/>
      <c r="CG6" s="679"/>
      <c r="CH6" s="679"/>
      <c r="CI6" s="679"/>
      <c r="CJ6" s="679"/>
      <c r="CK6" s="679"/>
      <c r="CL6" s="678">
        <v>2013</v>
      </c>
      <c r="CM6" s="679"/>
      <c r="CN6" s="679"/>
      <c r="CO6" s="679"/>
      <c r="CP6" s="679"/>
      <c r="CQ6" s="679"/>
      <c r="CR6" s="679"/>
      <c r="CS6" s="679"/>
      <c r="CT6" s="679"/>
      <c r="CU6" s="679"/>
      <c r="CV6" s="679"/>
      <c r="CW6" s="680"/>
      <c r="CX6" s="678">
        <v>2014</v>
      </c>
      <c r="CY6" s="679"/>
      <c r="CZ6" s="679"/>
      <c r="DA6" s="679"/>
      <c r="DB6" s="679"/>
      <c r="DC6" s="679"/>
      <c r="DD6" s="679"/>
      <c r="DE6" s="679"/>
      <c r="DF6" s="679"/>
      <c r="DG6" s="679"/>
      <c r="DH6" s="679"/>
      <c r="DI6" s="680"/>
      <c r="DJ6" s="678">
        <v>2015</v>
      </c>
      <c r="DK6" s="679"/>
      <c r="DL6" s="679"/>
      <c r="DM6" s="679"/>
      <c r="DN6" s="679"/>
      <c r="DO6" s="679"/>
      <c r="DP6" s="679"/>
      <c r="DQ6" s="679"/>
      <c r="DR6" s="679"/>
      <c r="DS6" s="679"/>
      <c r="DT6" s="679"/>
      <c r="DU6" s="680"/>
    </row>
    <row r="7" spans="1:321">
      <c r="E7" s="681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1" t="s">
        <v>675</v>
      </c>
      <c r="F214" s="678">
        <v>2006</v>
      </c>
      <c r="G214" s="679"/>
      <c r="H214" s="679"/>
      <c r="I214" s="679"/>
      <c r="J214" s="679"/>
      <c r="K214" s="679"/>
      <c r="L214" s="679"/>
      <c r="M214" s="679"/>
      <c r="N214" s="679"/>
      <c r="O214" s="679"/>
      <c r="P214" s="679"/>
      <c r="Q214" s="680"/>
      <c r="R214" s="678">
        <v>2007</v>
      </c>
      <c r="S214" s="679"/>
      <c r="T214" s="679"/>
      <c r="U214" s="679"/>
      <c r="V214" s="679"/>
      <c r="W214" s="679"/>
      <c r="X214" s="679"/>
      <c r="Y214" s="679"/>
      <c r="Z214" s="679"/>
      <c r="AA214" s="679"/>
      <c r="AB214" s="679"/>
      <c r="AC214" s="680"/>
      <c r="AD214" s="678">
        <v>2008</v>
      </c>
      <c r="AE214" s="679"/>
      <c r="AF214" s="679"/>
      <c r="AG214" s="679"/>
      <c r="AH214" s="679"/>
      <c r="AI214" s="679"/>
      <c r="AJ214" s="679"/>
      <c r="AK214" s="679"/>
      <c r="AL214" s="679"/>
      <c r="AM214" s="679"/>
      <c r="AN214" s="679"/>
      <c r="AO214" s="680"/>
      <c r="AP214" s="678">
        <v>2009</v>
      </c>
      <c r="AQ214" s="679"/>
      <c r="AR214" s="679"/>
      <c r="AS214" s="679"/>
      <c r="AT214" s="679"/>
      <c r="AU214" s="679"/>
      <c r="AV214" s="679"/>
      <c r="AW214" s="679"/>
      <c r="AX214" s="679"/>
      <c r="AY214" s="679"/>
      <c r="AZ214" s="679"/>
      <c r="BA214" s="680"/>
      <c r="BB214" s="678">
        <v>2010</v>
      </c>
      <c r="BC214" s="679"/>
      <c r="BD214" s="679"/>
      <c r="BE214" s="679"/>
      <c r="BF214" s="679"/>
      <c r="BG214" s="679"/>
      <c r="BH214" s="679"/>
      <c r="BI214" s="679"/>
      <c r="BJ214" s="679"/>
      <c r="BK214" s="679"/>
      <c r="BL214" s="679"/>
      <c r="BM214" s="680"/>
      <c r="BN214" s="678">
        <v>2011</v>
      </c>
      <c r="BO214" s="679"/>
      <c r="BP214" s="679"/>
      <c r="BQ214" s="679"/>
      <c r="BR214" s="679"/>
      <c r="BS214" s="679"/>
      <c r="BT214" s="679"/>
      <c r="BU214" s="679"/>
      <c r="BV214" s="679"/>
      <c r="BW214" s="679"/>
      <c r="BX214" s="679"/>
      <c r="BY214" s="680"/>
      <c r="BZ214" s="679">
        <v>2012</v>
      </c>
      <c r="CA214" s="679"/>
      <c r="CB214" s="679"/>
      <c r="CC214" s="679"/>
      <c r="CD214" s="679"/>
      <c r="CE214" s="679"/>
      <c r="CF214" s="679"/>
      <c r="CG214" s="679"/>
      <c r="CH214" s="679"/>
      <c r="CI214" s="679"/>
      <c r="CJ214" s="679"/>
      <c r="CK214" s="679"/>
      <c r="CL214" s="678">
        <v>2013</v>
      </c>
      <c r="CM214" s="679"/>
      <c r="CN214" s="679"/>
      <c r="CO214" s="679"/>
      <c r="CP214" s="679"/>
      <c r="CQ214" s="679"/>
      <c r="CR214" s="679"/>
      <c r="CS214" s="679"/>
      <c r="CT214" s="679"/>
      <c r="CU214" s="679"/>
      <c r="CV214" s="679"/>
      <c r="CW214" s="680"/>
      <c r="CX214" s="678">
        <v>2014</v>
      </c>
      <c r="CY214" s="679"/>
      <c r="CZ214" s="679"/>
      <c r="DA214" s="679"/>
      <c r="DB214" s="679"/>
      <c r="DC214" s="679"/>
      <c r="DD214" s="679"/>
      <c r="DE214" s="679"/>
      <c r="DF214" s="679"/>
      <c r="DG214" s="679"/>
      <c r="DH214" s="679"/>
      <c r="DI214" s="680"/>
      <c r="DJ214" s="678">
        <v>2015</v>
      </c>
      <c r="DK214" s="679"/>
      <c r="DL214" s="679"/>
      <c r="DM214" s="679"/>
      <c r="DN214" s="679"/>
      <c r="DO214" s="679"/>
      <c r="DP214" s="679"/>
      <c r="DQ214" s="679"/>
      <c r="DR214" s="679"/>
      <c r="DS214" s="679"/>
      <c r="DT214" s="679"/>
      <c r="DU214" s="680"/>
    </row>
    <row r="215" spans="1:187">
      <c r="E215" s="681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C22" sqref="C22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Novembar</v>
      </c>
    </row>
    <row r="246" spans="4:7">
      <c r="D246" s="41"/>
      <c r="G246" s="44" t="str">
        <f>+CONCATENATE("Jan - ",LEFT(G245,3))</f>
        <v>Jan - Nov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Nov</v>
      </c>
      <c r="F254" s="6" t="str">
        <f>+CONCATENATE("Analytics for period ",G246)</f>
        <v>Analytics for period Jan - Nov</v>
      </c>
      <c r="G254" s="44" t="str">
        <f>+IF(ISBLANK(IF($B$2=1,E254,F254)),"",IF($B$2=1,E254,F254))</f>
        <v>Analitika za period Jan - Nov</v>
      </c>
    </row>
    <row r="255" spans="4:7">
      <c r="E255" s="5" t="str">
        <f>+CONCATENATE("Analitika za period ",G245)</f>
        <v>Analitika za period Novembar</v>
      </c>
      <c r="F255" s="6" t="str">
        <f>+CONCATENATE("Analytics for period ",G245)</f>
        <v>Analytics for period Novembar</v>
      </c>
      <c r="G255" s="44" t="str">
        <f>+IF(ISBLANK(IF($B$2=1,E255,F255)),"",IF($B$2=1,E255,F255))</f>
        <v>Analitika za period Novembar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Novembar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Novembar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Novembar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Novembar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Novembar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Novembar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E6" sqref="E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Novembar</v>
      </c>
      <c r="G11" s="122" t="str">
        <f>+Master!G274</f>
        <v>Prihodi za period Januar - Novembar</v>
      </c>
      <c r="J11" s="121"/>
    </row>
    <row r="12" spans="3:10">
      <c r="C12" s="120"/>
      <c r="D12" s="123">
        <f>+'Analitika 2025'!N10</f>
        <v>196123650.28</v>
      </c>
      <c r="E12" s="427">
        <f>+D12/'2025'!T7</f>
        <v>2.4139186712124755E-2</v>
      </c>
      <c r="G12" s="123">
        <f>+'Analitika 2025'!G10</f>
        <v>2543328562.9900002</v>
      </c>
      <c r="H12" s="427">
        <f>+G12/'2025'!T7</f>
        <v>0.31303661218137291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Novembar</v>
      </c>
      <c r="G15" s="122" t="str">
        <f>+Master!G275</f>
        <v>Rashodi za period Januar - Novembar</v>
      </c>
      <c r="J15" s="121"/>
    </row>
    <row r="16" spans="3:10">
      <c r="C16" s="120"/>
      <c r="D16" s="123">
        <f>+'Analitika 2025'!N29</f>
        <v>255473001.87000003</v>
      </c>
      <c r="E16" s="427">
        <f>+D16/'2025'!T7</f>
        <v>3.1443992008320314E-2</v>
      </c>
      <c r="G16" s="123">
        <f>+'Analitika 2025'!G29</f>
        <v>2721484497.6599998</v>
      </c>
      <c r="H16" s="427">
        <f>+G16/'2025'!T7</f>
        <v>0.33496430608637856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Novembar</v>
      </c>
      <c r="G19" s="122" t="str">
        <f>+Master!G276</f>
        <v>Suficit/Deficit za period Januar - Novembar</v>
      </c>
      <c r="J19" s="121"/>
    </row>
    <row r="20" spans="3:11">
      <c r="C20" s="120"/>
      <c r="D20" s="123">
        <f>+'Analitika 2025'!N53</f>
        <v>-59349351.590000033</v>
      </c>
      <c r="E20" s="427">
        <f>+D20/'2025'!T7</f>
        <v>-7.3048052961955561E-3</v>
      </c>
      <c r="G20" s="123">
        <f>+'Analitika 2025'!G53</f>
        <v>-178155934.67000031</v>
      </c>
      <c r="H20" s="427">
        <f>+G20/'2025'!T7</f>
        <v>-2.1927693905005763E-2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xbGgy5els7EONpkzansKLpYyIhP4aEMAKMPo/IrwLQomJ9vQ/qj1V2lJ98IHwoeqhxUDPxDSDgj1GnIWfU8nTg==" saltValue="0gFmtwJyEFai/k8lZTarn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E6" sqref="E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2025-11</v>
      </c>
      <c r="O6" s="128" t="str">
        <f>+CONCATENATE(N6,"p")</f>
        <v>2025-11p</v>
      </c>
      <c r="P6" s="116"/>
      <c r="Q6" s="116"/>
      <c r="R6" s="128" t="str">
        <f>+IF(Master!B3-10&gt;=0,CONCATENATE(Master!B4-1,"-",Master!B3),CONCATENATE(Master!B4-1,"-0",Master!B3))</f>
        <v>2024-11</v>
      </c>
      <c r="S6" s="116"/>
      <c r="T6" s="116"/>
    </row>
    <row r="7" spans="1:25" ht="14.25" customHeight="1">
      <c r="A7" s="129"/>
      <c r="B7" s="567" t="str">
        <f>+Master!G254</f>
        <v>Analitika za period Jan - Nov</v>
      </c>
      <c r="C7" s="568"/>
      <c r="D7" s="568"/>
      <c r="E7" s="568"/>
      <c r="F7" s="568"/>
      <c r="G7" s="576" t="str">
        <f>+Master!G246</f>
        <v>Jan - Nov</v>
      </c>
      <c r="H7" s="577"/>
      <c r="I7" s="577"/>
      <c r="J7" s="577"/>
      <c r="K7" s="577"/>
      <c r="L7" s="577"/>
      <c r="M7" s="580"/>
      <c r="N7" s="577" t="str">
        <f>+Master!G245</f>
        <v>Novembar</v>
      </c>
      <c r="O7" s="577"/>
      <c r="P7" s="577"/>
      <c r="Q7" s="577"/>
      <c r="R7" s="577"/>
      <c r="S7" s="577"/>
      <c r="T7" s="580"/>
    </row>
    <row r="8" spans="1:25" ht="29.25" customHeight="1">
      <c r="A8" s="129"/>
      <c r="B8" s="569"/>
      <c r="C8" s="570"/>
      <c r="D8" s="570"/>
      <c r="E8" s="570"/>
      <c r="F8" s="571"/>
      <c r="G8" s="487" t="str">
        <f>+Master!G26</f>
        <v>Ostvarenje</v>
      </c>
      <c r="H8" s="330" t="str">
        <f>+Master!G25</f>
        <v>Plan</v>
      </c>
      <c r="I8" s="563" t="str">
        <f>+Master!G261</f>
        <v>Odstupanje</v>
      </c>
      <c r="J8" s="563"/>
      <c r="K8" s="130" t="str">
        <f>+CONCATENATE(Master!G246," ",Master!B4-1)</f>
        <v>Jan - Nov 2024</v>
      </c>
      <c r="L8" s="563" t="str">
        <f>+I8</f>
        <v>Odstupanje</v>
      </c>
      <c r="M8" s="564"/>
      <c r="N8" s="487" t="str">
        <f>+G8</f>
        <v>Ostvarenje</v>
      </c>
      <c r="O8" s="130" t="str">
        <f>+H8</f>
        <v>Plan</v>
      </c>
      <c r="P8" s="563" t="str">
        <f>+I8</f>
        <v>Odstupanje</v>
      </c>
      <c r="Q8" s="563"/>
      <c r="R8" s="130" t="str">
        <f>+CONCATENATE(Master!G245," ",Master!B4-1)</f>
        <v>Novembar 2024</v>
      </c>
      <c r="S8" s="563" t="str">
        <f>+P8</f>
        <v>Odstupanje</v>
      </c>
      <c r="T8" s="564"/>
    </row>
    <row r="9" spans="1:25" ht="15.75" thickBot="1">
      <c r="A9" s="129"/>
      <c r="B9" s="572"/>
      <c r="C9" s="573"/>
      <c r="D9" s="573"/>
      <c r="E9" s="573"/>
      <c r="F9" s="574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'2025'!S10</f>
        <v>2543328562.9900002</v>
      </c>
      <c r="H10" s="136">
        <f>SUM('2025'!G86:Q86)</f>
        <v>2623002752.4942756</v>
      </c>
      <c r="I10" s="137">
        <f>+G10-H10</f>
        <v>-79674189.504275322</v>
      </c>
      <c r="J10" s="139">
        <f>IF(+IF(ISERROR(G10/H10),"…",G10/H10-1)&gt;200%,"...",IF(ISERROR(G10/H10),"…",G10/H10-1))</f>
        <v>-3.0375183338451017E-2</v>
      </c>
      <c r="K10" s="136">
        <f>SUM('2024'!G10:Q10)</f>
        <v>2497651963.46</v>
      </c>
      <c r="L10" s="137">
        <f>+G10-K10</f>
        <v>45676599.53000021</v>
      </c>
      <c r="M10" s="141">
        <f>IF(+IF(ISERROR(G10/K10),"…",G10/K10-1)&gt;200%,"...",IF(ISERROR(G10/K10),"…",G10/K10-1))</f>
        <v>1.8287815996078427E-2</v>
      </c>
      <c r="N10" s="136">
        <f>'2025'!Q10</f>
        <v>196123650.28</v>
      </c>
      <c r="O10" s="136">
        <f>'2025'!Q86</f>
        <v>240706635.16073</v>
      </c>
      <c r="P10" s="137">
        <f>+N10-O10</f>
        <v>-44582984.880730003</v>
      </c>
      <c r="Q10" s="139">
        <f>IF(+IF(ISERROR(N10/O10),"…",N10/O10-1)&gt;200%,"...",IF(ISERROR(N10/O10),"…",N10/O10-1))</f>
        <v>-0.18521709985667845</v>
      </c>
      <c r="R10" s="136">
        <f>'2024'!Q10</f>
        <v>178969307.88</v>
      </c>
      <c r="S10" s="137">
        <f>+N10-R10</f>
        <v>17154342.400000006</v>
      </c>
      <c r="T10" s="141">
        <f>IF(+IF(ISERROR(N10/R10),"…",N10/R10-1)&gt;200%,"...",IF(ISERROR(N10/R10),"…",N10/R10-1))</f>
        <v>9.5850750071079682E-2</v>
      </c>
      <c r="U10" s="560"/>
      <c r="W10" s="470"/>
      <c r="Y10" s="470"/>
    </row>
    <row r="11" spans="1:25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262">
        <f>'2025'!S11</f>
        <v>2042079026.8900003</v>
      </c>
      <c r="H11" s="262">
        <f>SUM('2025'!G87:Q87)</f>
        <v>2004951334.0023608</v>
      </c>
      <c r="I11" s="143">
        <f t="shared" ref="I11:I57" si="0">+G11-H11</f>
        <v>37127692.887639523</v>
      </c>
      <c r="J11" s="145">
        <f t="shared" ref="J11:J66" si="1">IF(+IF(ISERROR(G11/H11-1),"…",G11/H11-1)&gt;200%,"...",IF(ISERROR(G11/H11-1),"…",G11/H11-1))</f>
        <v>1.8518002037248404E-2</v>
      </c>
      <c r="K11" s="262">
        <f>SUM('2024'!G11:Q11)</f>
        <v>1799961610.1299999</v>
      </c>
      <c r="L11" s="143">
        <f>+G11-K11</f>
        <v>242117416.76000047</v>
      </c>
      <c r="M11" s="147">
        <f t="shared" ref="M11:M66" si="2">IF(+IF(ISERROR(G11/K11),"…",G11/K11-1)&gt;200%,"...",IF(ISERROR(G11/K11),"…",G11/K11-1))</f>
        <v>0.13451254482172748</v>
      </c>
      <c r="N11" s="262">
        <f>'2025'!Q11</f>
        <v>154846007.13</v>
      </c>
      <c r="O11" s="262">
        <f>'2025'!Q87</f>
        <v>164727688.03347</v>
      </c>
      <c r="P11" s="143">
        <f>+N11-O11</f>
        <v>-9881680.9034700096</v>
      </c>
      <c r="Q11" s="145">
        <f t="shared" ref="Q11:Q66" si="3">IF(+IF(ISERROR(N11/O11),"…",N11/O11-1)&gt;200%,"...",IF(ISERROR(N11/O11),"…",N11/O11-1))</f>
        <v>-5.9987977864791042E-2</v>
      </c>
      <c r="R11" s="262">
        <f>'2024'!Q11</f>
        <v>130980738.95999999</v>
      </c>
      <c r="S11" s="143">
        <f t="shared" ref="S11:S57" si="4">+N11-R11</f>
        <v>23865268.170000002</v>
      </c>
      <c r="T11" s="147">
        <f t="shared" ref="T11:T66" si="5">IF(+IF(ISERROR(N11/R11),"…",N11/R11-1)&gt;200%,"...",IF(ISERROR(N11/R11),"…",N11/R11-1))</f>
        <v>0.18220440928561388</v>
      </c>
      <c r="W11" s="470"/>
      <c r="Y11" s="470"/>
    </row>
    <row r="12" spans="1:25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f>'2025'!S12</f>
        <v>94512152.719999999</v>
      </c>
      <c r="H12" s="148">
        <f>SUM('2025'!G88:Q88)</f>
        <v>93653383.606558472</v>
      </c>
      <c r="I12" s="149">
        <f t="shared" si="0"/>
        <v>858769.11344152689</v>
      </c>
      <c r="J12" s="151">
        <f t="shared" si="1"/>
        <v>9.1696538915160275E-3</v>
      </c>
      <c r="K12" s="148">
        <f>SUM('2024'!G12:Q12)</f>
        <v>75042420.799999982</v>
      </c>
      <c r="L12" s="149">
        <f>+G12-K12</f>
        <v>19469731.920000017</v>
      </c>
      <c r="M12" s="153">
        <f t="shared" si="2"/>
        <v>0.25944967809460673</v>
      </c>
      <c r="N12" s="148">
        <f>'2025'!Q12</f>
        <v>9039647.1199999992</v>
      </c>
      <c r="O12" s="148">
        <f>'2025'!Q88</f>
        <v>9540892.3657547906</v>
      </c>
      <c r="P12" s="149">
        <f t="shared" ref="P12:P57" si="6">+N12-O12</f>
        <v>-501245.24575479142</v>
      </c>
      <c r="Q12" s="151">
        <f t="shared" si="3"/>
        <v>-5.2536516139089384E-2</v>
      </c>
      <c r="R12" s="148">
        <f>'2024'!Q12</f>
        <v>5042014.2899999982</v>
      </c>
      <c r="S12" s="149">
        <f t="shared" si="4"/>
        <v>3997632.830000001</v>
      </c>
      <c r="T12" s="153">
        <f t="shared" si="5"/>
        <v>0.7928642403748527</v>
      </c>
      <c r="W12" s="470"/>
      <c r="Y12" s="470"/>
    </row>
    <row r="13" spans="1:25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f>'2025'!S13</f>
        <v>230229474.87</v>
      </c>
      <c r="H13" s="148">
        <f>SUM('2025'!G89:Q89)</f>
        <v>215294590.48627234</v>
      </c>
      <c r="I13" s="149">
        <f t="shared" si="0"/>
        <v>14934884.38372767</v>
      </c>
      <c r="J13" s="151">
        <f t="shared" si="1"/>
        <v>6.9369529211092518E-2</v>
      </c>
      <c r="K13" s="148">
        <f>SUM('2024'!G13:Q13)</f>
        <v>207402331.92999998</v>
      </c>
      <c r="L13" s="149">
        <f t="shared" ref="L13:L57" si="7">+G13-K13</f>
        <v>22827142.940000027</v>
      </c>
      <c r="M13" s="153">
        <f t="shared" si="2"/>
        <v>0.11006213251114438</v>
      </c>
      <c r="N13" s="148">
        <f>'2025'!Q13</f>
        <v>3525815.43</v>
      </c>
      <c r="O13" s="148">
        <f>'2025'!Q89</f>
        <v>3855532.0109211099</v>
      </c>
      <c r="P13" s="149">
        <f t="shared" si="6"/>
        <v>-329716.58092110977</v>
      </c>
      <c r="Q13" s="151">
        <f t="shared" si="3"/>
        <v>-8.5517791056373138E-2</v>
      </c>
      <c r="R13" s="148">
        <f>'2024'!Q13</f>
        <v>1503515.8099999998</v>
      </c>
      <c r="S13" s="149">
        <f t="shared" si="4"/>
        <v>2022299.6200000003</v>
      </c>
      <c r="T13" s="153">
        <f t="shared" si="5"/>
        <v>1.3450471265746122</v>
      </c>
      <c r="W13" s="470"/>
      <c r="Y13" s="470"/>
    </row>
    <row r="14" spans="1:25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f>'2025'!S14</f>
        <v>0</v>
      </c>
      <c r="H14" s="148">
        <f>SUM('2025'!G90:Q90)</f>
        <v>0</v>
      </c>
      <c r="I14" s="149">
        <f t="shared" si="0"/>
        <v>0</v>
      </c>
      <c r="J14" s="151" t="str">
        <f t="shared" si="1"/>
        <v>...</v>
      </c>
      <c r="K14" s="148">
        <f>SUM('2024'!G14:Q14)</f>
        <v>0</v>
      </c>
      <c r="L14" s="149">
        <f t="shared" si="7"/>
        <v>0</v>
      </c>
      <c r="M14" s="153" t="str">
        <f t="shared" si="2"/>
        <v>...</v>
      </c>
      <c r="N14" s="148">
        <f>'2025'!Q14</f>
        <v>0</v>
      </c>
      <c r="O14" s="148">
        <f>'2025'!Q90</f>
        <v>0</v>
      </c>
      <c r="P14" s="149">
        <f t="shared" si="6"/>
        <v>0</v>
      </c>
      <c r="Q14" s="151" t="str">
        <f t="shared" si="3"/>
        <v>...</v>
      </c>
      <c r="R14" s="148">
        <f>'2024'!Q14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f>'2025'!S15</f>
        <v>1272318508.7200003</v>
      </c>
      <c r="H15" s="148">
        <f>SUM('2025'!G91:Q91)</f>
        <v>1252041935.9335122</v>
      </c>
      <c r="I15" s="149">
        <f t="shared" si="0"/>
        <v>20276572.786488056</v>
      </c>
      <c r="J15" s="151">
        <f t="shared" si="1"/>
        <v>1.6194803228671395E-2</v>
      </c>
      <c r="K15" s="148">
        <f>SUM('2024'!G15:Q15)</f>
        <v>1111019384.1800001</v>
      </c>
      <c r="L15" s="149">
        <f t="shared" si="7"/>
        <v>161299124.5400002</v>
      </c>
      <c r="M15" s="153">
        <f t="shared" si="2"/>
        <v>0.14518119740912416</v>
      </c>
      <c r="N15" s="148">
        <f>'2025'!Q15</f>
        <v>107592791.44</v>
      </c>
      <c r="O15" s="148">
        <f>'2025'!Q91</f>
        <v>115227526.402597</v>
      </c>
      <c r="P15" s="149">
        <f t="shared" si="6"/>
        <v>-7634734.9625969976</v>
      </c>
      <c r="Q15" s="151">
        <f t="shared" si="3"/>
        <v>-6.6257909034007745E-2</v>
      </c>
      <c r="R15" s="148">
        <f>'2024'!Q15</f>
        <v>90529869.279999986</v>
      </c>
      <c r="S15" s="149">
        <f t="shared" si="4"/>
        <v>17062922.160000011</v>
      </c>
      <c r="T15" s="153">
        <f t="shared" si="5"/>
        <v>0.18847836957795749</v>
      </c>
      <c r="W15" s="470"/>
      <c r="Y15" s="470"/>
    </row>
    <row r="16" spans="1:25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f>'2025'!S16</f>
        <v>366702201.70999998</v>
      </c>
      <c r="H16" s="148">
        <f>SUM('2025'!G92:Q92)</f>
        <v>371651764.85000002</v>
      </c>
      <c r="I16" s="149">
        <f t="shared" si="0"/>
        <v>-4949563.1400000453</v>
      </c>
      <c r="J16" s="151">
        <f t="shared" si="1"/>
        <v>-1.331774421143328E-2</v>
      </c>
      <c r="K16" s="148">
        <f>SUM('2024'!G16:Q16)</f>
        <v>337968075.02999985</v>
      </c>
      <c r="L16" s="149">
        <f t="shared" si="7"/>
        <v>28734126.680000126</v>
      </c>
      <c r="M16" s="153">
        <f t="shared" si="2"/>
        <v>8.5020239492885619E-2</v>
      </c>
      <c r="N16" s="148">
        <f>'2025'!Q16</f>
        <v>28400492.25</v>
      </c>
      <c r="O16" s="148">
        <f>'2025'!Q92</f>
        <v>29000000</v>
      </c>
      <c r="P16" s="149">
        <f t="shared" si="6"/>
        <v>-599507.75</v>
      </c>
      <c r="Q16" s="151">
        <f t="shared" si="3"/>
        <v>-2.0672681034482721E-2</v>
      </c>
      <c r="R16" s="148">
        <f>'2024'!Q16</f>
        <v>28020758.820000023</v>
      </c>
      <c r="S16" s="149">
        <f t="shared" si="4"/>
        <v>379733.42999997735</v>
      </c>
      <c r="T16" s="153">
        <f t="shared" si="5"/>
        <v>1.3551861048421765E-2</v>
      </c>
      <c r="W16" s="470"/>
      <c r="Y16" s="470"/>
    </row>
    <row r="17" spans="1:25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f>'2025'!S17</f>
        <v>63418491.580000006</v>
      </c>
      <c r="H17" s="148">
        <f>SUM('2025'!G93:Q93)</f>
        <v>58125706.770446017</v>
      </c>
      <c r="I17" s="149">
        <f t="shared" si="0"/>
        <v>5292784.8095539883</v>
      </c>
      <c r="J17" s="151">
        <f t="shared" si="1"/>
        <v>9.1057556176591836E-2</v>
      </c>
      <c r="K17" s="148">
        <f>SUM('2024'!G17:Q17)</f>
        <v>54816965.43</v>
      </c>
      <c r="L17" s="149">
        <f t="shared" si="7"/>
        <v>8601526.150000006</v>
      </c>
      <c r="M17" s="153">
        <f t="shared" si="2"/>
        <v>0.15691357743952383</v>
      </c>
      <c r="N17" s="148">
        <f>'2025'!Q17</f>
        <v>4834041.2</v>
      </c>
      <c r="O17" s="148">
        <f>'2025'!Q93</f>
        <v>5883786.0595919928</v>
      </c>
      <c r="P17" s="149">
        <f t="shared" si="6"/>
        <v>-1049744.8595919926</v>
      </c>
      <c r="Q17" s="151">
        <f>IF(+IF(ISERROR(N17/O17),"…",N17/O17-1)&gt;200%,"...",IF(ISERROR(N17/O17),"…",N17/O17-1))</f>
        <v>-0.17841315930932855</v>
      </c>
      <c r="R17" s="148">
        <f>'2024'!Q17</f>
        <v>4591287.2700000005</v>
      </c>
      <c r="S17" s="149">
        <f t="shared" si="4"/>
        <v>242753.9299999997</v>
      </c>
      <c r="T17" s="153">
        <f t="shared" si="5"/>
        <v>5.2872738237526917E-2</v>
      </c>
      <c r="W17" s="470"/>
      <c r="Y17" s="470"/>
    </row>
    <row r="18" spans="1:25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f>'2025'!S18</f>
        <v>14898197.289999999</v>
      </c>
      <c r="H18" s="148">
        <f>SUM('2025'!G94:Q94)</f>
        <v>14183952.355571399</v>
      </c>
      <c r="I18" s="149">
        <f t="shared" si="0"/>
        <v>714244.93442860059</v>
      </c>
      <c r="J18" s="151">
        <f t="shared" si="1"/>
        <v>5.0355846982808483E-2</v>
      </c>
      <c r="K18" s="148">
        <f>SUM('2024'!G18:Q18)</f>
        <v>13712432.76</v>
      </c>
      <c r="L18" s="149">
        <f t="shared" si="7"/>
        <v>1185764.5299999993</v>
      </c>
      <c r="M18" s="153">
        <f t="shared" si="2"/>
        <v>8.6473680546237386E-2</v>
      </c>
      <c r="N18" s="148">
        <f>'2025'!Q18</f>
        <v>1453219.69</v>
      </c>
      <c r="O18" s="148">
        <f>'2025'!Q94</f>
        <v>1219951.1946050979</v>
      </c>
      <c r="P18" s="149">
        <f t="shared" si="6"/>
        <v>233268.49539490207</v>
      </c>
      <c r="Q18" s="151">
        <f t="shared" si="3"/>
        <v>0.19121133404882795</v>
      </c>
      <c r="R18" s="148">
        <f>'2024'!Q18</f>
        <v>1293293.4900000002</v>
      </c>
      <c r="S18" s="149">
        <f t="shared" si="4"/>
        <v>159926.19999999972</v>
      </c>
      <c r="T18" s="153">
        <f t="shared" si="5"/>
        <v>0.1236580878482576</v>
      </c>
      <c r="W18" s="470"/>
      <c r="Y18" s="470"/>
    </row>
    <row r="19" spans="1:25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'2025'!S19</f>
        <v>356210941.31</v>
      </c>
      <c r="H19" s="154">
        <f>SUM('2025'!G95:Q95)</f>
        <v>382097978.94095349</v>
      </c>
      <c r="I19" s="155">
        <f t="shared" si="0"/>
        <v>-25887037.630953491</v>
      </c>
      <c r="J19" s="157">
        <f t="shared" si="1"/>
        <v>-6.7749737129475518E-2</v>
      </c>
      <c r="K19" s="154">
        <f>SUM('2024'!G19:Q19)</f>
        <v>522331030.34000027</v>
      </c>
      <c r="L19" s="155">
        <f t="shared" si="7"/>
        <v>-166120089.03000027</v>
      </c>
      <c r="M19" s="159">
        <f t="shared" si="2"/>
        <v>-0.31803603343624431</v>
      </c>
      <c r="N19" s="154">
        <f>'2025'!Q19</f>
        <v>30961281.810000002</v>
      </c>
      <c r="O19" s="154">
        <f>'2025'!Q95</f>
        <v>34831552.405104607</v>
      </c>
      <c r="P19" s="155">
        <f t="shared" si="6"/>
        <v>-3870270.595104605</v>
      </c>
      <c r="Q19" s="157">
        <f t="shared" si="3"/>
        <v>-0.111113927685216</v>
      </c>
      <c r="R19" s="154">
        <f>'2024'!Q19</f>
        <v>37399955.219999999</v>
      </c>
      <c r="S19" s="155">
        <f t="shared" si="4"/>
        <v>-6438673.4099999964</v>
      </c>
      <c r="T19" s="159">
        <f t="shared" si="5"/>
        <v>-0.17215724917651376</v>
      </c>
      <c r="W19" s="470"/>
      <c r="Y19" s="470"/>
    </row>
    <row r="20" spans="1:25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f>'2025'!S20</f>
        <v>299482251.25999999</v>
      </c>
      <c r="H20" s="148">
        <f>SUM('2025'!G96:Q96)</f>
        <v>339025097.17393297</v>
      </c>
      <c r="I20" s="149">
        <f t="shared" si="0"/>
        <v>-39542845.913932979</v>
      </c>
      <c r="J20" s="151">
        <f t="shared" si="1"/>
        <v>-0.11663692819073501</v>
      </c>
      <c r="K20" s="148">
        <f>SUM('2024'!G20:Q20)</f>
        <v>478318270.11000025</v>
      </c>
      <c r="L20" s="149">
        <f t="shared" si="7"/>
        <v>-178836018.85000026</v>
      </c>
      <c r="M20" s="153">
        <f t="shared" si="2"/>
        <v>-0.37388498417355631</v>
      </c>
      <c r="N20" s="148">
        <f>'2025'!Q20</f>
        <v>25906266.57</v>
      </c>
      <c r="O20" s="148">
        <f>'2025'!Q96</f>
        <v>30769763.73510927</v>
      </c>
      <c r="P20" s="149">
        <f t="shared" si="6"/>
        <v>-4863497.1651092693</v>
      </c>
      <c r="Q20" s="151">
        <f t="shared" si="3"/>
        <v>-0.15806092003104544</v>
      </c>
      <c r="R20" s="148">
        <f>'2024'!Q20</f>
        <v>33816105.539999999</v>
      </c>
      <c r="S20" s="149">
        <f t="shared" si="4"/>
        <v>-7909838.9699999988</v>
      </c>
      <c r="T20" s="153">
        <f t="shared" si="5"/>
        <v>-0.23390744864584423</v>
      </c>
      <c r="W20" s="470"/>
      <c r="Y20" s="470"/>
    </row>
    <row r="21" spans="1:25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f>'2025'!S21</f>
        <v>6193166.4300000006</v>
      </c>
      <c r="H21" s="148">
        <f>SUM('2025'!G97:Q97)</f>
        <v>5399976.1356351878</v>
      </c>
      <c r="I21" s="149">
        <f t="shared" si="0"/>
        <v>793190.29436481278</v>
      </c>
      <c r="J21" s="151">
        <f t="shared" si="1"/>
        <v>0.14688774069397104</v>
      </c>
      <c r="K21" s="148">
        <f>SUM('2024'!G21:Q21)</f>
        <v>4684781.74</v>
      </c>
      <c r="L21" s="149">
        <f t="shared" si="7"/>
        <v>1508384.6900000004</v>
      </c>
      <c r="M21" s="153">
        <f t="shared" si="2"/>
        <v>0.32197544596816163</v>
      </c>
      <c r="N21" s="148">
        <f>'2025'!Q21</f>
        <v>423550.17</v>
      </c>
      <c r="O21" s="148">
        <f>'2025'!Q97</f>
        <v>500023.86869410798</v>
      </c>
      <c r="P21" s="149">
        <f t="shared" si="6"/>
        <v>-76473.698694107996</v>
      </c>
      <c r="Q21" s="151">
        <f t="shared" si="3"/>
        <v>-0.15294009642745909</v>
      </c>
      <c r="R21" s="148">
        <f>'2024'!Q21</f>
        <v>382115.57000000012</v>
      </c>
      <c r="S21" s="149">
        <f t="shared" si="4"/>
        <v>41434.59999999986</v>
      </c>
      <c r="T21" s="153">
        <f t="shared" si="5"/>
        <v>0.10843473350222244</v>
      </c>
      <c r="W21" s="470"/>
      <c r="Y21" s="470"/>
    </row>
    <row r="22" spans="1:25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f>'2025'!S22</f>
        <v>29537925.59</v>
      </c>
      <c r="H22" s="148">
        <f>SUM('2025'!G98:Q98)</f>
        <v>21272261.628202587</v>
      </c>
      <c r="I22" s="149">
        <f t="shared" si="0"/>
        <v>8265663.9617974125</v>
      </c>
      <c r="J22" s="151">
        <f t="shared" si="1"/>
        <v>0.38856535831802974</v>
      </c>
      <c r="K22" s="148">
        <f>SUM('2024'!G22:Q22)</f>
        <v>22747320.719999999</v>
      </c>
      <c r="L22" s="149">
        <f t="shared" si="7"/>
        <v>6790604.870000001</v>
      </c>
      <c r="M22" s="153">
        <f t="shared" si="2"/>
        <v>0.29852328340495671</v>
      </c>
      <c r="N22" s="148">
        <f>'2025'!Q22</f>
        <v>2699467.23</v>
      </c>
      <c r="O22" s="148">
        <f>'2025'!Q98</f>
        <v>2098566.5890894895</v>
      </c>
      <c r="P22" s="149">
        <f t="shared" si="6"/>
        <v>600900.64091051044</v>
      </c>
      <c r="Q22" s="151">
        <f t="shared" si="3"/>
        <v>0.28633861038034758</v>
      </c>
      <c r="R22" s="148">
        <f>'2024'!Q22</f>
        <v>1848685.1399999997</v>
      </c>
      <c r="S22" s="149">
        <f t="shared" si="4"/>
        <v>850782.09000000032</v>
      </c>
      <c r="T22" s="153">
        <f t="shared" si="5"/>
        <v>0.46020929772822239</v>
      </c>
      <c r="W22" s="470"/>
      <c r="Y22" s="470"/>
    </row>
    <row r="23" spans="1:25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f>'2025'!S23</f>
        <v>20997598.030000001</v>
      </c>
      <c r="H23" s="148">
        <f>SUM('2025'!G99:Q99)</f>
        <v>16400644.003182782</v>
      </c>
      <c r="I23" s="149">
        <f t="shared" si="0"/>
        <v>4596954.0268172193</v>
      </c>
      <c r="J23" s="151">
        <f t="shared" si="1"/>
        <v>0.28029106819982896</v>
      </c>
      <c r="K23" s="148">
        <f>SUM('2024'!G23:Q23)</f>
        <v>16580657.770000001</v>
      </c>
      <c r="L23" s="149">
        <f t="shared" si="7"/>
        <v>4416940.26</v>
      </c>
      <c r="M23" s="153">
        <f t="shared" si="2"/>
        <v>0.26639113606166664</v>
      </c>
      <c r="N23" s="148">
        <f>'2025'!Q23</f>
        <v>1931997.84</v>
      </c>
      <c r="O23" s="148">
        <f>'2025'!Q99</f>
        <v>1463198.21221174</v>
      </c>
      <c r="P23" s="149">
        <f t="shared" si="6"/>
        <v>468799.62778826011</v>
      </c>
      <c r="Q23" s="151">
        <f t="shared" si="3"/>
        <v>0.32039379482266606</v>
      </c>
      <c r="R23" s="148">
        <f>'2024'!Q23</f>
        <v>1353048.97</v>
      </c>
      <c r="S23" s="149">
        <f t="shared" si="4"/>
        <v>578948.87000000011</v>
      </c>
      <c r="T23" s="153">
        <f t="shared" si="5"/>
        <v>0.42788463894252105</v>
      </c>
      <c r="W23" s="470"/>
      <c r="Y23" s="470"/>
    </row>
    <row r="24" spans="1:25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f>'2025'!S24</f>
        <v>15296955.820000002</v>
      </c>
      <c r="H24" s="160">
        <f>SUM('2025'!G100:Q100)</f>
        <v>16114582.866213754</v>
      </c>
      <c r="I24" s="161">
        <f t="shared" si="0"/>
        <v>-817627.04621375166</v>
      </c>
      <c r="J24" s="163">
        <f t="shared" si="1"/>
        <v>-5.0738331423273109E-2</v>
      </c>
      <c r="K24" s="160">
        <f>SUM('2024'!G24:Q24)</f>
        <v>14628382.809999999</v>
      </c>
      <c r="L24" s="161">
        <f t="shared" si="7"/>
        <v>668573.0100000035</v>
      </c>
      <c r="M24" s="165">
        <f t="shared" si="2"/>
        <v>4.5703822403592387E-2</v>
      </c>
      <c r="N24" s="160">
        <f>'2025'!Q24</f>
        <v>1247965.6300000001</v>
      </c>
      <c r="O24" s="160">
        <f>'2025'!Q100</f>
        <v>1242868.4327648836</v>
      </c>
      <c r="P24" s="161">
        <f t="shared" si="6"/>
        <v>5097.1972351165023</v>
      </c>
      <c r="Q24" s="163">
        <f t="shared" si="3"/>
        <v>4.1011559234611639E-3</v>
      </c>
      <c r="R24" s="160">
        <f>'2024'!Q24</f>
        <v>1124852.74</v>
      </c>
      <c r="S24" s="161">
        <f t="shared" si="4"/>
        <v>123112.89000000013</v>
      </c>
      <c r="T24" s="165">
        <f t="shared" si="5"/>
        <v>0.10944800650083319</v>
      </c>
      <c r="W24" s="470"/>
      <c r="Y24" s="470"/>
    </row>
    <row r="25" spans="1:25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f>'2025'!S25</f>
        <v>65806441.049999997</v>
      </c>
      <c r="H25" s="160">
        <f>SUM('2025'!G101:Q101)</f>
        <v>67259858.45371592</v>
      </c>
      <c r="I25" s="161">
        <f t="shared" si="0"/>
        <v>-1453417.4037159234</v>
      </c>
      <c r="J25" s="163">
        <f t="shared" si="1"/>
        <v>-2.1608986951943687E-2</v>
      </c>
      <c r="K25" s="160">
        <f>SUM('2024'!G25:Q25)</f>
        <v>47454030.690000005</v>
      </c>
      <c r="L25" s="161">
        <f t="shared" si="7"/>
        <v>18352410.359999992</v>
      </c>
      <c r="M25" s="165">
        <f t="shared" si="2"/>
        <v>0.38674081196367993</v>
      </c>
      <c r="N25" s="160">
        <f>'2025'!Q25</f>
        <v>5619437.5199999996</v>
      </c>
      <c r="O25" s="160">
        <f>'2025'!Q101</f>
        <v>6257172.119905103</v>
      </c>
      <c r="P25" s="161">
        <f t="shared" si="6"/>
        <v>-637734.59990510345</v>
      </c>
      <c r="Q25" s="163">
        <f t="shared" si="3"/>
        <v>-0.10192057812767585</v>
      </c>
      <c r="R25" s="160">
        <f>'2024'!Q25</f>
        <v>4081588.330000001</v>
      </c>
      <c r="S25" s="161">
        <f t="shared" si="4"/>
        <v>1537849.1899999985</v>
      </c>
      <c r="T25" s="165">
        <f t="shared" si="5"/>
        <v>0.37677714302951237</v>
      </c>
      <c r="W25" s="470"/>
      <c r="Y25" s="470"/>
    </row>
    <row r="26" spans="1:25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f>'2025'!S26</f>
        <v>45744890.079999991</v>
      </c>
      <c r="H26" s="160">
        <f>SUM('2025'!G102:Q102)</f>
        <v>46549323.048809603</v>
      </c>
      <c r="I26" s="161">
        <f t="shared" si="0"/>
        <v>-804432.9688096121</v>
      </c>
      <c r="J26" s="163">
        <f t="shared" si="1"/>
        <v>-1.7281303274080284E-2</v>
      </c>
      <c r="K26" s="160">
        <f>SUM('2024'!G26:Q26)</f>
        <v>80940522.530000001</v>
      </c>
      <c r="L26" s="161">
        <f t="shared" si="7"/>
        <v>-35195632.45000001</v>
      </c>
      <c r="M26" s="165">
        <f t="shared" si="2"/>
        <v>-0.43483327448195075</v>
      </c>
      <c r="N26" s="160">
        <f>'2025'!Q26</f>
        <v>2629682.48</v>
      </c>
      <c r="O26" s="160">
        <f>'2025'!Q102</f>
        <v>5493644.7717075925</v>
      </c>
      <c r="P26" s="161">
        <f t="shared" si="6"/>
        <v>-2863962.2917075926</v>
      </c>
      <c r="Q26" s="163">
        <f t="shared" si="3"/>
        <v>-0.52132280311553258</v>
      </c>
      <c r="R26" s="160">
        <f>'2024'!Q26</f>
        <v>2028102.13</v>
      </c>
      <c r="S26" s="161">
        <f t="shared" si="4"/>
        <v>601580.35000000009</v>
      </c>
      <c r="T26" s="165">
        <f t="shared" si="5"/>
        <v>0.29662231556356589</v>
      </c>
      <c r="W26" s="470"/>
      <c r="Y26" s="470"/>
    </row>
    <row r="27" spans="1:25" hidden="1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f>'2025'!S27</f>
        <v>0</v>
      </c>
      <c r="H27" s="160">
        <f>SUM('2025'!G103:Q103)</f>
        <v>0</v>
      </c>
      <c r="I27" s="161">
        <f t="shared" si="0"/>
        <v>0</v>
      </c>
      <c r="J27" s="163" t="str">
        <f t="shared" si="1"/>
        <v>...</v>
      </c>
      <c r="K27" s="160">
        <f>SUM('2024'!G27:Q27)</f>
        <v>0</v>
      </c>
      <c r="L27" s="161">
        <f t="shared" si="7"/>
        <v>0</v>
      </c>
      <c r="M27" s="165" t="str">
        <f t="shared" si="2"/>
        <v>...</v>
      </c>
      <c r="N27" s="160">
        <f>'2025'!Q27</f>
        <v>0</v>
      </c>
      <c r="O27" s="160">
        <f>'2025'!Q103</f>
        <v>0</v>
      </c>
      <c r="P27" s="161">
        <f t="shared" si="6"/>
        <v>0</v>
      </c>
      <c r="Q27" s="163" t="str">
        <f t="shared" si="3"/>
        <v>...</v>
      </c>
      <c r="R27" s="160">
        <f>'2024'!Q27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f>'2025'!S28</f>
        <v>18190307.84</v>
      </c>
      <c r="H28" s="160">
        <f>SUM('2025'!G104:Q104)</f>
        <v>106029675.18222217</v>
      </c>
      <c r="I28" s="161">
        <f t="shared" si="0"/>
        <v>-87839367.342222169</v>
      </c>
      <c r="J28" s="163">
        <f t="shared" si="1"/>
        <v>-0.82844135088843562</v>
      </c>
      <c r="K28" s="160">
        <f>SUM('2024'!G28:Q28)</f>
        <v>32336386.959999993</v>
      </c>
      <c r="L28" s="161">
        <f t="shared" si="7"/>
        <v>-14146079.119999994</v>
      </c>
      <c r="M28" s="165">
        <f t="shared" si="2"/>
        <v>-0.43746628643140151</v>
      </c>
      <c r="N28" s="160">
        <f>'2025'!Q28</f>
        <v>819275.71</v>
      </c>
      <c r="O28" s="160">
        <f>'2025'!Q104</f>
        <v>28153709.397777781</v>
      </c>
      <c r="P28" s="161">
        <f t="shared" si="6"/>
        <v>-27334433.68777778</v>
      </c>
      <c r="Q28" s="163">
        <f t="shared" si="3"/>
        <v>-0.9708999017349853</v>
      </c>
      <c r="R28" s="160">
        <f>'2024'!Q28</f>
        <v>3354070.4999999995</v>
      </c>
      <c r="S28" s="161">
        <f t="shared" si="4"/>
        <v>-2534794.7899999996</v>
      </c>
      <c r="T28" s="165">
        <f t="shared" si="5"/>
        <v>-0.75573688448111032</v>
      </c>
      <c r="W28" s="470"/>
      <c r="Y28" s="470"/>
    </row>
    <row r="29" spans="1:25" ht="15.7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'2025'!S29</f>
        <v>2721484497.6599998</v>
      </c>
      <c r="H29" s="136">
        <f>SUM('2025'!G105:Q105)</f>
        <v>2878857353.8099999</v>
      </c>
      <c r="I29" s="137">
        <f t="shared" si="0"/>
        <v>-157372856.1500001</v>
      </c>
      <c r="J29" s="139">
        <f t="shared" si="1"/>
        <v>-5.4665041302489836E-2</v>
      </c>
      <c r="K29" s="136">
        <f>SUM('2024'!G29:Q29)</f>
        <v>2496735507.0699997</v>
      </c>
      <c r="L29" s="137">
        <f t="shared" si="7"/>
        <v>224748990.59000015</v>
      </c>
      <c r="M29" s="141">
        <f t="shared" si="2"/>
        <v>9.0017140363318093E-2</v>
      </c>
      <c r="N29" s="136">
        <f>'2025'!Q29</f>
        <v>255473001.87000003</v>
      </c>
      <c r="O29" s="136">
        <f>'2025'!Q105</f>
        <v>286419476.34000003</v>
      </c>
      <c r="P29" s="137">
        <f t="shared" si="6"/>
        <v>-30946474.469999999</v>
      </c>
      <c r="Q29" s="139">
        <f t="shared" si="3"/>
        <v>-0.10804598508959062</v>
      </c>
      <c r="R29" s="136">
        <f>'2024'!Q29</f>
        <v>255542689.13999999</v>
      </c>
      <c r="S29" s="137">
        <f t="shared" si="4"/>
        <v>-69687.269999951124</v>
      </c>
      <c r="T29" s="141">
        <f t="shared" si="5"/>
        <v>-2.7270304712878612E-4</v>
      </c>
      <c r="V29" s="470"/>
      <c r="W29" s="470"/>
      <c r="Y29" s="470"/>
    </row>
    <row r="30" spans="1:25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294">
        <f>'2025'!S30</f>
        <v>1046309985.7900001</v>
      </c>
      <c r="H30" s="294">
        <f>SUM('2025'!G106:Q106)</f>
        <v>1158370036.0699999</v>
      </c>
      <c r="I30" s="173">
        <f t="shared" si="0"/>
        <v>-112060050.27999985</v>
      </c>
      <c r="J30" s="556">
        <f t="shared" si="1"/>
        <v>-9.6739424182781697E-2</v>
      </c>
      <c r="K30" s="294">
        <f>SUM('2024'!G30:Q30)</f>
        <v>1001829780.1899999</v>
      </c>
      <c r="L30" s="173">
        <f t="shared" si="7"/>
        <v>44480205.600000143</v>
      </c>
      <c r="M30" s="177">
        <f t="shared" si="2"/>
        <v>4.439896525292375E-2</v>
      </c>
      <c r="N30" s="294">
        <f>'2025'!Q30</f>
        <v>97671372.63000001</v>
      </c>
      <c r="O30" s="294">
        <f>'2025'!Q106</f>
        <v>123145561.94000001</v>
      </c>
      <c r="P30" s="173">
        <f t="shared" si="6"/>
        <v>-25474189.310000002</v>
      </c>
      <c r="Q30" s="175">
        <f t="shared" si="3"/>
        <v>-0.20686242288140066</v>
      </c>
      <c r="R30" s="294">
        <f>'2024'!Q30</f>
        <v>106595898.44999997</v>
      </c>
      <c r="S30" s="173">
        <f t="shared" si="4"/>
        <v>-8924525.819999963</v>
      </c>
      <c r="T30" s="177">
        <f t="shared" si="5"/>
        <v>-8.3722975740817218E-2</v>
      </c>
      <c r="W30" s="470"/>
      <c r="Y30" s="470"/>
    </row>
    <row r="31" spans="1:25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f>'2025'!S31</f>
        <v>626974248.55000007</v>
      </c>
      <c r="H31" s="148">
        <f>SUM('2025'!G107:Q107)</f>
        <v>666280485.12</v>
      </c>
      <c r="I31" s="149">
        <f t="shared" si="0"/>
        <v>-39306236.569999933</v>
      </c>
      <c r="J31" s="557">
        <f t="shared" si="1"/>
        <v>-5.8993528172929577E-2</v>
      </c>
      <c r="K31" s="148">
        <f>SUM('2024'!G31:Q31)</f>
        <v>617451003.93000007</v>
      </c>
      <c r="L31" s="149">
        <f t="shared" si="7"/>
        <v>9523244.6200000048</v>
      </c>
      <c r="M31" s="153">
        <f t="shared" si="2"/>
        <v>1.5423482283429379E-2</v>
      </c>
      <c r="N31" s="148">
        <f>'2025'!Q31</f>
        <v>57684882.100000009</v>
      </c>
      <c r="O31" s="148">
        <f>'2025'!Q107</f>
        <v>70481093.040000007</v>
      </c>
      <c r="P31" s="149">
        <f>+N31-O31</f>
        <v>-12796210.939999998</v>
      </c>
      <c r="Q31" s="151">
        <f>IF(+IF(ISERROR(N31/O31),"…",N31/O31-1)&gt;200%,"...",IF(ISERROR(N31/O31),"…",N31/O31-1))</f>
        <v>-0.18155522833248039</v>
      </c>
      <c r="R31" s="148">
        <f>'2024'!Q31</f>
        <v>56295292.169999994</v>
      </c>
      <c r="S31" s="149">
        <f t="shared" si="4"/>
        <v>1389589.9300000146</v>
      </c>
      <c r="T31" s="153">
        <f t="shared" si="5"/>
        <v>2.4683945609585756E-2</v>
      </c>
      <c r="W31" s="470"/>
      <c r="Y31" s="470"/>
    </row>
    <row r="32" spans="1:25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f>'2025'!S32</f>
        <v>22008115.59</v>
      </c>
      <c r="H32" s="148">
        <f>SUM('2025'!G108:Q108)</f>
        <v>24120945.760000005</v>
      </c>
      <c r="I32" s="149">
        <f t="shared" si="0"/>
        <v>-2112830.1700000055</v>
      </c>
      <c r="J32" s="557">
        <f t="shared" si="1"/>
        <v>-8.7593172797715613E-2</v>
      </c>
      <c r="K32" s="148">
        <f>SUM('2024'!G32:Q32)</f>
        <v>17335823.550000001</v>
      </c>
      <c r="L32" s="149">
        <f t="shared" si="7"/>
        <v>4672292.0399999991</v>
      </c>
      <c r="M32" s="153">
        <f t="shared" si="2"/>
        <v>0.26951658953635338</v>
      </c>
      <c r="N32" s="148">
        <f>'2025'!Q32</f>
        <v>2200810.23</v>
      </c>
      <c r="O32" s="148">
        <f>'2025'!Q108</f>
        <v>2577314.4900000002</v>
      </c>
      <c r="P32" s="149">
        <f t="shared" si="6"/>
        <v>-376504.26000000024</v>
      </c>
      <c r="Q32" s="151">
        <f t="shared" si="3"/>
        <v>-0.14608394181650697</v>
      </c>
      <c r="R32" s="148">
        <f>'2024'!Q32</f>
        <v>1815072.88</v>
      </c>
      <c r="S32" s="149">
        <f t="shared" si="4"/>
        <v>385737.35000000009</v>
      </c>
      <c r="T32" s="153">
        <f t="shared" si="5"/>
        <v>0.21251893202216765</v>
      </c>
      <c r="W32" s="470"/>
      <c r="Y32" s="470"/>
    </row>
    <row r="33" spans="1:25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f>'2025'!S33</f>
        <v>36090758.75</v>
      </c>
      <c r="H33" s="148">
        <f>SUM('2025'!G109:Q109)</f>
        <v>45465903.289999999</v>
      </c>
      <c r="I33" s="149">
        <f t="shared" si="0"/>
        <v>-9375144.5399999991</v>
      </c>
      <c r="J33" s="557">
        <f t="shared" si="1"/>
        <v>-0.20620165578150995</v>
      </c>
      <c r="K33" s="148">
        <f>SUM('2024'!G33:Q33)</f>
        <v>30775984.280000005</v>
      </c>
      <c r="L33" s="149">
        <f t="shared" si="7"/>
        <v>5314774.4699999951</v>
      </c>
      <c r="M33" s="153">
        <f t="shared" si="2"/>
        <v>0.17269226620491351</v>
      </c>
      <c r="N33" s="148">
        <f>'2025'!Q33</f>
        <v>5437931.8099999987</v>
      </c>
      <c r="O33" s="148">
        <f>'2025'!Q109</f>
        <v>5055380.1099999975</v>
      </c>
      <c r="P33" s="149">
        <f t="shared" si="6"/>
        <v>382551.70000000112</v>
      </c>
      <c r="Q33" s="151">
        <f t="shared" si="3"/>
        <v>7.5672193124168619E-2</v>
      </c>
      <c r="R33" s="148">
        <f>'2024'!Q33</f>
        <v>2993781.3500000006</v>
      </c>
      <c r="S33" s="149">
        <f t="shared" si="4"/>
        <v>2444150.4599999981</v>
      </c>
      <c r="T33" s="153">
        <f t="shared" si="5"/>
        <v>0.81640914090135452</v>
      </c>
      <c r="W33" s="470"/>
      <c r="Y33" s="470"/>
    </row>
    <row r="34" spans="1:25">
      <c r="A34" s="135">
        <v>414</v>
      </c>
      <c r="B34" s="597" t="str">
        <f>+VLOOKUP($A34,Master!$D$30:$G$226,4,FALSE)</f>
        <v>Rashodi za usluge</v>
      </c>
      <c r="C34" s="598"/>
      <c r="D34" s="598"/>
      <c r="E34" s="598"/>
      <c r="F34" s="598"/>
      <c r="G34" s="148">
        <f>'2025'!S34</f>
        <v>71429620.189999998</v>
      </c>
      <c r="H34" s="148">
        <f>SUM('2025'!G110:Q110)</f>
        <v>85425887.380000025</v>
      </c>
      <c r="I34" s="149">
        <f t="shared" si="0"/>
        <v>-13996267.190000027</v>
      </c>
      <c r="J34" s="557">
        <f t="shared" si="1"/>
        <v>-0.1638410512230376</v>
      </c>
      <c r="K34" s="148">
        <f>SUM('2024'!G34:Q34)</f>
        <v>57190265.620000005</v>
      </c>
      <c r="L34" s="149">
        <f t="shared" si="7"/>
        <v>14239354.569999993</v>
      </c>
      <c r="M34" s="153">
        <f t="shared" si="2"/>
        <v>0.2489821373555634</v>
      </c>
      <c r="N34" s="148">
        <f>'2025'!Q34</f>
        <v>8052975.6900000023</v>
      </c>
      <c r="O34" s="148">
        <f>'2025'!Q110</f>
        <v>9755744.1000000034</v>
      </c>
      <c r="P34" s="149">
        <f t="shared" si="6"/>
        <v>-1702768.4100000011</v>
      </c>
      <c r="Q34" s="151">
        <f t="shared" si="3"/>
        <v>-0.17454008556866518</v>
      </c>
      <c r="R34" s="148">
        <f>'2024'!Q34</f>
        <v>8211565.2000000002</v>
      </c>
      <c r="S34" s="149">
        <f t="shared" si="4"/>
        <v>-158589.50999999791</v>
      </c>
      <c r="T34" s="153">
        <f t="shared" si="5"/>
        <v>-1.9312945356629196E-2</v>
      </c>
      <c r="W34" s="470"/>
      <c r="Y34" s="470"/>
    </row>
    <row r="35" spans="1:25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f>'2025'!S35</f>
        <v>26123233.880000003</v>
      </c>
      <c r="H35" s="148">
        <f>SUM('2025'!G111:Q111)</f>
        <v>36111389.240000002</v>
      </c>
      <c r="I35" s="149">
        <f t="shared" si="0"/>
        <v>-9988155.3599999994</v>
      </c>
      <c r="J35" s="557">
        <f t="shared" si="1"/>
        <v>-0.27659294118034872</v>
      </c>
      <c r="K35" s="148">
        <f>SUM('2024'!G35:Q35)</f>
        <v>26310202.650000002</v>
      </c>
      <c r="L35" s="149">
        <f t="shared" si="7"/>
        <v>-186968.76999999955</v>
      </c>
      <c r="M35" s="153">
        <f t="shared" si="2"/>
        <v>-7.1063219271706446E-3</v>
      </c>
      <c r="N35" s="148">
        <f>'2025'!Q35</f>
        <v>3156152.7800000003</v>
      </c>
      <c r="O35" s="148">
        <f>'2025'!Q111</f>
        <v>4714537.42</v>
      </c>
      <c r="P35" s="149">
        <f t="shared" si="6"/>
        <v>-1558384.6399999997</v>
      </c>
      <c r="Q35" s="151">
        <f t="shared" si="3"/>
        <v>-0.33054879008681193</v>
      </c>
      <c r="R35" s="148">
        <f>'2024'!Q35</f>
        <v>2986528.7699999996</v>
      </c>
      <c r="S35" s="149">
        <f t="shared" si="4"/>
        <v>169624.01000000071</v>
      </c>
      <c r="T35" s="153">
        <f t="shared" si="5"/>
        <v>5.6796375679984079E-2</v>
      </c>
      <c r="W35" s="470"/>
      <c r="Y35" s="470"/>
    </row>
    <row r="36" spans="1:25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f>'2025'!S36</f>
        <v>134897469.02000001</v>
      </c>
      <c r="H36" s="148">
        <f>SUM('2025'!G112:Q112)</f>
        <v>143521366.27000001</v>
      </c>
      <c r="I36" s="149">
        <f t="shared" si="0"/>
        <v>-8623897.25</v>
      </c>
      <c r="J36" s="557">
        <f t="shared" si="1"/>
        <v>-6.0087898228172287E-2</v>
      </c>
      <c r="K36" s="148">
        <f>SUM('2024'!G36:Q36)</f>
        <v>122070527.63000001</v>
      </c>
      <c r="L36" s="149">
        <f t="shared" si="7"/>
        <v>12826941.390000001</v>
      </c>
      <c r="M36" s="153">
        <f t="shared" si="2"/>
        <v>0.10507811868298722</v>
      </c>
      <c r="N36" s="148">
        <f>'2025'!Q36</f>
        <v>7923419.0800000001</v>
      </c>
      <c r="O36" s="148">
        <f>'2025'!Q112</f>
        <v>14492145.559999999</v>
      </c>
      <c r="P36" s="149">
        <f t="shared" si="6"/>
        <v>-6568726.4799999986</v>
      </c>
      <c r="Q36" s="151">
        <f t="shared" si="3"/>
        <v>-0.45326114430774456</v>
      </c>
      <c r="R36" s="148">
        <f>'2024'!Q36</f>
        <v>13088141.829999998</v>
      </c>
      <c r="S36" s="149">
        <f t="shared" si="4"/>
        <v>-5164722.7499999981</v>
      </c>
      <c r="T36" s="153">
        <f t="shared" si="5"/>
        <v>-0.39461084828418291</v>
      </c>
      <c r="W36" s="470"/>
      <c r="Y36" s="470"/>
    </row>
    <row r="37" spans="1:25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f>'2025'!S37</f>
        <v>10954172.259999998</v>
      </c>
      <c r="H37" s="148">
        <f>SUM('2025'!G113:Q113)</f>
        <v>12316534.43</v>
      </c>
      <c r="I37" s="149">
        <f t="shared" si="0"/>
        <v>-1362362.1700000018</v>
      </c>
      <c r="J37" s="557">
        <f t="shared" si="1"/>
        <v>-0.11061245983948442</v>
      </c>
      <c r="K37" s="148">
        <f>SUM('2024'!G37:Q37)</f>
        <v>9841954.7800000012</v>
      </c>
      <c r="L37" s="149">
        <f t="shared" si="7"/>
        <v>1112217.4799999967</v>
      </c>
      <c r="M37" s="153">
        <f t="shared" si="2"/>
        <v>0.11300778197641725</v>
      </c>
      <c r="N37" s="148">
        <f>'2025'!Q37</f>
        <v>1213486.8699999999</v>
      </c>
      <c r="O37" s="148">
        <f>'2025'!Q113</f>
        <v>1110150.2199999997</v>
      </c>
      <c r="P37" s="149">
        <f t="shared" si="6"/>
        <v>103336.65000000014</v>
      </c>
      <c r="Q37" s="151">
        <f t="shared" si="3"/>
        <v>9.3083483782942622E-2</v>
      </c>
      <c r="R37" s="148">
        <f>'2024'!Q37</f>
        <v>1032976.0700000001</v>
      </c>
      <c r="S37" s="149">
        <f t="shared" si="4"/>
        <v>180510.79999999981</v>
      </c>
      <c r="T37" s="153">
        <f t="shared" si="5"/>
        <v>0.17474828821542765</v>
      </c>
      <c r="W37" s="470"/>
      <c r="Y37" s="470"/>
    </row>
    <row r="38" spans="1:25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f>'2025'!S38</f>
        <v>56464139.989999987</v>
      </c>
      <c r="H38" s="148">
        <f>SUM('2025'!G114:Q114)</f>
        <v>63965193.950000003</v>
      </c>
      <c r="I38" s="149">
        <f t="shared" si="0"/>
        <v>-7501053.9600000158</v>
      </c>
      <c r="J38" s="557">
        <f t="shared" si="1"/>
        <v>-0.11726774354601976</v>
      </c>
      <c r="K38" s="148">
        <f>SUM('2024'!G38:Q38)</f>
        <v>70832592.919999972</v>
      </c>
      <c r="L38" s="149">
        <f t="shared" si="7"/>
        <v>-14368452.929999985</v>
      </c>
      <c r="M38" s="153">
        <f t="shared" si="2"/>
        <v>-0.2028508676256997</v>
      </c>
      <c r="N38" s="148">
        <f>'2025'!Q38</f>
        <v>7111415.4199999999</v>
      </c>
      <c r="O38" s="148">
        <f>'2025'!Q114</f>
        <v>6721963.5600000015</v>
      </c>
      <c r="P38" s="149">
        <f t="shared" si="6"/>
        <v>389451.85999999847</v>
      </c>
      <c r="Q38" s="151">
        <f t="shared" si="3"/>
        <v>5.7937216785507006E-2</v>
      </c>
      <c r="R38" s="148">
        <f>'2024'!Q38</f>
        <v>14006807.799999999</v>
      </c>
      <c r="S38" s="149">
        <f t="shared" si="4"/>
        <v>-6895392.379999999</v>
      </c>
      <c r="T38" s="153">
        <f t="shared" si="5"/>
        <v>-0.49228864124201088</v>
      </c>
      <c r="W38" s="470"/>
      <c r="Y38" s="470"/>
    </row>
    <row r="39" spans="1:25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f>'2025'!S39</f>
        <v>61368227.559999995</v>
      </c>
      <c r="H39" s="148">
        <f>SUM('2025'!G115:Q115)</f>
        <v>81162330.629999965</v>
      </c>
      <c r="I39" s="149">
        <f t="shared" si="0"/>
        <v>-19794103.06999997</v>
      </c>
      <c r="J39" s="557">
        <f t="shared" si="1"/>
        <v>-0.243882881582549</v>
      </c>
      <c r="K39" s="148">
        <f>SUM('2024'!G39:Q39)</f>
        <v>50021424.830000006</v>
      </c>
      <c r="L39" s="149">
        <f t="shared" si="7"/>
        <v>11346802.729999989</v>
      </c>
      <c r="M39" s="153">
        <f t="shared" si="2"/>
        <v>0.2268388549219178</v>
      </c>
      <c r="N39" s="148">
        <f>'2025'!Q39</f>
        <v>4890298.6499999994</v>
      </c>
      <c r="O39" s="148">
        <f>'2025'!Q115</f>
        <v>8237233.4399999985</v>
      </c>
      <c r="P39" s="149">
        <f t="shared" si="6"/>
        <v>-3346934.7899999991</v>
      </c>
      <c r="Q39" s="151">
        <f t="shared" si="3"/>
        <v>-0.40631782677753026</v>
      </c>
      <c r="R39" s="148">
        <f>'2024'!Q39</f>
        <v>6165732.3800000008</v>
      </c>
      <c r="S39" s="149">
        <f t="shared" si="4"/>
        <v>-1275433.7300000014</v>
      </c>
      <c r="T39" s="153">
        <f t="shared" si="5"/>
        <v>-0.20685843163371309</v>
      </c>
      <c r="W39" s="470"/>
      <c r="Y39" s="470"/>
    </row>
    <row r="40" spans="1:25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'2025'!S40</f>
        <v>1014702829.0199999</v>
      </c>
      <c r="H40" s="178">
        <f>SUM('2025'!G116:Q116)</f>
        <v>988619832.30000019</v>
      </c>
      <c r="I40" s="179">
        <f t="shared" si="0"/>
        <v>26082996.719999671</v>
      </c>
      <c r="J40" s="181">
        <f t="shared" si="1"/>
        <v>2.6383242443476229E-2</v>
      </c>
      <c r="K40" s="178">
        <f>SUM('2024'!G40:Q40)</f>
        <v>914938109.09999967</v>
      </c>
      <c r="L40" s="179">
        <f t="shared" si="7"/>
        <v>99764719.920000196</v>
      </c>
      <c r="M40" s="183">
        <f t="shared" si="2"/>
        <v>0.10903985627851487</v>
      </c>
      <c r="N40" s="178">
        <f>'2025'!Q40</f>
        <v>94459565.549999997</v>
      </c>
      <c r="O40" s="178">
        <f>'2025'!Q116</f>
        <v>85314680.13000001</v>
      </c>
      <c r="P40" s="179">
        <f t="shared" si="6"/>
        <v>9144885.4199999869</v>
      </c>
      <c r="Q40" s="181">
        <f t="shared" si="3"/>
        <v>0.10719005692883421</v>
      </c>
      <c r="R40" s="178">
        <f>'2024'!Q40</f>
        <v>88244056.319999993</v>
      </c>
      <c r="S40" s="179">
        <f t="shared" si="4"/>
        <v>6215509.2300000042</v>
      </c>
      <c r="T40" s="183">
        <f t="shared" si="5"/>
        <v>7.0435443351115401E-2</v>
      </c>
      <c r="W40" s="470"/>
      <c r="Y40" s="470"/>
    </row>
    <row r="41" spans="1:25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f>'2025'!S41</f>
        <v>227249280.97999996</v>
      </c>
      <c r="H41" s="148">
        <f>SUM('2025'!G117:Q117)</f>
        <v>212106124.16000003</v>
      </c>
      <c r="I41" s="149">
        <f t="shared" si="0"/>
        <v>15143156.819999933</v>
      </c>
      <c r="J41" s="151">
        <f t="shared" si="1"/>
        <v>7.139424606418654E-2</v>
      </c>
      <c r="K41" s="148">
        <f>SUM('2024'!G41:Q41)</f>
        <v>195326293.22</v>
      </c>
      <c r="L41" s="149">
        <f t="shared" si="7"/>
        <v>31922987.759999961</v>
      </c>
      <c r="M41" s="153">
        <f t="shared" si="2"/>
        <v>0.16343415540090378</v>
      </c>
      <c r="N41" s="148">
        <f>'2025'!Q41</f>
        <v>20877495.760000002</v>
      </c>
      <c r="O41" s="148">
        <f>'2025'!Q117</f>
        <v>15701379.6</v>
      </c>
      <c r="P41" s="149">
        <f t="shared" si="6"/>
        <v>5176116.160000002</v>
      </c>
      <c r="Q41" s="151">
        <f t="shared" si="3"/>
        <v>0.32965995930701553</v>
      </c>
      <c r="R41" s="148">
        <f>'2024'!Q41</f>
        <v>20366430.100000001</v>
      </c>
      <c r="S41" s="149">
        <f t="shared" si="4"/>
        <v>511065.66000000015</v>
      </c>
      <c r="T41" s="153">
        <f t="shared" si="5"/>
        <v>2.5093531732888197E-2</v>
      </c>
      <c r="W41" s="470"/>
      <c r="Y41" s="470"/>
    </row>
    <row r="42" spans="1:25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f>'2025'!S42</f>
        <v>20969111.510000002</v>
      </c>
      <c r="H42" s="148">
        <f>SUM('2025'!G118:Q118)</f>
        <v>24317121.040000007</v>
      </c>
      <c r="I42" s="149">
        <f t="shared" si="0"/>
        <v>-3348009.5300000049</v>
      </c>
      <c r="J42" s="151">
        <f t="shared" si="1"/>
        <v>-0.13768116400345076</v>
      </c>
      <c r="K42" s="148">
        <f>SUM('2024'!G42:Q42)</f>
        <v>18757930.040000003</v>
      </c>
      <c r="L42" s="149">
        <f t="shared" si="7"/>
        <v>2211181.4699999988</v>
      </c>
      <c r="M42" s="153">
        <f t="shared" si="2"/>
        <v>0.11787982284211562</v>
      </c>
      <c r="N42" s="148">
        <f>'2025'!Q42</f>
        <v>2035555.39</v>
      </c>
      <c r="O42" s="148">
        <f>'2025'!Q118</f>
        <v>2344604.0299999998</v>
      </c>
      <c r="P42" s="149">
        <f t="shared" si="6"/>
        <v>-309048.6399999999</v>
      </c>
      <c r="Q42" s="151">
        <f t="shared" si="3"/>
        <v>-0.13181272233844954</v>
      </c>
      <c r="R42" s="148">
        <f>'2024'!Q42</f>
        <v>1692636.94</v>
      </c>
      <c r="S42" s="149">
        <f t="shared" si="4"/>
        <v>342918.44999999995</v>
      </c>
      <c r="T42" s="153">
        <f t="shared" si="5"/>
        <v>0.20259421373611275</v>
      </c>
      <c r="W42" s="470"/>
      <c r="Y42" s="470"/>
    </row>
    <row r="43" spans="1:25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f>'2025'!S43</f>
        <v>728739137.94000006</v>
      </c>
      <c r="H43" s="148">
        <f>SUM('2025'!G119:Q119)</f>
        <v>713597960.22000003</v>
      </c>
      <c r="I43" s="149">
        <f t="shared" si="0"/>
        <v>15141177.720000029</v>
      </c>
      <c r="J43" s="151">
        <f t="shared" si="1"/>
        <v>2.1218078755903536E-2</v>
      </c>
      <c r="K43" s="148">
        <f>SUM('2024'!G43:Q43)</f>
        <v>666760586.80999994</v>
      </c>
      <c r="L43" s="149">
        <f t="shared" si="7"/>
        <v>61978551.130000114</v>
      </c>
      <c r="M43" s="153">
        <f t="shared" si="2"/>
        <v>9.2954731212481656E-2</v>
      </c>
      <c r="N43" s="148">
        <f>'2025'!Q43</f>
        <v>67918600.039999992</v>
      </c>
      <c r="O43" s="148">
        <f>'2025'!Q119</f>
        <v>63607323.430000007</v>
      </c>
      <c r="P43" s="149">
        <f t="shared" si="6"/>
        <v>4311276.6099999845</v>
      </c>
      <c r="Q43" s="151">
        <f t="shared" si="3"/>
        <v>6.7779563382265984E-2</v>
      </c>
      <c r="R43" s="148">
        <f>'2024'!Q43</f>
        <v>62810408.869999997</v>
      </c>
      <c r="S43" s="149">
        <f t="shared" si="4"/>
        <v>5108191.1699999943</v>
      </c>
      <c r="T43" s="153">
        <f t="shared" si="5"/>
        <v>8.1327144049842426E-2</v>
      </c>
      <c r="W43" s="470"/>
      <c r="Y43" s="470"/>
    </row>
    <row r="44" spans="1:25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f>'2025'!S44</f>
        <v>23326463.320000004</v>
      </c>
      <c r="H44" s="148">
        <f>SUM('2025'!G120:Q120)</f>
        <v>23328380.579999994</v>
      </c>
      <c r="I44" s="149">
        <f t="shared" si="0"/>
        <v>-1917.2599999904633</v>
      </c>
      <c r="J44" s="151">
        <f t="shared" si="1"/>
        <v>-8.2185730527428724E-5</v>
      </c>
      <c r="K44" s="148">
        <f>SUM('2024'!G44:Q44)</f>
        <v>19202811.329999998</v>
      </c>
      <c r="L44" s="149">
        <f t="shared" si="7"/>
        <v>4123651.9900000058</v>
      </c>
      <c r="M44" s="153">
        <f t="shared" si="2"/>
        <v>0.21474209786968768</v>
      </c>
      <c r="N44" s="148">
        <f>'2025'!Q44</f>
        <v>2785028.7300000004</v>
      </c>
      <c r="O44" s="148">
        <f>'2025'!Q120</f>
        <v>2231619.4</v>
      </c>
      <c r="P44" s="149">
        <f t="shared" si="6"/>
        <v>553409.33000000054</v>
      </c>
      <c r="Q44" s="151">
        <f t="shared" si="3"/>
        <v>0.24798553463014383</v>
      </c>
      <c r="R44" s="148">
        <f>'2024'!Q44</f>
        <v>1490076.6400000004</v>
      </c>
      <c r="S44" s="149">
        <f t="shared" si="4"/>
        <v>1294952.0900000001</v>
      </c>
      <c r="T44" s="153">
        <f t="shared" si="5"/>
        <v>0.86905066171629919</v>
      </c>
      <c r="W44" s="470"/>
      <c r="Y44" s="470"/>
    </row>
    <row r="45" spans="1:25">
      <c r="A45" s="135">
        <v>425</v>
      </c>
      <c r="B45" s="597" t="str">
        <f>+VLOOKUP($A45,Master!$D$30:$G$226,4,FALSE)</f>
        <v>Ostala prava iz zdravstvenog osiguranja</v>
      </c>
      <c r="C45" s="598"/>
      <c r="D45" s="598"/>
      <c r="E45" s="598"/>
      <c r="F45" s="598"/>
      <c r="G45" s="148">
        <f>'2025'!S45</f>
        <v>14418835.27</v>
      </c>
      <c r="H45" s="148">
        <f>SUM('2025'!G121:Q121)</f>
        <v>15270246.300000001</v>
      </c>
      <c r="I45" s="149">
        <f t="shared" si="0"/>
        <v>-851411.03000000119</v>
      </c>
      <c r="J45" s="151">
        <f t="shared" si="1"/>
        <v>-5.5756208071116808E-2</v>
      </c>
      <c r="K45" s="148">
        <f>SUM('2024'!G45:Q45)</f>
        <v>14890487.699999996</v>
      </c>
      <c r="L45" s="149">
        <f t="shared" si="7"/>
        <v>-471652.42999999598</v>
      </c>
      <c r="M45" s="153">
        <f t="shared" si="2"/>
        <v>-3.1674746959429401E-2</v>
      </c>
      <c r="N45" s="148">
        <f>'2025'!Q45</f>
        <v>842885.63</v>
      </c>
      <c r="O45" s="148">
        <f>'2025'!Q121</f>
        <v>1429753.6700000002</v>
      </c>
      <c r="P45" s="149">
        <f t="shared" si="6"/>
        <v>-586868.04000000015</v>
      </c>
      <c r="Q45" s="151">
        <f t="shared" si="3"/>
        <v>-0.41046793745946464</v>
      </c>
      <c r="R45" s="148">
        <f>'2024'!Q45</f>
        <v>1884503.7700000005</v>
      </c>
      <c r="S45" s="149">
        <f t="shared" si="4"/>
        <v>-1041618.1400000005</v>
      </c>
      <c r="T45" s="153">
        <f t="shared" si="5"/>
        <v>-0.55272807440443605</v>
      </c>
      <c r="W45" s="470"/>
      <c r="Y45" s="470"/>
    </row>
    <row r="46" spans="1:25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f>'2025'!S46</f>
        <v>386794341.94000006</v>
      </c>
      <c r="H46" s="160">
        <f>SUM('2025'!G122:Q122)</f>
        <v>431726692.0800001</v>
      </c>
      <c r="I46" s="161">
        <f t="shared" si="0"/>
        <v>-44932350.140000045</v>
      </c>
      <c r="J46" s="163">
        <f t="shared" si="1"/>
        <v>-0.10407591414726325</v>
      </c>
      <c r="K46" s="160">
        <f>SUM('2024'!G46:Q46)</f>
        <v>343114591.94</v>
      </c>
      <c r="L46" s="161">
        <f t="shared" si="7"/>
        <v>43679750.00000006</v>
      </c>
      <c r="M46" s="165">
        <f t="shared" si="2"/>
        <v>0.12730367937146281</v>
      </c>
      <c r="N46" s="160">
        <f>'2025'!Q46</f>
        <v>35918614.609999999</v>
      </c>
      <c r="O46" s="160">
        <f>'2025'!Q122</f>
        <v>38851862.540000007</v>
      </c>
      <c r="P46" s="161">
        <f t="shared" si="6"/>
        <v>-2933247.9300000072</v>
      </c>
      <c r="Q46" s="163">
        <f t="shared" si="3"/>
        <v>-7.5498257695627236E-2</v>
      </c>
      <c r="R46" s="160">
        <f>'2024'!Q46</f>
        <v>34757123.660000004</v>
      </c>
      <c r="S46" s="161">
        <f t="shared" si="4"/>
        <v>1161490.9499999955</v>
      </c>
      <c r="T46" s="165">
        <f t="shared" si="5"/>
        <v>3.3417349529894835E-2</v>
      </c>
      <c r="W46" s="470"/>
      <c r="Y46" s="470"/>
    </row>
    <row r="47" spans="1:25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f>'2025'!S47</f>
        <v>240349096.12000003</v>
      </c>
      <c r="H47" s="160">
        <f>SUM('2025'!G123:Q123)</f>
        <v>263405944.96000001</v>
      </c>
      <c r="I47" s="161">
        <f t="shared" si="0"/>
        <v>-23056848.839999974</v>
      </c>
      <c r="J47" s="163">
        <f t="shared" si="1"/>
        <v>-8.7533517299699937E-2</v>
      </c>
      <c r="K47" s="160">
        <f>SUM('2024'!G47:Q47)</f>
        <v>189275396.38</v>
      </c>
      <c r="L47" s="161">
        <f t="shared" si="7"/>
        <v>51073699.740000039</v>
      </c>
      <c r="M47" s="165">
        <f t="shared" si="2"/>
        <v>0.26983802816855063</v>
      </c>
      <c r="N47" s="160">
        <f>'2025'!Q47</f>
        <v>25841448.77</v>
      </c>
      <c r="O47" s="160">
        <f>'2025'!Q123</f>
        <v>35294592.410000019</v>
      </c>
      <c r="P47" s="161">
        <f t="shared" si="6"/>
        <v>-9453143.6400000192</v>
      </c>
      <c r="Q47" s="163">
        <f t="shared" si="3"/>
        <v>-0.26783546697996885</v>
      </c>
      <c r="R47" s="160">
        <f>'2024'!Q47</f>
        <v>24234766.84</v>
      </c>
      <c r="S47" s="161">
        <f t="shared" si="4"/>
        <v>1606681.9299999997</v>
      </c>
      <c r="T47" s="165">
        <f t="shared" si="5"/>
        <v>6.6296570567707658E-2</v>
      </c>
      <c r="W47" s="470"/>
      <c r="Y47" s="470"/>
    </row>
    <row r="48" spans="1:25" hidden="1">
      <c r="A48" s="135">
        <v>451</v>
      </c>
      <c r="B48" s="565" t="str">
        <f>+VLOOKUP($A48,Master!$D$30:$G$226,4,FALSE)</f>
        <v>Pozajmice i krediti</v>
      </c>
      <c r="C48" s="566"/>
      <c r="D48" s="566"/>
      <c r="E48" s="566"/>
      <c r="F48" s="566"/>
      <c r="G48" s="148">
        <f>'2025'!S48</f>
        <v>0</v>
      </c>
      <c r="H48" s="148">
        <f>SUM('2025'!G124:Q124)</f>
        <v>0</v>
      </c>
      <c r="I48" s="149">
        <f>G48-H48</f>
        <v>0</v>
      </c>
      <c r="J48" s="266" t="str">
        <f t="shared" si="1"/>
        <v>...</v>
      </c>
      <c r="K48" s="148">
        <f>SUM('2024'!G48:Q48)</f>
        <v>0</v>
      </c>
      <c r="L48" s="263">
        <f t="shared" si="7"/>
        <v>0</v>
      </c>
      <c r="M48" s="561" t="str">
        <f t="shared" si="2"/>
        <v>...</v>
      </c>
      <c r="N48" s="148">
        <f>'2025'!Q48</f>
        <v>0</v>
      </c>
      <c r="O48" s="148">
        <f>'2025'!Q124</f>
        <v>0</v>
      </c>
      <c r="P48" s="149">
        <f t="shared" si="6"/>
        <v>0</v>
      </c>
      <c r="Q48" s="266" t="str">
        <f t="shared" si="3"/>
        <v>...</v>
      </c>
      <c r="R48" s="148">
        <f>'2024'!Q48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5" t="str">
        <f>+VLOOKUP($A49,Master!$D$30:$G$226,4,FALSE)</f>
        <v>Rezerve</v>
      </c>
      <c r="C49" s="566"/>
      <c r="D49" s="566"/>
      <c r="E49" s="566"/>
      <c r="F49" s="566"/>
      <c r="G49" s="148">
        <f>'2025'!S49</f>
        <v>4956828.21</v>
      </c>
      <c r="H49" s="148">
        <f>SUM('2025'!G125:Q125)</f>
        <v>11207448.879999999</v>
      </c>
      <c r="I49" s="149">
        <f t="shared" ref="I49:I50" si="8">G49-H49</f>
        <v>-6250620.669999999</v>
      </c>
      <c r="J49" s="267">
        <f t="shared" si="1"/>
        <v>-0.55772020349380347</v>
      </c>
      <c r="K49" s="148">
        <f>SUM('2024'!G49:Q49)</f>
        <v>23440393.640000001</v>
      </c>
      <c r="L49" s="264">
        <f t="shared" si="7"/>
        <v>-18483565.43</v>
      </c>
      <c r="M49" s="476">
        <f t="shared" si="2"/>
        <v>-0.78853477095446933</v>
      </c>
      <c r="N49" s="148">
        <f>'2025'!Q49</f>
        <v>263081.59999999998</v>
      </c>
      <c r="O49" s="148">
        <f>'2025'!Q125</f>
        <v>2452013.7000000002</v>
      </c>
      <c r="P49" s="149">
        <f t="shared" si="6"/>
        <v>-2188932.1</v>
      </c>
      <c r="Q49" s="267">
        <f t="shared" si="3"/>
        <v>-0.89270794041648305</v>
      </c>
      <c r="R49" s="148">
        <f>'2024'!Q49</f>
        <v>623337.71</v>
      </c>
      <c r="S49" s="264">
        <f t="shared" si="4"/>
        <v>-360256.11</v>
      </c>
      <c r="T49" s="476">
        <f t="shared" si="5"/>
        <v>-0.57794692061868036</v>
      </c>
      <c r="W49" s="470"/>
      <c r="Y49" s="470"/>
    </row>
    <row r="50" spans="1:25" ht="15.7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f>'2025'!S50</f>
        <v>4062322.96</v>
      </c>
      <c r="H50" s="148">
        <f>SUM('2025'!G126:Q126)</f>
        <v>4100003.5999999992</v>
      </c>
      <c r="I50" s="149">
        <f t="shared" si="8"/>
        <v>-37680.639999999199</v>
      </c>
      <c r="J50" s="268">
        <f t="shared" si="1"/>
        <v>-9.1903919303873982E-3</v>
      </c>
      <c r="K50" s="148">
        <f>SUM('2024'!G50:Q50)</f>
        <v>5849367.6699999999</v>
      </c>
      <c r="L50" s="264">
        <f t="shared" si="7"/>
        <v>-1787044.71</v>
      </c>
      <c r="M50" s="477">
        <f t="shared" si="2"/>
        <v>-0.30551075104499281</v>
      </c>
      <c r="N50" s="148">
        <f>'2025'!Q50</f>
        <v>0</v>
      </c>
      <c r="O50" s="148">
        <f>'2025'!Q126</f>
        <v>0.4</v>
      </c>
      <c r="P50" s="149">
        <f t="shared" si="6"/>
        <v>-0.4</v>
      </c>
      <c r="Q50" s="268">
        <f t="shared" si="3"/>
        <v>-1</v>
      </c>
      <c r="R50" s="148">
        <f>'2024'!Q50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3" t="str">
        <f>+VLOOKUP($A51,Master!$D$30:$G$226,4,FALSE)</f>
        <v>Otplata obaveza iz prethodnog perioda</v>
      </c>
      <c r="C51" s="584"/>
      <c r="D51" s="584"/>
      <c r="E51" s="584"/>
      <c r="F51" s="584"/>
      <c r="G51" s="295">
        <f>'2025'!S51</f>
        <v>24309093.620000005</v>
      </c>
      <c r="H51" s="295">
        <f>SUM('2025'!G127:Q127)</f>
        <v>21427395.920000002</v>
      </c>
      <c r="I51" s="265">
        <f>G51-H51</f>
        <v>2881697.700000003</v>
      </c>
      <c r="J51" s="269">
        <f t="shared" si="1"/>
        <v>0.13448660354057629</v>
      </c>
      <c r="K51" s="295">
        <f>SUM('2024'!G51:Q51)</f>
        <v>18287868.149999999</v>
      </c>
      <c r="L51" s="271">
        <f t="shared" si="7"/>
        <v>6021225.4700000063</v>
      </c>
      <c r="M51" s="478">
        <f t="shared" si="2"/>
        <v>0.32924698606819325</v>
      </c>
      <c r="N51" s="295">
        <f>'2025'!Q51</f>
        <v>1318918.7099999995</v>
      </c>
      <c r="O51" s="295">
        <f>'2025'!Q127</f>
        <v>1360765.2200000007</v>
      </c>
      <c r="P51" s="265">
        <f>N51-O51</f>
        <v>-41846.510000001173</v>
      </c>
      <c r="Q51" s="269">
        <f t="shared" si="3"/>
        <v>-3.0752189565810051E-2</v>
      </c>
      <c r="R51" s="295">
        <f>'2024'!Q51</f>
        <v>1087506.1600000001</v>
      </c>
      <c r="S51" s="271">
        <f>+N51-R51</f>
        <v>231412.54999999935</v>
      </c>
      <c r="T51" s="478">
        <f t="shared" si="5"/>
        <v>0.21279194409344715</v>
      </c>
      <c r="W51" s="470"/>
      <c r="Y51" s="470"/>
    </row>
    <row r="52" spans="1:25" ht="15.75" thickBot="1">
      <c r="A52" s="129">
        <v>1005</v>
      </c>
      <c r="B52" s="583" t="str">
        <f>+VLOOKUP($A52,Master!$D$30:$G$228,4,FALSE)</f>
        <v>Neto povećanje obaveza</v>
      </c>
      <c r="C52" s="584"/>
      <c r="D52" s="584"/>
      <c r="E52" s="584"/>
      <c r="F52" s="584"/>
      <c r="G52" s="148">
        <f>'2025'!S52</f>
        <v>0</v>
      </c>
      <c r="H52" s="148">
        <f>SUM('2025'!G128:Q128)</f>
        <v>0</v>
      </c>
      <c r="I52" s="265">
        <f>G52-H52</f>
        <v>0</v>
      </c>
      <c r="J52" s="269" t="str">
        <f t="shared" si="1"/>
        <v>...</v>
      </c>
      <c r="K52" s="148">
        <f>SUM('2024'!G52:Q52)</f>
        <v>0</v>
      </c>
      <c r="L52" s="271">
        <f t="shared" si="7"/>
        <v>0</v>
      </c>
      <c r="M52" s="478" t="str">
        <f t="shared" si="2"/>
        <v>...</v>
      </c>
      <c r="N52" s="148">
        <f>'2025'!Q52</f>
        <v>0</v>
      </c>
      <c r="O52" s="148">
        <f>'2025'!Q128</f>
        <v>0</v>
      </c>
      <c r="P52" s="265">
        <f>N52-O52</f>
        <v>0</v>
      </c>
      <c r="Q52" s="269" t="str">
        <f t="shared" si="3"/>
        <v>...</v>
      </c>
      <c r="R52" s="148">
        <f>'2024'!Q52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>'2025'!S53</f>
        <v>-178155934.67000031</v>
      </c>
      <c r="H53" s="136">
        <f>SUM('2025'!G129:Q129)</f>
        <v>-255854601.31572419</v>
      </c>
      <c r="I53" s="299">
        <f>+G53-H53</f>
        <v>77698666.645723879</v>
      </c>
      <c r="J53" s="270">
        <f t="shared" si="1"/>
        <v>-0.30368289741971</v>
      </c>
      <c r="K53" s="136">
        <f>SUM('2024'!G53:Q53)</f>
        <v>916456.39000031352</v>
      </c>
      <c r="L53" s="272">
        <f t="shared" si="7"/>
        <v>-179072391.06000063</v>
      </c>
      <c r="M53" s="479">
        <f t="shared" si="2"/>
        <v>-195.39652187916914</v>
      </c>
      <c r="N53" s="136">
        <f>'2025'!Q53</f>
        <v>-59349351.590000033</v>
      </c>
      <c r="O53" s="136">
        <f>'2025'!Q129</f>
        <v>-45712841.179270029</v>
      </c>
      <c r="P53" s="299">
        <f>N53-O53</f>
        <v>-13636510.410730004</v>
      </c>
      <c r="Q53" s="270">
        <f t="shared" si="3"/>
        <v>0.29830809153279936</v>
      </c>
      <c r="R53" s="136">
        <f>'2024'!Q53</f>
        <v>-76573381.25999999</v>
      </c>
      <c r="S53" s="272">
        <f t="shared" si="4"/>
        <v>17224029.669999957</v>
      </c>
      <c r="T53" s="479">
        <f t="shared" si="5"/>
        <v>-0.22493494980346851</v>
      </c>
      <c r="W53" s="470"/>
      <c r="Y53" s="470"/>
    </row>
    <row r="54" spans="1:25" ht="15.7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36">
        <f>'2025'!S54</f>
        <v>-43258465.650000304</v>
      </c>
      <c r="H54" s="136">
        <f>SUM('2025'!G130:Q130)</f>
        <v>-112333235.04572418</v>
      </c>
      <c r="I54" s="191">
        <f t="shared" si="0"/>
        <v>69074769.395723879</v>
      </c>
      <c r="J54" s="193">
        <f t="shared" si="1"/>
        <v>-0.61490946439499983</v>
      </c>
      <c r="K54" s="136">
        <f>SUM('2024'!G54:Q54)</f>
        <v>122986984.02000032</v>
      </c>
      <c r="L54" s="191">
        <f t="shared" si="7"/>
        <v>-166245449.67000061</v>
      </c>
      <c r="M54" s="195">
        <f t="shared" si="2"/>
        <v>-1.3517320633130214</v>
      </c>
      <c r="N54" s="136">
        <f>'2025'!Q54</f>
        <v>-51425932.510000035</v>
      </c>
      <c r="O54" s="136">
        <f>'2025'!Q130</f>
        <v>-31220695.61927003</v>
      </c>
      <c r="P54" s="191">
        <f t="shared" si="6"/>
        <v>-20205236.890730005</v>
      </c>
      <c r="Q54" s="193">
        <f t="shared" si="3"/>
        <v>0.64717446200202322</v>
      </c>
      <c r="R54" s="136">
        <f>'2024'!Q54</f>
        <v>-63485239.429999992</v>
      </c>
      <c r="S54" s="191">
        <f t="shared" si="4"/>
        <v>12059306.919999957</v>
      </c>
      <c r="T54" s="195">
        <f t="shared" si="5"/>
        <v>-0.18995450010544224</v>
      </c>
      <c r="W54" s="470"/>
      <c r="Y54" s="470"/>
    </row>
    <row r="55" spans="1:25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460">
        <f>'2025'!S55</f>
        <v>773574347.73000014</v>
      </c>
      <c r="H55" s="460">
        <f>SUM('2025'!G131:Q131)</f>
        <v>793828290.3599999</v>
      </c>
      <c r="I55" s="461">
        <f t="shared" si="0"/>
        <v>-20253942.629999757</v>
      </c>
      <c r="J55" s="462">
        <f t="shared" si="1"/>
        <v>-2.5514261554995254E-2</v>
      </c>
      <c r="K55" s="460">
        <f>SUM('2024'!G55:Q55)</f>
        <v>459006290.05000007</v>
      </c>
      <c r="L55" s="461">
        <f t="shared" si="7"/>
        <v>314568057.68000007</v>
      </c>
      <c r="M55" s="480">
        <f t="shared" si="2"/>
        <v>0.68532406744520613</v>
      </c>
      <c r="N55" s="460">
        <f>'2025'!Q55</f>
        <v>24725000.399999995</v>
      </c>
      <c r="O55" s="460">
        <f>'2025'!Q131</f>
        <v>8450028.0999999996</v>
      </c>
      <c r="P55" s="461">
        <f t="shared" si="6"/>
        <v>16274972.299999995</v>
      </c>
      <c r="Q55" s="462">
        <f t="shared" si="3"/>
        <v>1.9260258199614739</v>
      </c>
      <c r="R55" s="460">
        <f>'2024'!Q55</f>
        <v>56807840.910000004</v>
      </c>
      <c r="S55" s="461">
        <f t="shared" si="4"/>
        <v>-32082840.510000009</v>
      </c>
      <c r="T55" s="480">
        <f t="shared" si="5"/>
        <v>-0.56476077942881997</v>
      </c>
      <c r="W55" s="470"/>
      <c r="Y55" s="470"/>
    </row>
    <row r="56" spans="1:25">
      <c r="A56" s="129">
        <v>4611</v>
      </c>
      <c r="B56" s="565" t="str">
        <f>+VLOOKUP($A56,Master!$D$30:$G$226,4,FALSE)</f>
        <v>Otplata hartija od vrijednosti i kredita rezidentima</v>
      </c>
      <c r="C56" s="566"/>
      <c r="D56" s="566"/>
      <c r="E56" s="566"/>
      <c r="F56" s="566"/>
      <c r="G56" s="148">
        <f>'2025'!S56</f>
        <v>41043058.990000002</v>
      </c>
      <c r="H56" s="148">
        <f>SUM('2025'!G132:Q132)</f>
        <v>41054905.18</v>
      </c>
      <c r="I56" s="197">
        <f t="shared" si="0"/>
        <v>-11846.189999997616</v>
      </c>
      <c r="J56" s="199">
        <f t="shared" si="1"/>
        <v>-2.8854505808895148E-4</v>
      </c>
      <c r="K56" s="148">
        <f>SUM('2024'!G56:Q56)</f>
        <v>193521769.00000003</v>
      </c>
      <c r="L56" s="197">
        <f t="shared" si="7"/>
        <v>-152478710.01000002</v>
      </c>
      <c r="M56" s="201">
        <f t="shared" si="2"/>
        <v>-0.78791502784371514</v>
      </c>
      <c r="N56" s="148">
        <f>'2025'!Q56</f>
        <v>2864397.9</v>
      </c>
      <c r="O56" s="148">
        <f>'2025'!Q132</f>
        <v>2865405.01</v>
      </c>
      <c r="P56" s="197">
        <f t="shared" si="6"/>
        <v>-1007.1099999998696</v>
      </c>
      <c r="Q56" s="199">
        <f t="shared" si="3"/>
        <v>-3.5147212924002691E-4</v>
      </c>
      <c r="R56" s="148">
        <f>'2024'!Q56</f>
        <v>9977859.9299999997</v>
      </c>
      <c r="S56" s="197">
        <f t="shared" si="4"/>
        <v>-7113462.0299999993</v>
      </c>
      <c r="T56" s="201">
        <f t="shared" si="5"/>
        <v>-0.71292462310602911</v>
      </c>
      <c r="W56" s="470"/>
      <c r="Y56" s="470"/>
    </row>
    <row r="57" spans="1:25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48">
        <f>'2025'!S57</f>
        <v>732531288.74000001</v>
      </c>
      <c r="H57" s="148">
        <f>SUM('2025'!G133:Q133)</f>
        <v>752773385.17999995</v>
      </c>
      <c r="I57" s="197">
        <f t="shared" si="0"/>
        <v>-20242096.439999938</v>
      </c>
      <c r="J57" s="199">
        <f t="shared" si="1"/>
        <v>-2.6890026717880988E-2</v>
      </c>
      <c r="K57" s="148">
        <f>SUM('2024'!G57:Q57)</f>
        <v>265484521.05000001</v>
      </c>
      <c r="L57" s="197">
        <f t="shared" si="7"/>
        <v>467046767.69</v>
      </c>
      <c r="M57" s="201">
        <f t="shared" si="2"/>
        <v>1.7592241003084275</v>
      </c>
      <c r="N57" s="148">
        <f>'2025'!Q57</f>
        <v>21860602.499999996</v>
      </c>
      <c r="O57" s="148">
        <f>'2025'!Q133</f>
        <v>5584623.0899999999</v>
      </c>
      <c r="P57" s="197">
        <f t="shared" si="6"/>
        <v>16275979.409999996</v>
      </c>
      <c r="Q57" s="199" t="str">
        <f t="shared" si="3"/>
        <v>...</v>
      </c>
      <c r="R57" s="148">
        <f>'2024'!Q57</f>
        <v>46829980.980000004</v>
      </c>
      <c r="S57" s="197">
        <f t="shared" si="4"/>
        <v>-24969378.480000008</v>
      </c>
      <c r="T57" s="201">
        <f t="shared" si="5"/>
        <v>-0.53319215505690365</v>
      </c>
      <c r="W57" s="470"/>
      <c r="Y57" s="470"/>
    </row>
    <row r="58" spans="1:25" ht="15.75" thickBot="1">
      <c r="A58" s="129">
        <v>4418</v>
      </c>
      <c r="B58" s="593" t="str">
        <f>+VLOOKUP($A58,Master!$D$30:$G$226,4,FALSE)</f>
        <v>Izdaci za kupovinu hartija od vrijednosti</v>
      </c>
      <c r="C58" s="594"/>
      <c r="D58" s="594"/>
      <c r="E58" s="594"/>
      <c r="F58" s="594"/>
      <c r="G58" s="313">
        <f>'2025'!S58</f>
        <v>1485557.54</v>
      </c>
      <c r="H58" s="313">
        <f>SUM('2025'!G134:Q134)</f>
        <v>30774547.400000006</v>
      </c>
      <c r="I58" s="314">
        <f t="shared" ref="I58:I66" si="9">+G58-H58</f>
        <v>-29288989.860000007</v>
      </c>
      <c r="J58" s="315">
        <f t="shared" si="1"/>
        <v>-0.9517277209412347</v>
      </c>
      <c r="K58" s="313">
        <f>SUM('2024'!G58:Q58)</f>
        <v>3269563.45</v>
      </c>
      <c r="L58" s="314">
        <f t="shared" ref="L58:L66" si="10">+G58-K58</f>
        <v>-1784005.9100000001</v>
      </c>
      <c r="M58" s="481">
        <f t="shared" si="2"/>
        <v>-0.5456404004026898</v>
      </c>
      <c r="N58" s="313">
        <f>'2025'!Q58</f>
        <v>0</v>
      </c>
      <c r="O58" s="313">
        <f>'2025'!Q134</f>
        <v>3427386.85</v>
      </c>
      <c r="P58" s="314">
        <f t="shared" ref="P58:P66" si="11">+N58-O58</f>
        <v>-3427386.85</v>
      </c>
      <c r="Q58" s="315">
        <f t="shared" si="3"/>
        <v>-1</v>
      </c>
      <c r="R58" s="313">
        <f>'2024'!Q58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313">
        <f>'2025'!S59</f>
        <v>8357868.5</v>
      </c>
      <c r="H59" s="313">
        <f>SUM('2025'!G135:Q135)</f>
        <v>6876006.3999999985</v>
      </c>
      <c r="I59" s="314">
        <f t="shared" si="9"/>
        <v>1481862.1000000015</v>
      </c>
      <c r="J59" s="315">
        <f t="shared" si="1"/>
        <v>0.21551203035529487</v>
      </c>
      <c r="K59" s="313">
        <f>SUM('2024'!G59:Q59)</f>
        <v>7825917.5500000007</v>
      </c>
      <c r="L59" s="314">
        <f t="shared" si="10"/>
        <v>531950.94999999925</v>
      </c>
      <c r="M59" s="481">
        <f t="shared" si="2"/>
        <v>6.7972981647372421E-2</v>
      </c>
      <c r="N59" s="313">
        <f>'2025'!Q59</f>
        <v>280526.68</v>
      </c>
      <c r="O59" s="313">
        <f>'2025'!Q135</f>
        <v>624001.6</v>
      </c>
      <c r="P59" s="314">
        <f t="shared" si="11"/>
        <v>-343474.92</v>
      </c>
      <c r="Q59" s="315">
        <f t="shared" si="3"/>
        <v>-0.55043916554060113</v>
      </c>
      <c r="R59" s="313">
        <f>'2024'!Q59</f>
        <v>341504.15</v>
      </c>
      <c r="S59" s="314">
        <f t="shared" si="12"/>
        <v>-60977.47000000003</v>
      </c>
      <c r="T59" s="481">
        <f t="shared" si="5"/>
        <v>-0.17855557538612643</v>
      </c>
      <c r="W59" s="470"/>
      <c r="Y59" s="470"/>
    </row>
    <row r="60" spans="1:25" ht="15.7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98">
        <f>'2025'!S60</f>
        <v>-961573708.44000041</v>
      </c>
      <c r="H60" s="298">
        <f>SUM('2025'!G136:Q136)</f>
        <v>-1087333445.4757242</v>
      </c>
      <c r="I60" s="300">
        <f t="shared" si="9"/>
        <v>125759737.03572381</v>
      </c>
      <c r="J60" s="301">
        <f t="shared" si="1"/>
        <v>-0.11565885107185503</v>
      </c>
      <c r="K60" s="298">
        <f>SUM('2024'!G60:Q60)</f>
        <v>-469185314.65999973</v>
      </c>
      <c r="L60" s="300">
        <f>+G60-K60</f>
        <v>-492388393.78000069</v>
      </c>
      <c r="M60" s="482">
        <f t="shared" si="2"/>
        <v>1.0494539756360775</v>
      </c>
      <c r="N60" s="298">
        <f>'2025'!Q60</f>
        <v>-84354878.670000032</v>
      </c>
      <c r="O60" s="298">
        <f>'2025'!Q136</f>
        <v>-58214257.729270034</v>
      </c>
      <c r="P60" s="300">
        <f t="shared" si="11"/>
        <v>-26140620.940729998</v>
      </c>
      <c r="Q60" s="301">
        <f t="shared" si="3"/>
        <v>0.44904155717829486</v>
      </c>
      <c r="R60" s="298">
        <f>'2024'!Q60</f>
        <v>-133722726.31999999</v>
      </c>
      <c r="S60" s="300">
        <f t="shared" si="12"/>
        <v>49367847.649999961</v>
      </c>
      <c r="T60" s="482">
        <f t="shared" si="5"/>
        <v>-0.36918068460451625</v>
      </c>
      <c r="W60" s="470"/>
      <c r="Y60" s="470"/>
    </row>
    <row r="61" spans="1:25" ht="15.7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'2025'!S61</f>
        <v>961573708.44000041</v>
      </c>
      <c r="H61" s="136">
        <f>SUM('2025'!G137:Q137)</f>
        <v>1087333445.4757242</v>
      </c>
      <c r="I61" s="299">
        <f t="shared" si="9"/>
        <v>-125759737.03572381</v>
      </c>
      <c r="J61" s="302">
        <f t="shared" si="1"/>
        <v>-0.11565885107185503</v>
      </c>
      <c r="K61" s="136">
        <f>SUM('2024'!G61:Q61)</f>
        <v>469185314.65999973</v>
      </c>
      <c r="L61" s="299">
        <f t="shared" si="10"/>
        <v>492388393.78000069</v>
      </c>
      <c r="M61" s="483">
        <f t="shared" si="2"/>
        <v>1.0494539756360775</v>
      </c>
      <c r="N61" s="136">
        <f>'2025'!Q61</f>
        <v>84354878.670000032</v>
      </c>
      <c r="O61" s="136">
        <f>'2025'!Q137</f>
        <v>58214257.729270034</v>
      </c>
      <c r="P61" s="300">
        <f t="shared" si="11"/>
        <v>26140620.940729998</v>
      </c>
      <c r="Q61" s="302">
        <f t="shared" si="3"/>
        <v>0.44904155717829486</v>
      </c>
      <c r="R61" s="136">
        <f>'2024'!Q61</f>
        <v>133722726.31999999</v>
      </c>
      <c r="S61" s="299">
        <f t="shared" si="12"/>
        <v>-49367847.649999961</v>
      </c>
      <c r="T61" s="483">
        <f t="shared" si="5"/>
        <v>-0.36918068460451625</v>
      </c>
      <c r="W61" s="470"/>
      <c r="Y61" s="470"/>
    </row>
    <row r="62" spans="1:25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48">
        <f>'2025'!S62</f>
        <v>6127675</v>
      </c>
      <c r="H62" s="148">
        <f>SUM('2025'!G138:Q138)</f>
        <v>115000000</v>
      </c>
      <c r="I62" s="197">
        <f t="shared" si="9"/>
        <v>-108872325</v>
      </c>
      <c r="J62" s="199">
        <f t="shared" si="1"/>
        <v>-0.94671586956521736</v>
      </c>
      <c r="K62" s="148">
        <f>SUM('2024'!G62:Q62)</f>
        <v>0</v>
      </c>
      <c r="L62" s="197">
        <f t="shared" si="10"/>
        <v>6127675</v>
      </c>
      <c r="M62" s="201" t="str">
        <f>IF(+IF(ISERROR(G62/K62),"…",G62/K62-1)&gt;200%,"...",IF(ISERROR(G62/K62),"…",G62/K62-1))</f>
        <v>...</v>
      </c>
      <c r="N62" s="148">
        <f>'2025'!Q62</f>
        <v>0</v>
      </c>
      <c r="O62" s="148">
        <f>'2025'!Q138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'2024'!Q62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148">
        <f>'2025'!S63</f>
        <v>957766653.8900001</v>
      </c>
      <c r="H63" s="148">
        <f>SUM('2025'!G139:Q139)</f>
        <v>770014118.59000003</v>
      </c>
      <c r="I63" s="197">
        <f t="shared" si="9"/>
        <v>187752535.30000007</v>
      </c>
      <c r="J63" s="199">
        <f t="shared" si="1"/>
        <v>0.2438299906030299</v>
      </c>
      <c r="K63" s="148">
        <f>SUM('2024'!G63:Q63)</f>
        <v>733252152.07999992</v>
      </c>
      <c r="L63" s="197">
        <f t="shared" si="10"/>
        <v>224514501.81000018</v>
      </c>
      <c r="M63" s="201">
        <f t="shared" si="2"/>
        <v>0.30619003459195437</v>
      </c>
      <c r="N63" s="148">
        <f>'2025'!Q63</f>
        <v>6776325.3499999996</v>
      </c>
      <c r="O63" s="148">
        <f>'2025'!Q139</f>
        <v>0</v>
      </c>
      <c r="P63" s="197">
        <f t="shared" si="11"/>
        <v>6776325.3499999996</v>
      </c>
      <c r="Q63" s="199" t="str">
        <f t="shared" si="3"/>
        <v>...</v>
      </c>
      <c r="R63" s="148">
        <f>'2024'!Q63</f>
        <v>10223360.919999996</v>
      </c>
      <c r="S63" s="197">
        <f t="shared" si="12"/>
        <v>-3447035.5699999966</v>
      </c>
      <c r="T63" s="201">
        <f t="shared" si="5"/>
        <v>-0.33717244230872734</v>
      </c>
      <c r="W63" s="470"/>
      <c r="Y63" s="470"/>
    </row>
    <row r="64" spans="1:25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48">
        <f>'2025'!S64</f>
        <v>4966695.24</v>
      </c>
      <c r="H64" s="148">
        <f>SUM('2025'!G140:Q140)</f>
        <v>5500000</v>
      </c>
      <c r="I64" s="197">
        <f t="shared" si="9"/>
        <v>-533304.75999999978</v>
      </c>
      <c r="J64" s="199">
        <f t="shared" si="1"/>
        <v>-9.6964501818181725E-2</v>
      </c>
      <c r="K64" s="148">
        <f>SUM('2024'!G64:Q64)</f>
        <v>1839626.2000000002</v>
      </c>
      <c r="L64" s="197">
        <f t="shared" si="10"/>
        <v>3127069.04</v>
      </c>
      <c r="M64" s="201">
        <f t="shared" si="2"/>
        <v>1.6998393695414862</v>
      </c>
      <c r="N64" s="148">
        <f>'2025'!Q64</f>
        <v>3374180.95</v>
      </c>
      <c r="O64" s="148">
        <f>'2025'!Q140</f>
        <v>500000</v>
      </c>
      <c r="P64" s="197">
        <f t="shared" si="11"/>
        <v>2874180.95</v>
      </c>
      <c r="Q64" s="199" t="str">
        <f t="shared" si="3"/>
        <v>...</v>
      </c>
      <c r="R64" s="148">
        <f>'2024'!Q64</f>
        <v>142869.78000000003</v>
      </c>
      <c r="S64" s="197">
        <f t="shared" si="12"/>
        <v>3231311.17</v>
      </c>
      <c r="T64" s="201" t="str">
        <f t="shared" si="5"/>
        <v>...</v>
      </c>
      <c r="W64" s="470"/>
      <c r="Y64" s="470"/>
    </row>
    <row r="65" spans="1:25">
      <c r="A65" s="129">
        <v>73</v>
      </c>
      <c r="B65" s="565" t="str">
        <f>+VLOOKUP($A65,Master!$D$30:$G$226,4,FALSE)</f>
        <v>Primici od otplate kredita i sredstva prenesena iz prethodne godine</v>
      </c>
      <c r="C65" s="566"/>
      <c r="D65" s="566"/>
      <c r="E65" s="566"/>
      <c r="F65" s="566"/>
      <c r="G65" s="148">
        <f>'2025'!S65</f>
        <v>17353079.27</v>
      </c>
      <c r="H65" s="148">
        <f>SUM('2025'!G141:Q141)</f>
        <v>7595852.4582959246</v>
      </c>
      <c r="I65" s="197">
        <f t="shared" si="9"/>
        <v>9757226.811704075</v>
      </c>
      <c r="J65" s="199">
        <f t="shared" si="1"/>
        <v>1.2845466476968723</v>
      </c>
      <c r="K65" s="148">
        <f>SUM('2024'!G65:Q65)</f>
        <v>17435034.379999999</v>
      </c>
      <c r="L65" s="197">
        <f t="shared" si="10"/>
        <v>-81955.109999999404</v>
      </c>
      <c r="M65" s="201">
        <f t="shared" si="2"/>
        <v>-4.7005992769370009E-3</v>
      </c>
      <c r="N65" s="148">
        <f>'2025'!Q65</f>
        <v>704735.70000000007</v>
      </c>
      <c r="O65" s="148">
        <f>'2025'!Q141</f>
        <v>1703592.4757162347</v>
      </c>
      <c r="P65" s="197">
        <f t="shared" si="11"/>
        <v>-998856.77571623458</v>
      </c>
      <c r="Q65" s="199">
        <f t="shared" si="3"/>
        <v>-0.58632377751979048</v>
      </c>
      <c r="R65" s="148">
        <f>'2024'!Q65</f>
        <v>2340019.9500000002</v>
      </c>
      <c r="S65" s="197">
        <f t="shared" si="12"/>
        <v>-1635284.25</v>
      </c>
      <c r="T65" s="201">
        <f>IF(+IF(ISERROR(N65/R65),"…",N65/R65-1)&gt;200%,"...",IF(ISERROR(N65/R65),"…",N65/R65-1))</f>
        <v>-0.69883346507366317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-24640394.959999681</v>
      </c>
      <c r="H66" s="296">
        <f>SUM('2025'!G142:Q142)</f>
        <v>189223474.42742828</v>
      </c>
      <c r="I66" s="211">
        <f t="shared" si="9"/>
        <v>-213863869.38742796</v>
      </c>
      <c r="J66" s="213">
        <f t="shared" si="1"/>
        <v>-1.1302184891941083</v>
      </c>
      <c r="K66" s="296">
        <f>SUM('2024'!G66:Q66)</f>
        <v>-283341498.00000036</v>
      </c>
      <c r="L66" s="211">
        <f t="shared" si="10"/>
        <v>258701103.04000068</v>
      </c>
      <c r="M66" s="215">
        <f t="shared" si="2"/>
        <v>-0.9130364061250229</v>
      </c>
      <c r="N66" s="296">
        <f>'2025'!Q66</f>
        <v>73499636.670000032</v>
      </c>
      <c r="O66" s="296">
        <f>'2025'!Q142</f>
        <v>56010665.2535538</v>
      </c>
      <c r="P66" s="211">
        <f t="shared" si="11"/>
        <v>17488971.416446231</v>
      </c>
      <c r="Q66" s="213">
        <f t="shared" si="3"/>
        <v>0.31224359391690282</v>
      </c>
      <c r="R66" s="296">
        <f>'2024'!Q66</f>
        <v>121016475.67</v>
      </c>
      <c r="S66" s="211">
        <f t="shared" si="12"/>
        <v>-47516838.99999997</v>
      </c>
      <c r="T66" s="215">
        <f t="shared" si="5"/>
        <v>-0.39264768484560486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m9g3qwWEXn7T32fNAcYzxR4jxxnGsMyuagycWoZtiiILyE+r+aW1e2ArsFHUgziJCU/CxGQccLfU5v0V2vuLwQ==" saltValue="Xk5+yYTpmUESJCZK8sC+vA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2024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7459213000</v>
      </c>
    </row>
    <row r="8" spans="1:24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4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9" t="s">
        <v>101</v>
      </c>
      <c r="C65" s="600"/>
      <c r="D65" s="600"/>
      <c r="E65" s="600"/>
      <c r="F65" s="600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2024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7279700000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B6" sqref="B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2025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8124700000</v>
      </c>
    </row>
    <row r="8" spans="1:23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3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513">
        <f>G11+G19+G24+G25+G26+G27+G28</f>
        <v>156749922.07999998</v>
      </c>
      <c r="H10" s="513">
        <f t="shared" ref="H10:L10" si="1">+H11+H19+SUM(H24:H28)</f>
        <v>178347064.72</v>
      </c>
      <c r="I10" s="513">
        <f t="shared" si="1"/>
        <v>245354294.28999996</v>
      </c>
      <c r="J10" s="513">
        <f t="shared" si="1"/>
        <v>317119220.47000003</v>
      </c>
      <c r="K10" s="513">
        <f t="shared" si="1"/>
        <v>199481984.05999997</v>
      </c>
      <c r="L10" s="513">
        <f t="shared" si="1"/>
        <v>225904199.02999997</v>
      </c>
      <c r="M10" s="513">
        <f t="shared" ref="M10:R10" si="2">+M11+M19+SUM(M24:M28)</f>
        <v>256796187.44</v>
      </c>
      <c r="N10" s="513">
        <f t="shared" si="2"/>
        <v>260029283.83000001</v>
      </c>
      <c r="O10" s="513">
        <f t="shared" si="2"/>
        <v>261847763.21000001</v>
      </c>
      <c r="P10" s="513">
        <f t="shared" si="2"/>
        <v>245574993.57999998</v>
      </c>
      <c r="Q10" s="513">
        <f t="shared" si="2"/>
        <v>196123650.28</v>
      </c>
      <c r="R10" s="513">
        <f t="shared" si="2"/>
        <v>0</v>
      </c>
      <c r="S10" s="514">
        <f>+SUM(G10:R10)</f>
        <v>2543328562.9900002</v>
      </c>
      <c r="T10" s="515">
        <f>+S10/$T$7*100</f>
        <v>31.30366121813729</v>
      </c>
    </row>
    <row r="11" spans="1:23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208690353.47999999</v>
      </c>
      <c r="O11" s="516">
        <f t="shared" si="4"/>
        <v>211153557.13</v>
      </c>
      <c r="P11" s="516">
        <f t="shared" si="4"/>
        <v>193702062.08000001</v>
      </c>
      <c r="Q11" s="516">
        <f t="shared" si="4"/>
        <v>154846007.13</v>
      </c>
      <c r="R11" s="517">
        <f t="shared" si="4"/>
        <v>0</v>
      </c>
      <c r="S11" s="518">
        <f>+SUM(G11:R11)</f>
        <v>2042079026.8900003</v>
      </c>
      <c r="T11" s="519">
        <f t="shared" ref="T11:T66" si="5">+S11/$T$7*100</f>
        <v>25.134208363262651</v>
      </c>
    </row>
    <row r="12" spans="1:23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>
        <v>9900438.5999999996</v>
      </c>
      <c r="N12" s="148">
        <v>9648119.4199999999</v>
      </c>
      <c r="O12" s="148">
        <v>11794721.619999999</v>
      </c>
      <c r="P12" s="148">
        <v>7543936.3200000003</v>
      </c>
      <c r="Q12" s="148">
        <v>9039647.1199999992</v>
      </c>
      <c r="R12" s="148"/>
      <c r="S12" s="227">
        <f>+SUM(G12:R12)</f>
        <v>94512152.719999999</v>
      </c>
      <c r="T12" s="436">
        <f t="shared" si="5"/>
        <v>1.1632694465026401</v>
      </c>
    </row>
    <row r="13" spans="1:23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>
        <v>5773713.3300000001</v>
      </c>
      <c r="N13" s="148">
        <v>2926004.8</v>
      </c>
      <c r="O13" s="148">
        <v>3732962.04</v>
      </c>
      <c r="P13" s="148">
        <v>4156533.98</v>
      </c>
      <c r="Q13" s="148">
        <v>3525815.43</v>
      </c>
      <c r="R13" s="148"/>
      <c r="S13" s="227">
        <f t="shared" ref="S13:S65" si="6">+SUM(G13:R13)</f>
        <v>230229474.87</v>
      </c>
      <c r="T13" s="436">
        <f t="shared" si="5"/>
        <v>2.8336981657168878</v>
      </c>
      <c r="V13" s="276"/>
      <c r="W13" s="494"/>
    </row>
    <row r="14" spans="1:23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>
        <v>136015036.31999999</v>
      </c>
      <c r="N15" s="148">
        <v>142252517.13</v>
      </c>
      <c r="O15" s="148">
        <v>149853557.13</v>
      </c>
      <c r="P15" s="148">
        <v>134545730.12</v>
      </c>
      <c r="Q15" s="148">
        <v>107592791.44</v>
      </c>
      <c r="R15" s="148"/>
      <c r="S15" s="227">
        <f t="shared" si="6"/>
        <v>1272318508.7200003</v>
      </c>
      <c r="T15" s="436">
        <f t="shared" si="5"/>
        <v>15.659882933769865</v>
      </c>
      <c r="V15" s="276"/>
      <c r="W15" s="494"/>
    </row>
    <row r="16" spans="1:23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>
        <v>41468885</v>
      </c>
      <c r="N16" s="148">
        <v>46239123.810000002</v>
      </c>
      <c r="O16" s="148">
        <v>38081379.990000002</v>
      </c>
      <c r="P16" s="148">
        <v>39650532.630000003</v>
      </c>
      <c r="Q16" s="148">
        <v>28400492.25</v>
      </c>
      <c r="R16" s="148"/>
      <c r="S16" s="227">
        <f t="shared" si="6"/>
        <v>366702201.70999998</v>
      </c>
      <c r="T16" s="436">
        <f t="shared" si="5"/>
        <v>4.5134245167206171</v>
      </c>
      <c r="V16" s="276"/>
      <c r="W16" s="494"/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>
        <v>7389935.04</v>
      </c>
      <c r="N17" s="148">
        <v>6176594.8899999997</v>
      </c>
      <c r="O17" s="148">
        <v>6435243.1500000004</v>
      </c>
      <c r="P17" s="148">
        <v>6274901.9400000004</v>
      </c>
      <c r="Q17" s="148">
        <v>4834041.2</v>
      </c>
      <c r="R17" s="148"/>
      <c r="S17" s="227">
        <f t="shared" si="6"/>
        <v>63418491.580000006</v>
      </c>
      <c r="T17" s="436">
        <f t="shared" si="5"/>
        <v>0.78056410181299007</v>
      </c>
      <c r="V17" s="276"/>
      <c r="W17" s="494"/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>
        <v>1704127.34</v>
      </c>
      <c r="N18" s="148">
        <v>1447993.43</v>
      </c>
      <c r="O18" s="148">
        <v>1255693.2</v>
      </c>
      <c r="P18" s="148">
        <v>1530427.09</v>
      </c>
      <c r="Q18" s="148">
        <v>1453219.69</v>
      </c>
      <c r="R18" s="148"/>
      <c r="S18" s="227">
        <f t="shared" si="6"/>
        <v>14898197.289999999</v>
      </c>
      <c r="T18" s="436">
        <f t="shared" si="5"/>
        <v>0.18336919873964577</v>
      </c>
      <c r="V18" s="276"/>
      <c r="W18" s="494"/>
    </row>
    <row r="19" spans="1:23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34931492.049999997</v>
      </c>
      <c r="N19" s="520">
        <f t="shared" si="7"/>
        <v>36620901.300000004</v>
      </c>
      <c r="O19" s="520">
        <f t="shared" si="7"/>
        <v>35020872.800000004</v>
      </c>
      <c r="P19" s="520">
        <f t="shared" si="7"/>
        <v>34596670.239999995</v>
      </c>
      <c r="Q19" s="520">
        <f t="shared" si="7"/>
        <v>30961281.810000002</v>
      </c>
      <c r="R19" s="520">
        <f t="shared" si="7"/>
        <v>0</v>
      </c>
      <c r="S19" s="521">
        <f t="shared" si="6"/>
        <v>356210941.31</v>
      </c>
      <c r="T19" s="522">
        <f t="shared" si="5"/>
        <v>4.3842965439954709</v>
      </c>
      <c r="V19" s="276"/>
      <c r="W19" s="494"/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>
        <v>29314001.120000001</v>
      </c>
      <c r="N20" s="148">
        <v>30908485.440000001</v>
      </c>
      <c r="O20" s="148">
        <v>29269872.190000001</v>
      </c>
      <c r="P20" s="148">
        <v>28683629.949999999</v>
      </c>
      <c r="Q20" s="148">
        <v>25906266.57</v>
      </c>
      <c r="R20" s="148"/>
      <c r="S20" s="227">
        <f>+SUM(G20:R20)</f>
        <v>299482251.25999999</v>
      </c>
      <c r="T20" s="436">
        <f t="shared" si="5"/>
        <v>3.6860715012246601</v>
      </c>
      <c r="V20" s="276"/>
      <c r="W20" s="494"/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>
        <v>514025.99</v>
      </c>
      <c r="N21" s="148">
        <v>478138.37</v>
      </c>
      <c r="O21" s="148">
        <v>536571.03</v>
      </c>
      <c r="P21" s="148">
        <v>591623.41</v>
      </c>
      <c r="Q21" s="148">
        <v>423550.17</v>
      </c>
      <c r="R21" s="148"/>
      <c r="S21" s="227">
        <f t="shared" si="6"/>
        <v>6193166.4300000006</v>
      </c>
      <c r="T21" s="436">
        <f t="shared" si="5"/>
        <v>7.6226401344049635E-2</v>
      </c>
      <c r="V21" s="276"/>
      <c r="W21" s="494"/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>
        <v>2992596.32</v>
      </c>
      <c r="N22" s="148">
        <v>3041994</v>
      </c>
      <c r="O22" s="148">
        <v>3032409.41</v>
      </c>
      <c r="P22" s="148">
        <v>3092583.31</v>
      </c>
      <c r="Q22" s="148">
        <v>2699467.23</v>
      </c>
      <c r="R22" s="148"/>
      <c r="S22" s="227">
        <f t="shared" si="6"/>
        <v>29537925.59</v>
      </c>
      <c r="T22" s="436">
        <f t="shared" si="5"/>
        <v>0.36355712321685724</v>
      </c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>
        <v>2110868.62</v>
      </c>
      <c r="N23" s="148">
        <v>2192283.4900000002</v>
      </c>
      <c r="O23" s="148">
        <v>2182020.17</v>
      </c>
      <c r="P23" s="148">
        <v>2228833.5699999998</v>
      </c>
      <c r="Q23" s="148">
        <v>1931997.84</v>
      </c>
      <c r="R23" s="148"/>
      <c r="S23" s="227">
        <f t="shared" si="6"/>
        <v>20997598.030000001</v>
      </c>
      <c r="T23" s="436">
        <f t="shared" si="5"/>
        <v>0.25844151820990319</v>
      </c>
      <c r="V23" s="495"/>
      <c r="W23" s="494"/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876568.74</v>
      </c>
      <c r="H24" s="160">
        <v>1052557.3699999999</v>
      </c>
      <c r="I24" s="160">
        <v>1107384.3999999999</v>
      </c>
      <c r="J24" s="160">
        <v>1282834.46</v>
      </c>
      <c r="K24" s="160">
        <v>1223227.82</v>
      </c>
      <c r="L24" s="523">
        <v>1517861.18</v>
      </c>
      <c r="M24" s="523">
        <v>1891582.0999999999</v>
      </c>
      <c r="N24" s="523">
        <v>1783600.39</v>
      </c>
      <c r="O24" s="523">
        <v>1687187.6400000001</v>
      </c>
      <c r="P24" s="523">
        <v>1626186.0899999999</v>
      </c>
      <c r="Q24" s="523">
        <v>1247965.6300000001</v>
      </c>
      <c r="R24" s="523"/>
      <c r="S24" s="521">
        <f t="shared" si="6"/>
        <v>15296955.820000002</v>
      </c>
      <c r="T24" s="522">
        <f t="shared" si="5"/>
        <v>0.18827717724962156</v>
      </c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>
        <v>6884049.8699999992</v>
      </c>
      <c r="N25" s="523">
        <v>6686850.2999999998</v>
      </c>
      <c r="O25" s="523">
        <v>7408352.6699999999</v>
      </c>
      <c r="P25" s="523">
        <v>7790053.5899999999</v>
      </c>
      <c r="Q25" s="523">
        <v>5619437.5199999996</v>
      </c>
      <c r="R25" s="523"/>
      <c r="S25" s="521">
        <f t="shared" si="6"/>
        <v>65806441.049999997</v>
      </c>
      <c r="T25" s="522">
        <f t="shared" si="5"/>
        <v>0.8099553343508068</v>
      </c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2283978</v>
      </c>
      <c r="H26" s="160">
        <v>2933440.11</v>
      </c>
      <c r="I26" s="160">
        <v>2894196.9999999995</v>
      </c>
      <c r="J26" s="160">
        <v>8456385.3900000006</v>
      </c>
      <c r="K26" s="160">
        <v>3041498.58</v>
      </c>
      <c r="L26" s="523">
        <v>4108450.7699999996</v>
      </c>
      <c r="M26" s="523">
        <v>7202667.7500000009</v>
      </c>
      <c r="N26" s="523">
        <v>3897204.77</v>
      </c>
      <c r="O26" s="523">
        <v>4916176.8600000003</v>
      </c>
      <c r="P26" s="523">
        <v>3381208.37</v>
      </c>
      <c r="Q26" s="523">
        <v>2629682.48</v>
      </c>
      <c r="R26" s="523"/>
      <c r="S26" s="521">
        <f t="shared" si="6"/>
        <v>45744890.079999991</v>
      </c>
      <c r="T26" s="522">
        <f t="shared" si="5"/>
        <v>0.5630348207318423</v>
      </c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0</v>
      </c>
      <c r="H28" s="160">
        <v>852850.11</v>
      </c>
      <c r="I28" s="160">
        <v>2017857.46</v>
      </c>
      <c r="J28" s="160">
        <v>603018.02</v>
      </c>
      <c r="K28" s="160">
        <v>723468.79</v>
      </c>
      <c r="L28" s="523">
        <v>1048774.8</v>
      </c>
      <c r="M28" s="523">
        <v>3634260.04</v>
      </c>
      <c r="N28" s="523">
        <v>2350373.59</v>
      </c>
      <c r="O28" s="523">
        <v>1661616.11</v>
      </c>
      <c r="P28" s="523">
        <v>4478813.21</v>
      </c>
      <c r="Q28" s="523">
        <v>819275.71</v>
      </c>
      <c r="R28" s="523"/>
      <c r="S28" s="521">
        <f t="shared" si="6"/>
        <v>18190307.84</v>
      </c>
      <c r="T28" s="524">
        <f t="shared" si="5"/>
        <v>0.22388897854690018</v>
      </c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154389378.41</v>
      </c>
      <c r="H29" s="136">
        <f t="shared" ref="H29:L29" si="8">+H30+H40+H46+SUM(H47:H51)</f>
        <v>212754891.59000003</v>
      </c>
      <c r="I29" s="136">
        <f t="shared" si="8"/>
        <v>278521636.57999998</v>
      </c>
      <c r="J29" s="136">
        <f t="shared" si="8"/>
        <v>284496335.88000011</v>
      </c>
      <c r="K29" s="136">
        <f t="shared" si="8"/>
        <v>236033478.45000002</v>
      </c>
      <c r="L29" s="136">
        <f t="shared" si="8"/>
        <v>267311733.07000002</v>
      </c>
      <c r="M29" s="136">
        <f t="shared" ref="M29:R29" si="9">+M30+M40+M46+SUM(M47:M51)</f>
        <v>242623030.47</v>
      </c>
      <c r="N29" s="136">
        <f t="shared" si="9"/>
        <v>235440496.19</v>
      </c>
      <c r="O29" s="136">
        <f t="shared" si="9"/>
        <v>276555725.20000005</v>
      </c>
      <c r="P29" s="136">
        <f t="shared" si="9"/>
        <v>277884789.94999999</v>
      </c>
      <c r="Q29" s="136">
        <f t="shared" si="9"/>
        <v>255473001.87000003</v>
      </c>
      <c r="R29" s="136">
        <f t="shared" si="9"/>
        <v>0</v>
      </c>
      <c r="S29" s="525">
        <f t="shared" si="6"/>
        <v>2721484497.6599998</v>
      </c>
      <c r="T29" s="526">
        <f t="shared" si="5"/>
        <v>33.496430608637858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" si="10">+SUM(G31:G39)</f>
        <v>62043183.889999993</v>
      </c>
      <c r="H30" s="172">
        <f t="shared" ref="H30:L30" si="11">+SUM(H31:H39)</f>
        <v>75175845.500000045</v>
      </c>
      <c r="I30" s="172">
        <f t="shared" si="11"/>
        <v>110898866.31</v>
      </c>
      <c r="J30" s="172">
        <f t="shared" si="11"/>
        <v>122535074.24000005</v>
      </c>
      <c r="K30" s="172">
        <f t="shared" si="11"/>
        <v>91191861.519999996</v>
      </c>
      <c r="L30" s="172">
        <f t="shared" si="11"/>
        <v>96476298.219999999</v>
      </c>
      <c r="M30" s="172">
        <f t="shared" ref="M30:R30" si="12">+SUM(M31:M39)</f>
        <v>91813404.319999993</v>
      </c>
      <c r="N30" s="172">
        <f t="shared" si="12"/>
        <v>83395249.560000017</v>
      </c>
      <c r="O30" s="172">
        <f t="shared" si="12"/>
        <v>103628156.71000004</v>
      </c>
      <c r="P30" s="172">
        <f t="shared" si="12"/>
        <v>111480672.88999997</v>
      </c>
      <c r="Q30" s="172">
        <f t="shared" si="12"/>
        <v>97671372.63000001</v>
      </c>
      <c r="R30" s="231">
        <f t="shared" si="12"/>
        <v>0</v>
      </c>
      <c r="S30" s="527">
        <f t="shared" si="6"/>
        <v>1046309985.7900001</v>
      </c>
      <c r="T30" s="519">
        <f t="shared" si="5"/>
        <v>12.878136864007287</v>
      </c>
      <c r="U30" s="472"/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499">
        <v>55836150.219999984</v>
      </c>
      <c r="H31" s="499">
        <v>57529376.220000029</v>
      </c>
      <c r="I31" s="499">
        <v>56240416.31000001</v>
      </c>
      <c r="J31" s="499">
        <v>57954695.270000041</v>
      </c>
      <c r="K31" s="499">
        <v>57929070.870000005</v>
      </c>
      <c r="L31" s="499">
        <v>57840611.260000005</v>
      </c>
      <c r="M31" s="499">
        <v>56104307.339999989</v>
      </c>
      <c r="N31" s="499">
        <v>55953233.13000001</v>
      </c>
      <c r="O31" s="499">
        <v>55653719.680000015</v>
      </c>
      <c r="P31" s="499">
        <v>58247786.149999976</v>
      </c>
      <c r="Q31" s="499">
        <v>57684882.100000009</v>
      </c>
      <c r="R31" s="148"/>
      <c r="S31" s="227">
        <f t="shared" si="6"/>
        <v>626974248.55000007</v>
      </c>
      <c r="T31" s="436">
        <f t="shared" si="5"/>
        <v>7.7168910673624884</v>
      </c>
      <c r="U31" s="472"/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2785504.1199999996</v>
      </c>
      <c r="O32" s="499">
        <v>1966705.3199999996</v>
      </c>
      <c r="P32" s="499">
        <v>2922121.6699999995</v>
      </c>
      <c r="Q32" s="499">
        <v>2200810.23</v>
      </c>
      <c r="R32" s="148"/>
      <c r="S32" s="227">
        <f t="shared" si="6"/>
        <v>22008115.59</v>
      </c>
      <c r="T32" s="436">
        <f t="shared" si="5"/>
        <v>0.27087911664430686</v>
      </c>
      <c r="U32" s="472"/>
    </row>
    <row r="33" spans="1:23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499">
        <v>39625.339999999997</v>
      </c>
      <c r="H33" s="499">
        <v>1487088.8500000003</v>
      </c>
      <c r="I33" s="499">
        <v>4592010.7299999995</v>
      </c>
      <c r="J33" s="499">
        <v>3866754.5999999996</v>
      </c>
      <c r="K33" s="499">
        <v>2644436.0699999998</v>
      </c>
      <c r="L33" s="499">
        <v>2839973.1600000006</v>
      </c>
      <c r="M33" s="499">
        <v>3117960.62</v>
      </c>
      <c r="N33" s="499">
        <v>3610133.73</v>
      </c>
      <c r="O33" s="499">
        <v>5631680.8300000001</v>
      </c>
      <c r="P33" s="499">
        <v>2823163.0100000002</v>
      </c>
      <c r="Q33" s="499">
        <v>5437931.8099999987</v>
      </c>
      <c r="R33" s="148"/>
      <c r="S33" s="227">
        <f t="shared" si="6"/>
        <v>36090758.75</v>
      </c>
      <c r="T33" s="436">
        <f t="shared" si="5"/>
        <v>0.44421035545927851</v>
      </c>
      <c r="U33" s="472"/>
    </row>
    <row r="34" spans="1:23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499">
        <v>1245697.8400000001</v>
      </c>
      <c r="H34" s="499">
        <v>3160849.0199999996</v>
      </c>
      <c r="I34" s="499">
        <v>5714884.3200000012</v>
      </c>
      <c r="J34" s="499">
        <v>8510798.9799999986</v>
      </c>
      <c r="K34" s="499">
        <v>6665730.7999999998</v>
      </c>
      <c r="L34" s="499">
        <v>7563147.5499999989</v>
      </c>
      <c r="M34" s="499">
        <v>7217630.9199999999</v>
      </c>
      <c r="N34" s="499">
        <v>5743196.1100000003</v>
      </c>
      <c r="O34" s="499">
        <v>8400453.9600000009</v>
      </c>
      <c r="P34" s="499">
        <v>9154255</v>
      </c>
      <c r="Q34" s="499">
        <v>8052975.6900000023</v>
      </c>
      <c r="R34" s="148"/>
      <c r="S34" s="227">
        <f t="shared" si="6"/>
        <v>71429620.189999998</v>
      </c>
      <c r="T34" s="436">
        <f t="shared" si="5"/>
        <v>0.87916624847686686</v>
      </c>
      <c r="U34" s="472"/>
    </row>
    <row r="35" spans="1:23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>
        <v>3156152.7800000003</v>
      </c>
      <c r="R35" s="148"/>
      <c r="S35" s="227">
        <f t="shared" si="6"/>
        <v>26123233.880000003</v>
      </c>
      <c r="T35" s="436">
        <f t="shared" si="5"/>
        <v>0.32152859650202475</v>
      </c>
      <c r="U35" s="472"/>
    </row>
    <row r="36" spans="1:23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499">
        <v>3788619.5500000003</v>
      </c>
      <c r="H36" s="499">
        <v>3320549.1300000004</v>
      </c>
      <c r="I36" s="499">
        <v>24471807.800000001</v>
      </c>
      <c r="J36" s="499">
        <v>33272514.919999998</v>
      </c>
      <c r="K36" s="499">
        <v>10340576.27</v>
      </c>
      <c r="L36" s="499">
        <v>5428174.1699999999</v>
      </c>
      <c r="M36" s="499">
        <v>4924646.78</v>
      </c>
      <c r="N36" s="499">
        <v>2716052.29</v>
      </c>
      <c r="O36" s="499">
        <v>23271613.460000005</v>
      </c>
      <c r="P36" s="499">
        <v>15439495.569999998</v>
      </c>
      <c r="Q36" s="499">
        <v>7923419.0800000001</v>
      </c>
      <c r="R36" s="148"/>
      <c r="S36" s="227">
        <f>+SUM(G36:R36)</f>
        <v>134897469.02000001</v>
      </c>
      <c r="T36" s="436">
        <f t="shared" si="5"/>
        <v>1.6603378465666427</v>
      </c>
      <c r="U36" s="472"/>
    </row>
    <row r="37" spans="1:23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499">
        <v>17739.240000000002</v>
      </c>
      <c r="H37" s="499">
        <v>658913.61</v>
      </c>
      <c r="I37" s="499">
        <v>1423673.45</v>
      </c>
      <c r="J37" s="499">
        <v>1026043.09</v>
      </c>
      <c r="K37" s="499">
        <v>804963.71999999986</v>
      </c>
      <c r="L37" s="499">
        <v>1422017.38</v>
      </c>
      <c r="M37" s="499">
        <v>1142860.7000000002</v>
      </c>
      <c r="N37" s="499">
        <v>749974.72999999975</v>
      </c>
      <c r="O37" s="499">
        <v>1352660.5799999996</v>
      </c>
      <c r="P37" s="499">
        <v>1141838.8899999999</v>
      </c>
      <c r="Q37" s="499">
        <v>1213486.8699999999</v>
      </c>
      <c r="R37" s="148"/>
      <c r="S37" s="227">
        <f t="shared" si="6"/>
        <v>10954172.259999998</v>
      </c>
      <c r="T37" s="436">
        <f t="shared" si="5"/>
        <v>0.13482555983605546</v>
      </c>
      <c r="U37" s="472"/>
    </row>
    <row r="38" spans="1:23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499">
        <v>651862.92999999982</v>
      </c>
      <c r="H38" s="499">
        <v>4133251.8900000006</v>
      </c>
      <c r="I38" s="499">
        <v>6084455.6400000006</v>
      </c>
      <c r="J38" s="499">
        <v>6925339.3099999968</v>
      </c>
      <c r="K38" s="499">
        <v>4645561.2299999995</v>
      </c>
      <c r="L38" s="499">
        <v>5186790.0599999977</v>
      </c>
      <c r="M38" s="499">
        <v>6248831.469999996</v>
      </c>
      <c r="N38" s="499">
        <v>4290997.3299999945</v>
      </c>
      <c r="O38" s="499">
        <v>1662216.29</v>
      </c>
      <c r="P38" s="499">
        <v>9523418.4199999999</v>
      </c>
      <c r="Q38" s="499">
        <v>7111415.4199999999</v>
      </c>
      <c r="R38" s="148"/>
      <c r="S38" s="227">
        <f t="shared" si="6"/>
        <v>56464139.989999987</v>
      </c>
      <c r="T38" s="436">
        <f t="shared" si="5"/>
        <v>0.69496892180634351</v>
      </c>
      <c r="U38" s="472"/>
    </row>
    <row r="39" spans="1:23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499">
        <v>430001.24</v>
      </c>
      <c r="H39" s="499">
        <v>2094804.1499999992</v>
      </c>
      <c r="I39" s="499">
        <v>7275150.3600000003</v>
      </c>
      <c r="J39" s="499">
        <v>5903016.0799999991</v>
      </c>
      <c r="K39" s="499">
        <v>4254401.9099999992</v>
      </c>
      <c r="L39" s="499">
        <v>10322038.519999998</v>
      </c>
      <c r="M39" s="499">
        <v>8804470.0299999993</v>
      </c>
      <c r="N39" s="499">
        <v>4749607.7800000012</v>
      </c>
      <c r="O39" s="499">
        <v>3846310.79</v>
      </c>
      <c r="P39" s="499">
        <v>8798128.0500000007</v>
      </c>
      <c r="Q39" s="499">
        <v>4890298.6499999994</v>
      </c>
      <c r="R39" s="148"/>
      <c r="S39" s="227">
        <f t="shared" si="6"/>
        <v>61368227.559999995</v>
      </c>
      <c r="T39" s="436">
        <f t="shared" si="5"/>
        <v>0.75532915135328071</v>
      </c>
      <c r="U39" s="472"/>
    </row>
    <row r="40" spans="1:23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82167964.540000007</v>
      </c>
      <c r="H40" s="178">
        <f t="shared" ref="H40:L40" si="13">+SUM(H41:H45)</f>
        <v>94350241.819999978</v>
      </c>
      <c r="I40" s="178">
        <f t="shared" si="13"/>
        <v>92707595.590000004</v>
      </c>
      <c r="J40" s="178">
        <f t="shared" si="13"/>
        <v>90295472.180000022</v>
      </c>
      <c r="K40" s="178">
        <f t="shared" si="13"/>
        <v>90667904.409999996</v>
      </c>
      <c r="L40" s="178">
        <f t="shared" si="13"/>
        <v>93416914.150000006</v>
      </c>
      <c r="M40" s="178">
        <f t="shared" ref="M40:R40" si="14">+SUM(M41:M45)</f>
        <v>92683631.180000007</v>
      </c>
      <c r="N40" s="178">
        <f t="shared" si="14"/>
        <v>94391978.499999985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94459565.549999997</v>
      </c>
      <c r="R40" s="178">
        <f t="shared" si="14"/>
        <v>0</v>
      </c>
      <c r="S40" s="528">
        <f t="shared" si="6"/>
        <v>1014702829.0199999</v>
      </c>
      <c r="T40" s="529">
        <f t="shared" si="5"/>
        <v>12.489111339741774</v>
      </c>
      <c r="U40" s="472"/>
    </row>
    <row r="41" spans="1:23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499">
        <v>19199401.200000003</v>
      </c>
      <c r="H41" s="499">
        <v>22395140.600000005</v>
      </c>
      <c r="I41" s="499">
        <v>21236015.860000003</v>
      </c>
      <c r="J41" s="499">
        <v>19874612.219999999</v>
      </c>
      <c r="K41" s="499">
        <v>19544794.68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</v>
      </c>
      <c r="Q41" s="499">
        <v>20877495.760000002</v>
      </c>
      <c r="R41" s="148"/>
      <c r="S41" s="227">
        <f t="shared" si="6"/>
        <v>227249280.97999996</v>
      </c>
      <c r="T41" s="436">
        <f t="shared" si="5"/>
        <v>2.7970175019385328</v>
      </c>
      <c r="U41" s="472"/>
    </row>
    <row r="42" spans="1:23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>
        <v>2035555.39</v>
      </c>
      <c r="R42" s="148"/>
      <c r="S42" s="227">
        <f t="shared" si="6"/>
        <v>20969111.510000002</v>
      </c>
      <c r="T42" s="436">
        <f t="shared" si="5"/>
        <v>0.25809090194099477</v>
      </c>
      <c r="U42" s="472"/>
    </row>
    <row r="43" spans="1:23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499">
        <v>62931303.340000004</v>
      </c>
      <c r="H43" s="499">
        <v>65497529.849999979</v>
      </c>
      <c r="I43" s="499">
        <v>65458140.899999991</v>
      </c>
      <c r="J43" s="499">
        <v>65623487.38000001</v>
      </c>
      <c r="K43" s="499">
        <v>65646943.669999987</v>
      </c>
      <c r="L43" s="499">
        <v>66986411.460000008</v>
      </c>
      <c r="M43" s="499">
        <v>66789126.960000008</v>
      </c>
      <c r="N43" s="499">
        <v>66911161.069999993</v>
      </c>
      <c r="O43" s="499">
        <v>67160706.24000001</v>
      </c>
      <c r="P43" s="499">
        <v>67815727.029999986</v>
      </c>
      <c r="Q43" s="499">
        <v>67918600.039999992</v>
      </c>
      <c r="R43" s="148"/>
      <c r="S43" s="227">
        <f t="shared" si="6"/>
        <v>728739137.94000006</v>
      </c>
      <c r="T43" s="436">
        <f t="shared" si="5"/>
        <v>8.9694282612281064</v>
      </c>
      <c r="U43" s="472"/>
    </row>
    <row r="44" spans="1:23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499">
        <v>0</v>
      </c>
      <c r="H44" s="499">
        <v>2943314.7199999993</v>
      </c>
      <c r="I44" s="499">
        <v>1831980.9999999998</v>
      </c>
      <c r="J44" s="499">
        <v>1453855.4</v>
      </c>
      <c r="K44" s="499">
        <v>1873268.4400000002</v>
      </c>
      <c r="L44" s="499">
        <v>2688499.03</v>
      </c>
      <c r="M44" s="499">
        <v>2207282.3800000004</v>
      </c>
      <c r="N44" s="499">
        <v>2543110.1900000004</v>
      </c>
      <c r="O44" s="499">
        <v>2548955.6</v>
      </c>
      <c r="P44" s="499">
        <v>2451167.83</v>
      </c>
      <c r="Q44" s="499">
        <v>2785028.7300000004</v>
      </c>
      <c r="R44" s="148"/>
      <c r="S44" s="227">
        <f t="shared" si="6"/>
        <v>23326463.320000004</v>
      </c>
      <c r="T44" s="436">
        <f t="shared" si="5"/>
        <v>0.28710553398894734</v>
      </c>
      <c r="U44" s="472"/>
    </row>
    <row r="45" spans="1:23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499">
        <v>0</v>
      </c>
      <c r="H45" s="499">
        <v>1368340.72</v>
      </c>
      <c r="I45" s="499">
        <v>2013570.3699999996</v>
      </c>
      <c r="J45" s="499">
        <v>1200730.3400000001</v>
      </c>
      <c r="K45" s="499">
        <v>1511614.4</v>
      </c>
      <c r="L45" s="499">
        <v>1320942.9999999995</v>
      </c>
      <c r="M45" s="499">
        <v>1295328.1099999999</v>
      </c>
      <c r="N45" s="499">
        <v>1574364.1899999992</v>
      </c>
      <c r="O45" s="499">
        <v>1624128.78</v>
      </c>
      <c r="P45" s="499">
        <v>1666929.7300000002</v>
      </c>
      <c r="Q45" s="499">
        <v>842885.63</v>
      </c>
      <c r="R45" s="148"/>
      <c r="S45" s="227">
        <f t="shared" si="6"/>
        <v>14418835.27</v>
      </c>
      <c r="T45" s="436">
        <f t="shared" si="5"/>
        <v>0.17746914064519304</v>
      </c>
      <c r="U45" s="472"/>
    </row>
    <row r="46" spans="1:23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33383723.569999997</v>
      </c>
      <c r="N46" s="160">
        <v>32294980.560000002</v>
      </c>
      <c r="O46" s="160">
        <v>40483162.600000001</v>
      </c>
      <c r="P46" s="160">
        <v>41566269.539999999</v>
      </c>
      <c r="Q46" s="160">
        <v>35918614.609999999</v>
      </c>
      <c r="R46" s="160"/>
      <c r="S46" s="521">
        <f t="shared" si="6"/>
        <v>386794341.94000006</v>
      </c>
      <c r="T46" s="522">
        <f t="shared" si="5"/>
        <v>4.7607215274410137</v>
      </c>
      <c r="U46" s="472"/>
    </row>
    <row r="47" spans="1:23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125800.66000000002</v>
      </c>
      <c r="H47" s="160">
        <v>11702685.83</v>
      </c>
      <c r="I47" s="160">
        <v>20240491.23</v>
      </c>
      <c r="J47" s="160">
        <v>33567503.510000005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/>
      <c r="S47" s="521">
        <f t="shared" si="6"/>
        <v>240349096.12000003</v>
      </c>
      <c r="T47" s="522">
        <f t="shared" si="5"/>
        <v>2.9582519492412032</v>
      </c>
      <c r="U47" s="472"/>
      <c r="V47" s="292"/>
      <c r="W47" s="292"/>
    </row>
    <row r="48" spans="1:23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196045.28999999995</v>
      </c>
      <c r="M49" s="499">
        <v>28857.670000000002</v>
      </c>
      <c r="N49" s="499">
        <v>2000</v>
      </c>
      <c r="O49" s="499">
        <v>53111.65</v>
      </c>
      <c r="P49" s="499">
        <v>22666.7</v>
      </c>
      <c r="Q49" s="499">
        <v>263081.59999999998</v>
      </c>
      <c r="R49" s="148"/>
      <c r="S49" s="227">
        <f t="shared" si="6"/>
        <v>4956828.21</v>
      </c>
      <c r="T49" s="436">
        <f t="shared" si="5"/>
        <v>6.1009369084396962E-2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/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1050360.8299999998</v>
      </c>
      <c r="H51" s="430">
        <v>2197777.1399999997</v>
      </c>
      <c r="I51" s="430">
        <v>2187252.5500000003</v>
      </c>
      <c r="J51" s="430">
        <v>1823733.3699999999</v>
      </c>
      <c r="K51" s="430">
        <v>1744824.6600000001</v>
      </c>
      <c r="L51" s="430">
        <v>1298140.2</v>
      </c>
      <c r="M51" s="430">
        <v>3502289.3</v>
      </c>
      <c r="N51" s="430">
        <v>737916.52000000025</v>
      </c>
      <c r="O51" s="430">
        <v>6379172.5600000015</v>
      </c>
      <c r="P51" s="430">
        <v>2068707.7800000005</v>
      </c>
      <c r="Q51" s="430">
        <v>1318918.7099999995</v>
      </c>
      <c r="R51" s="430"/>
      <c r="S51" s="398">
        <f>+SUM(G51:R51)</f>
        <v>24309093.620000005</v>
      </c>
      <c r="T51" s="440">
        <f t="shared" si="5"/>
        <v>0.2991998919344715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15">+G10-G29</f>
        <v>2360543.6699999869</v>
      </c>
      <c r="H53" s="136">
        <f t="shared" si="15"/>
        <v>-34407826.870000035</v>
      </c>
      <c r="I53" s="136">
        <f t="shared" si="15"/>
        <v>-33167342.290000021</v>
      </c>
      <c r="J53" s="136">
        <f t="shared" si="15"/>
        <v>32622884.589999914</v>
      </c>
      <c r="K53" s="136">
        <f t="shared" si="15"/>
        <v>-36551494.390000045</v>
      </c>
      <c r="L53" s="136">
        <f t="shared" si="15"/>
        <v>-41407534.040000051</v>
      </c>
      <c r="M53" s="136">
        <f t="shared" si="15"/>
        <v>14173156.969999999</v>
      </c>
      <c r="N53" s="136">
        <f t="shared" si="15"/>
        <v>24588787.640000015</v>
      </c>
      <c r="O53" s="136">
        <f t="shared" si="15"/>
        <v>-14707961.990000039</v>
      </c>
      <c r="P53" s="136">
        <f t="shared" si="15"/>
        <v>-32309796.370000005</v>
      </c>
      <c r="Q53" s="136">
        <f t="shared" si="15"/>
        <v>-59349351.590000033</v>
      </c>
      <c r="R53" s="136">
        <f t="shared" si="15"/>
        <v>0</v>
      </c>
      <c r="S53" s="530">
        <f>SUM(G53:R53)</f>
        <v>-178155934.67000031</v>
      </c>
      <c r="T53" s="531">
        <f t="shared" si="5"/>
        <v>-2.1927693905005761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6">+G53+G36</f>
        <v>6149163.2199999876</v>
      </c>
      <c r="H54" s="190">
        <f t="shared" si="16"/>
        <v>-31087277.740000036</v>
      </c>
      <c r="I54" s="190">
        <f t="shared" si="16"/>
        <v>-8695534.4900000207</v>
      </c>
      <c r="J54" s="190">
        <f t="shared" si="16"/>
        <v>65895399.509999916</v>
      </c>
      <c r="K54" s="190">
        <f t="shared" si="16"/>
        <v>-26210918.120000046</v>
      </c>
      <c r="L54" s="190">
        <f t="shared" si="16"/>
        <v>-35979359.870000049</v>
      </c>
      <c r="M54" s="190">
        <f t="shared" si="16"/>
        <v>19097803.75</v>
      </c>
      <c r="N54" s="190">
        <f t="shared" si="16"/>
        <v>27304839.930000015</v>
      </c>
      <c r="O54" s="190">
        <f t="shared" si="16"/>
        <v>8563651.4699999653</v>
      </c>
      <c r="P54" s="190">
        <f t="shared" si="16"/>
        <v>-16870300.800000004</v>
      </c>
      <c r="Q54" s="190">
        <f t="shared" si="16"/>
        <v>-51425932.510000035</v>
      </c>
      <c r="R54" s="190">
        <f t="shared" si="16"/>
        <v>0</v>
      </c>
      <c r="S54" s="530">
        <f t="shared" si="6"/>
        <v>-43258465.650000304</v>
      </c>
      <c r="T54" s="531">
        <f t="shared" si="5"/>
        <v>-0.53243154393393366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" si="17">+SUM(G56:G57)</f>
        <v>34620662.689999998</v>
      </c>
      <c r="H55" s="178">
        <f t="shared" ref="H55:L55" si="18">+SUM(H56:H57)</f>
        <v>8280354.3399999999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49335423.140000001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24725000.399999995</v>
      </c>
      <c r="R55" s="178">
        <f>+SUM(R56:R57)</f>
        <v>0</v>
      </c>
      <c r="S55" s="532">
        <f t="shared" si="6"/>
        <v>773574347.73000014</v>
      </c>
      <c r="T55" s="533">
        <f t="shared" si="5"/>
        <v>9.5212666034438218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2795674.89</v>
      </c>
      <c r="L56" s="554">
        <v>15431758.250000002</v>
      </c>
      <c r="M56" s="554">
        <v>1723907.95</v>
      </c>
      <c r="N56" s="554">
        <v>1755694.7399999998</v>
      </c>
      <c r="O56" s="554">
        <v>4555783.9000000004</v>
      </c>
      <c r="P56" s="554">
        <v>1755147.06</v>
      </c>
      <c r="Q56" s="554">
        <v>2864397.9</v>
      </c>
      <c r="R56" s="196"/>
      <c r="S56" s="235">
        <f t="shared" si="6"/>
        <v>41043058.990000002</v>
      </c>
      <c r="T56" s="444">
        <f t="shared" si="5"/>
        <v>0.50516399362437991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554">
        <v>32635767.399999999</v>
      </c>
      <c r="H57" s="554">
        <v>6574864.21</v>
      </c>
      <c r="I57" s="554">
        <v>31402266.420000002</v>
      </c>
      <c r="J57" s="554">
        <v>505314353.83000004</v>
      </c>
      <c r="K57" s="554">
        <v>46539748.25</v>
      </c>
      <c r="L57" s="554">
        <v>22801737.869999997</v>
      </c>
      <c r="M57" s="554">
        <v>32743948.25</v>
      </c>
      <c r="N57" s="554">
        <v>5793930.1200000001</v>
      </c>
      <c r="O57" s="554">
        <v>21549362.939999998</v>
      </c>
      <c r="P57" s="554">
        <v>5314706.95</v>
      </c>
      <c r="Q57" s="554">
        <v>21860602.499999996</v>
      </c>
      <c r="R57" s="554"/>
      <c r="S57" s="235">
        <f>+SUM(G57:R57)</f>
        <v>732531288.74000001</v>
      </c>
      <c r="T57" s="444">
        <f t="shared" si="5"/>
        <v>9.0161026098194395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/>
      <c r="S58" s="532">
        <f>SUM(G58:R58)</f>
        <v>1485557.54</v>
      </c>
      <c r="T58" s="534">
        <f t="shared" si="5"/>
        <v>1.8284460226223737E-2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/>
      <c r="S59" s="532">
        <f>SUM(G59:R59)</f>
        <v>8357868.5</v>
      </c>
      <c r="T59" s="534">
        <f t="shared" si="5"/>
        <v>0.10286987211835515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-32260119.020000011</v>
      </c>
      <c r="H60" s="202">
        <f t="shared" ref="H60:S60" si="20">+H53-H55-H58-H59</f>
        <v>-44166403.210000038</v>
      </c>
      <c r="I60" s="202">
        <f t="shared" si="20"/>
        <v>-71488991.900000021</v>
      </c>
      <c r="J60" s="202">
        <f t="shared" si="20"/>
        <v>-475533843.77000016</v>
      </c>
      <c r="K60" s="202">
        <f t="shared" si="20"/>
        <v>-86655451.400000051</v>
      </c>
      <c r="L60" s="202">
        <f t="shared" si="20"/>
        <v>-80778710.220000058</v>
      </c>
      <c r="M60" s="202">
        <f t="shared" si="20"/>
        <v>-20665351.300000004</v>
      </c>
      <c r="N60" s="202">
        <f t="shared" si="20"/>
        <v>17027998.280000016</v>
      </c>
      <c r="O60" s="202">
        <f t="shared" si="20"/>
        <v>-41916881.650000036</v>
      </c>
      <c r="P60" s="202">
        <f t="shared" si="20"/>
        <v>-40781075.580000006</v>
      </c>
      <c r="Q60" s="202">
        <f t="shared" si="20"/>
        <v>-84354878.670000032</v>
      </c>
      <c r="R60" s="202">
        <f t="shared" si="20"/>
        <v>0</v>
      </c>
      <c r="S60" s="532">
        <f t="shared" si="20"/>
        <v>-961573708.44000041</v>
      </c>
      <c r="T60" s="535">
        <f t="shared" si="5"/>
        <v>-11.835190326288975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32260119.020000011</v>
      </c>
      <c r="H61" s="136">
        <f t="shared" ref="H61:L61" si="21">+SUM(H62:H66)</f>
        <v>44166403.210000038</v>
      </c>
      <c r="I61" s="136">
        <f t="shared" si="21"/>
        <v>71488991.900000021</v>
      </c>
      <c r="J61" s="136">
        <f t="shared" si="21"/>
        <v>475533843.77000016</v>
      </c>
      <c r="K61" s="136">
        <f t="shared" si="21"/>
        <v>86655451.400000051</v>
      </c>
      <c r="L61" s="136">
        <f t="shared" si="21"/>
        <v>80778710.220000058</v>
      </c>
      <c r="M61" s="136">
        <f t="shared" ref="M61:R61" si="22">+SUM(M62:M66)</f>
        <v>20665351.300000004</v>
      </c>
      <c r="N61" s="136">
        <f t="shared" si="22"/>
        <v>-17027998.280000016</v>
      </c>
      <c r="O61" s="136">
        <f t="shared" si="22"/>
        <v>41916881.650000036</v>
      </c>
      <c r="P61" s="136">
        <f t="shared" si="22"/>
        <v>40781075.580000006</v>
      </c>
      <c r="Q61" s="136">
        <f t="shared" si="22"/>
        <v>84354878.670000032</v>
      </c>
      <c r="R61" s="136">
        <f t="shared" si="22"/>
        <v>0</v>
      </c>
      <c r="S61" s="536">
        <f t="shared" si="6"/>
        <v>961573708.44000041</v>
      </c>
      <c r="T61" s="537">
        <f t="shared" si="5"/>
        <v>11.835190326288975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/>
      <c r="S62" s="235">
        <f t="shared" si="6"/>
        <v>6127675</v>
      </c>
      <c r="T62" s="444">
        <f t="shared" si="5"/>
        <v>7.5420323211933982E-2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6776325.3499999996</v>
      </c>
      <c r="R63" s="196"/>
      <c r="S63" s="235">
        <f t="shared" si="6"/>
        <v>957766653.8900001</v>
      </c>
      <c r="T63" s="444">
        <f t="shared" si="5"/>
        <v>11.788332540155331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>
        <v>3374180.95</v>
      </c>
      <c r="R64" s="196"/>
      <c r="S64" s="235">
        <f t="shared" si="6"/>
        <v>4966695.24</v>
      </c>
      <c r="T64" s="444">
        <f t="shared" si="5"/>
        <v>6.1130813937745401E-2</v>
      </c>
    </row>
    <row r="65" spans="1:20">
      <c r="A65" s="129">
        <v>73</v>
      </c>
      <c r="B65" s="599" t="s">
        <v>101</v>
      </c>
      <c r="C65" s="600"/>
      <c r="D65" s="600"/>
      <c r="E65" s="600"/>
      <c r="F65" s="600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/>
      <c r="S65" s="228">
        <f t="shared" si="6"/>
        <v>17353079.27</v>
      </c>
      <c r="T65" s="437">
        <f t="shared" si="5"/>
        <v>0.21358424643371449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27395064.000000011</v>
      </c>
      <c r="H66" s="210">
        <f t="shared" ref="H66:L66" si="23">-H60-SUM(H62:H65)</f>
        <v>30654458.340000037</v>
      </c>
      <c r="I66" s="210">
        <f t="shared" si="23"/>
        <v>67267210.430000022</v>
      </c>
      <c r="J66" s="210">
        <f t="shared" si="23"/>
        <v>-401628590.11999995</v>
      </c>
      <c r="K66" s="210">
        <f t="shared" si="23"/>
        <v>72376680.460000053</v>
      </c>
      <c r="L66" s="210">
        <f t="shared" si="23"/>
        <v>54867001.520000055</v>
      </c>
      <c r="M66" s="210">
        <f t="shared" ref="M66:S66" si="24">-M60-SUM(M62:M65)</f>
        <v>15122230.370000005</v>
      </c>
      <c r="N66" s="210">
        <f t="shared" si="24"/>
        <v>-23501825.140000015</v>
      </c>
      <c r="O66" s="210">
        <f t="shared" si="24"/>
        <v>29850106.960000038</v>
      </c>
      <c r="P66" s="210">
        <f t="shared" si="24"/>
        <v>29457631.550000004</v>
      </c>
      <c r="Q66" s="210">
        <f t="shared" si="24"/>
        <v>73499636.670000032</v>
      </c>
      <c r="R66" s="210">
        <f t="shared" si="24"/>
        <v>0</v>
      </c>
      <c r="S66" s="238">
        <f t="shared" si="24"/>
        <v>-24640394.959999681</v>
      </c>
      <c r="T66" s="448">
        <f t="shared" si="5"/>
        <v>-0.30327759744974808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2025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221">
        <f>+T7</f>
        <v>8124700000</v>
      </c>
    </row>
    <row r="84" spans="1:25" ht="15.75" customHeight="1">
      <c r="B84" s="638"/>
      <c r="C84" s="639"/>
      <c r="D84" s="639"/>
      <c r="E84" s="639"/>
      <c r="F84" s="640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1" t="str">
        <f>+Master!G247</f>
        <v>Jan - Dec</v>
      </c>
      <c r="T84" s="623">
        <f>+T8</f>
        <v>0</v>
      </c>
    </row>
    <row r="85" spans="1:25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3a7IpsbfNwUPi4hJ7pR8X+fkvWF+ByaGJOO6FM09zK9J+K4DC5E/HKngBXC5S0zMJrtp2g5YRjS85WSkpi44KA==" saltValue="JUKxOzaj1GXfAEppcns9Dg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2023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6963615000</v>
      </c>
    </row>
    <row r="8" spans="1:24" ht="16.5" customHeight="1">
      <c r="A8" s="129"/>
      <c r="B8" s="569"/>
      <c r="C8" s="570"/>
      <c r="D8" s="570"/>
      <c r="E8" s="570"/>
      <c r="F8" s="57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4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5" t="str">
        <f>+VLOOKUP($A63,Master!$D$30:$G$226,4,FALSE)</f>
        <v>Pozajmice i krediti od inostranih izvora</v>
      </c>
      <c r="C63" s="566"/>
      <c r="D63" s="566"/>
      <c r="E63" s="566"/>
      <c r="F63" s="566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5" t="s">
        <v>101</v>
      </c>
      <c r="C65" s="566"/>
      <c r="D65" s="566"/>
      <c r="E65" s="566"/>
      <c r="F65" s="566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2023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6624340418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30" t="s">
        <v>113</v>
      </c>
      <c r="C135" s="631"/>
      <c r="D135" s="631"/>
      <c r="E135" s="631"/>
      <c r="F135" s="631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6" t="str">
        <f>+VLOOKUP(LEFT($A136,LEN(A136)-1)*1,Master!$D$30:$G$226,4,FALSE)</f>
        <v>Nedostajuća sredstva</v>
      </c>
      <c r="C136" s="657"/>
      <c r="D136" s="657"/>
      <c r="E136" s="657"/>
      <c r="F136" s="657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30" t="str">
        <f>+VLOOKUP(LEFT($A137,LEN(A137)-1)*1,Master!$D$30:$G$226,4,FALSE)</f>
        <v>Finansiranje</v>
      </c>
      <c r="C137" s="631"/>
      <c r="D137" s="631"/>
      <c r="E137" s="631"/>
      <c r="F137" s="631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8" t="str">
        <f>+VLOOKUP(LEFT($A138,LEN(A138)-1)*1,Master!$D$30:$G$226,4,FALSE)</f>
        <v>Pozajmice i krediti od domaćih izvora</v>
      </c>
      <c r="C138" s="659"/>
      <c r="D138" s="659"/>
      <c r="E138" s="659"/>
      <c r="F138" s="659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2" t="str">
        <f>+VLOOKUP(LEFT($A139,LEN(A139)-1)*1,Master!$D$30:$G$226,4,FALSE)</f>
        <v>Pozajmice i krediti od inostranih izvora</v>
      </c>
      <c r="C139" s="653"/>
      <c r="D139" s="653"/>
      <c r="E139" s="653"/>
      <c r="F139" s="653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2" t="str">
        <f>+VLOOKUP(LEFT($A140,LEN(A140)-1)*1,Master!$D$30:$G$226,4,FALSE)</f>
        <v>Primici od prodaje imovine</v>
      </c>
      <c r="C140" s="653"/>
      <c r="D140" s="653"/>
      <c r="E140" s="653"/>
      <c r="F140" s="653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2022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5796761000</v>
      </c>
    </row>
    <row r="8" spans="1:23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3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7" t="str">
        <f>+VLOOKUP($A10,Master!$D$30:$G$226,4,FALSE)</f>
        <v>Prihodi budžeta</v>
      </c>
      <c r="C10" s="588"/>
      <c r="D10" s="588"/>
      <c r="E10" s="588"/>
      <c r="F10" s="588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9" t="str">
        <f>+VLOOKUP($A19,Master!$D$30:$G$226,4,FALSE)</f>
        <v>Doprinosi</v>
      </c>
      <c r="C19" s="600"/>
      <c r="D19" s="600"/>
      <c r="E19" s="600"/>
      <c r="F19" s="600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9" t="str">
        <f>+VLOOKUP($A28,Master!$D$30:$G$226,4,FALSE)</f>
        <v>Donacije i transferi</v>
      </c>
      <c r="C28" s="600"/>
      <c r="D28" s="600"/>
      <c r="E28" s="600"/>
      <c r="F28" s="600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7" t="str">
        <f>+VLOOKUP($A39,Master!$D$30:$G$226,4,FALSE)</f>
        <v>Ostali izdaci</v>
      </c>
      <c r="C39" s="598"/>
      <c r="D39" s="598"/>
      <c r="E39" s="598"/>
      <c r="F39" s="598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3" t="str">
        <f>+VLOOKUP($A59,Master!$D$30:$G$226,4,FALSE)</f>
        <v>Pozajmice i krediti</v>
      </c>
      <c r="C59" s="604"/>
      <c r="D59" s="604"/>
      <c r="E59" s="604"/>
      <c r="F59" s="604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5" t="str">
        <f>+VLOOKUP($A60,Master!$D$30:$G$226,4,FALSE)</f>
        <v>Nedostajuća sredstva</v>
      </c>
      <c r="C60" s="586"/>
      <c r="D60" s="586"/>
      <c r="E60" s="586"/>
      <c r="F60" s="586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7" t="str">
        <f>+VLOOKUP($A61,Master!$D$30:$G$226,4,FALSE)</f>
        <v>Finansiranje</v>
      </c>
      <c r="C61" s="588"/>
      <c r="D61" s="588"/>
      <c r="E61" s="588"/>
      <c r="F61" s="588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1" t="str">
        <f>+VLOOKUP($A62,Master!$D$30:$G$226,4,FALSE)</f>
        <v>Pozajmice i krediti od domaćih izvora</v>
      </c>
      <c r="C62" s="582"/>
      <c r="D62" s="582"/>
      <c r="E62" s="582"/>
      <c r="F62" s="58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1" t="str">
        <f>+VLOOKUP($A63,Master!$D$30:$G$226,4,FALSE)</f>
        <v>Pozajmice i krediti od inostranih izvora</v>
      </c>
      <c r="C63" s="582"/>
      <c r="D63" s="582"/>
      <c r="E63" s="582"/>
      <c r="F63" s="582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5" t="str">
        <f>+VLOOKUP($A64,Master!$D$30:$G$226,4,FALSE)</f>
        <v>Primici od prodaje imovine</v>
      </c>
      <c r="C64" s="566"/>
      <c r="D64" s="566"/>
      <c r="E64" s="566"/>
      <c r="F64" s="566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5" t="s">
        <v>101</v>
      </c>
      <c r="C65" s="566"/>
      <c r="D65" s="566"/>
      <c r="E65" s="566"/>
      <c r="F65" s="566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6" t="str">
        <f>+Master!G253</f>
        <v>Plan ostvarenja budžeta</v>
      </c>
      <c r="C83" s="637"/>
      <c r="D83" s="637"/>
      <c r="E83" s="637"/>
      <c r="F83" s="637"/>
      <c r="G83" s="621">
        <v>2022</v>
      </c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23"/>
      <c r="S83" s="96" t="str">
        <f>+S7</f>
        <v>BDP</v>
      </c>
      <c r="T83" s="97">
        <v>5700400000</v>
      </c>
    </row>
    <row r="84" spans="1:26" ht="15.75" customHeight="1">
      <c r="B84" s="638"/>
      <c r="C84" s="639"/>
      <c r="D84" s="639"/>
      <c r="E84" s="639"/>
      <c r="F84" s="640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1" t="str">
        <f>+Master!G247</f>
        <v>Jan - Dec</v>
      </c>
      <c r="T84" s="623">
        <f>+T8</f>
        <v>0</v>
      </c>
    </row>
    <row r="85" spans="1:26" ht="13.5" thickBot="1">
      <c r="B85" s="641"/>
      <c r="C85" s="642"/>
      <c r="D85" s="642"/>
      <c r="E85" s="642"/>
      <c r="F85" s="643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30" t="str">
        <f>+VLOOKUP(LEFT($A86,LEN(A86)-1)*1,Master!$D$30:$G$226,4,FALSE)</f>
        <v>Prihodi budžeta</v>
      </c>
      <c r="C86" s="631"/>
      <c r="D86" s="631"/>
      <c r="E86" s="631"/>
      <c r="F86" s="631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2" t="str">
        <f>+VLOOKUP(LEFT($A87,LEN(A87)-1)*1,Master!$D$30:$G$226,4,FALSE)</f>
        <v>Porezi</v>
      </c>
      <c r="C87" s="633"/>
      <c r="D87" s="633"/>
      <c r="E87" s="633"/>
      <c r="F87" s="633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4" t="str">
        <f>+VLOOKUP(LEFT($A88,LEN(A88)-1)*1,Master!$D$30:$G$229,4,FALSE)</f>
        <v>Porez na dohodak fizičkih lica</v>
      </c>
      <c r="C88" s="635"/>
      <c r="D88" s="635"/>
      <c r="E88" s="635"/>
      <c r="F88" s="635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4" t="str">
        <f>+VLOOKUP(LEFT($A89,LEN(A89)-1)*1,Master!$D$30:$G$229,4,FALSE)</f>
        <v>Porez na dobit pravnih lica</v>
      </c>
      <c r="C89" s="635"/>
      <c r="D89" s="635"/>
      <c r="E89" s="635"/>
      <c r="F89" s="635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4" t="str">
        <f>+VLOOKUP(LEFT($A90,LEN(A90)-1)*1,Master!$D$30:$G$229,4,FALSE)</f>
        <v>Porez na promet nepokretnosti</v>
      </c>
      <c r="C90" s="635"/>
      <c r="D90" s="635"/>
      <c r="E90" s="635"/>
      <c r="F90" s="635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4" t="str">
        <f>+VLOOKUP(LEFT($A91,LEN(A91)-1)*1,Master!$D$30:$G$229,4,FALSE)</f>
        <v>Porez na dodatu vrijednost</v>
      </c>
      <c r="C91" s="635"/>
      <c r="D91" s="635"/>
      <c r="E91" s="635"/>
      <c r="F91" s="635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4" t="str">
        <f>+VLOOKUP(LEFT($A92,LEN(A92)-1)*1,Master!$D$30:$G$229,4,FALSE)</f>
        <v>Akcize</v>
      </c>
      <c r="C92" s="635"/>
      <c r="D92" s="635"/>
      <c r="E92" s="635"/>
      <c r="F92" s="635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4" t="str">
        <f>+VLOOKUP(LEFT($A93,LEN(A93)-1)*1,Master!$D$30:$G$229,4,FALSE)</f>
        <v>Porez na međunarodnu trgovinu i transakcije</v>
      </c>
      <c r="C93" s="635"/>
      <c r="D93" s="635"/>
      <c r="E93" s="635"/>
      <c r="F93" s="635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4" t="str">
        <f>+VLOOKUP(LEFT($A94,LEN(A94)-1)*1,Master!$D$30:$G$229,4,FALSE)</f>
        <v>Ostali državni porezi</v>
      </c>
      <c r="C94" s="635"/>
      <c r="D94" s="635"/>
      <c r="E94" s="635"/>
      <c r="F94" s="635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4" t="str">
        <f>+VLOOKUP(LEFT($A95,LEN(A95)-1)*1,Master!$D$30:$G$229,4,FALSE)</f>
        <v>Doprinosi</v>
      </c>
      <c r="C95" s="645"/>
      <c r="D95" s="645"/>
      <c r="E95" s="645"/>
      <c r="F95" s="645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4" t="str">
        <f>+VLOOKUP(LEFT($A96,LEN(A96)-1)*1,Master!$D$30:$G$229,4,FALSE)</f>
        <v>Doprinosi za penzijsko i invalidsko osiguranje</v>
      </c>
      <c r="C96" s="635"/>
      <c r="D96" s="635"/>
      <c r="E96" s="635"/>
      <c r="F96" s="635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4" t="str">
        <f>+VLOOKUP(LEFT($A97,LEN(A97)-1)*1,Master!$D$30:$G$229,4,FALSE)</f>
        <v>Doprinosi za zdravstveno osiguranje</v>
      </c>
      <c r="C97" s="635"/>
      <c r="D97" s="635"/>
      <c r="E97" s="635"/>
      <c r="F97" s="635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4" t="str">
        <f>+VLOOKUP(LEFT($A98,LEN(A98)-1)*1,Master!$D$30:$G$229,4,FALSE)</f>
        <v>Doprinosi za osiguranje od nezaposlenosti</v>
      </c>
      <c r="C98" s="635"/>
      <c r="D98" s="635"/>
      <c r="E98" s="635"/>
      <c r="F98" s="635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4" t="str">
        <f>+VLOOKUP(LEFT($A99,LEN(A99)-1)*1,Master!$D$30:$G$229,4,FALSE)</f>
        <v>Ostali doprinosi</v>
      </c>
      <c r="C99" s="635"/>
      <c r="D99" s="635"/>
      <c r="E99" s="635"/>
      <c r="F99" s="635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4" t="str">
        <f>+VLOOKUP(LEFT($A100,LEN(A100)-1)*1,Master!$D$30:$G$229,4,FALSE)</f>
        <v>Takse</v>
      </c>
      <c r="C100" s="645"/>
      <c r="D100" s="645"/>
      <c r="E100" s="645"/>
      <c r="F100" s="645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4" t="str">
        <f>+VLOOKUP(LEFT($A101,LEN(A101)-1)*1,Master!$D$30:$G$229,4,FALSE)</f>
        <v>Naknade</v>
      </c>
      <c r="C101" s="645"/>
      <c r="D101" s="645"/>
      <c r="E101" s="645"/>
      <c r="F101" s="645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4" t="str">
        <f>+VLOOKUP(LEFT($A102,LEN(A102)-1)*1,Master!$D$30:$G$229,4,FALSE)</f>
        <v>Ostali prihodi</v>
      </c>
      <c r="C102" s="645"/>
      <c r="D102" s="645"/>
      <c r="E102" s="645"/>
      <c r="F102" s="645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4" t="str">
        <f>+VLOOKUP(LEFT($A103,LEN(A103)-1)*1,Master!$D$30:$G$229,4,FALSE)</f>
        <v>Primici od otplate kredita i sredstva prenesena iz prethodne godine</v>
      </c>
      <c r="C103" s="645"/>
      <c r="D103" s="645"/>
      <c r="E103" s="645"/>
      <c r="F103" s="645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6" t="str">
        <f>+VLOOKUP(LEFT($A104,LEN(A104)-1)*1,Master!$D$30:$G$229,4,FALSE)</f>
        <v>Donacije i transferi</v>
      </c>
      <c r="C104" s="647"/>
      <c r="D104" s="647"/>
      <c r="E104" s="647"/>
      <c r="F104" s="647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30" t="str">
        <f>+VLOOKUP(LEFT($A105,LEN(A105)-1)*1,Master!$D$30:$G$229,4,FALSE)</f>
        <v>Izdaci budžeta</v>
      </c>
      <c r="C105" s="631"/>
      <c r="D105" s="631"/>
      <c r="E105" s="631"/>
      <c r="F105" s="631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8" t="str">
        <f>+VLOOKUP(LEFT($A106,LEN(A106)-1)*1,Master!$D$30:$G$229,4,FALSE)</f>
        <v>Tekući izdaci</v>
      </c>
      <c r="C106" s="649"/>
      <c r="D106" s="649"/>
      <c r="E106" s="649"/>
      <c r="F106" s="649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4" t="str">
        <f>+VLOOKUP(LEFT($A107,LEN(A107)-1)*1,Master!$D$30:$G$229,4,FALSE)</f>
        <v>Bruto zarade i doprinosi na teret poslodavca</v>
      </c>
      <c r="C107" s="635"/>
      <c r="D107" s="635"/>
      <c r="E107" s="635"/>
      <c r="F107" s="635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4" t="str">
        <f>+VLOOKUP(LEFT($A108,LEN(A108)-1)*1,Master!$D$30:$G$229,4,FALSE)</f>
        <v>Ostala lična primanja</v>
      </c>
      <c r="C108" s="635"/>
      <c r="D108" s="635"/>
      <c r="E108" s="635"/>
      <c r="F108" s="635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4" t="str">
        <f>+VLOOKUP(LEFT($A109,LEN(A109)-1)*1,Master!$D$30:$G$229,4,FALSE)</f>
        <v>Rashodi za materijal</v>
      </c>
      <c r="C109" s="635"/>
      <c r="D109" s="635"/>
      <c r="E109" s="635"/>
      <c r="F109" s="635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4" t="str">
        <f>+VLOOKUP(LEFT($A110,LEN(A110)-1)*1,Master!$D$30:$G$229,4,FALSE)</f>
        <v>Rashodi za usluge</v>
      </c>
      <c r="C110" s="635"/>
      <c r="D110" s="635"/>
      <c r="E110" s="635"/>
      <c r="F110" s="635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4" t="str">
        <f>+VLOOKUP(LEFT($A111,LEN(A111)-1)*1,Master!$D$30:$G$229,4,FALSE)</f>
        <v>Rashodi za tekuće održavanje</v>
      </c>
      <c r="C111" s="635"/>
      <c r="D111" s="635"/>
      <c r="E111" s="635"/>
      <c r="F111" s="635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4" t="str">
        <f>+VLOOKUP(LEFT($A112,LEN(A112)-1)*1,Master!$D$30:$G$229,4,FALSE)</f>
        <v>Kamate</v>
      </c>
      <c r="C112" s="635"/>
      <c r="D112" s="635"/>
      <c r="E112" s="635"/>
      <c r="F112" s="635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4" t="str">
        <f>+VLOOKUP(LEFT($A113,LEN(A113)-1)*1,Master!$D$30:$G$229,4,FALSE)</f>
        <v>Renta</v>
      </c>
      <c r="C113" s="635"/>
      <c r="D113" s="635"/>
      <c r="E113" s="635"/>
      <c r="F113" s="635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4" t="str">
        <f>+VLOOKUP(LEFT($A114,LEN(A114)-1)*1,Master!$D$30:$G$229,4,FALSE)</f>
        <v>Subvencije</v>
      </c>
      <c r="C114" s="635"/>
      <c r="D114" s="635"/>
      <c r="E114" s="635"/>
      <c r="F114" s="635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4" t="str">
        <f>+VLOOKUP(LEFT($A115,LEN(A115)-1)*1,Master!$D$30:$G$229,4,FALSE)</f>
        <v>Ostali izdaci</v>
      </c>
      <c r="C115" s="635"/>
      <c r="D115" s="635"/>
      <c r="E115" s="635"/>
      <c r="F115" s="635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4" t="str">
        <f>+VLOOKUP(LEFT($A116,LEN(A116)-1)*1,Master!$D$30:$G$229,4,FALSE)</f>
        <v>Transferi za socijalnu zaštitu</v>
      </c>
      <c r="C116" s="655"/>
      <c r="D116" s="655"/>
      <c r="E116" s="655"/>
      <c r="F116" s="655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4" t="str">
        <f>+VLOOKUP(LEFT($A117,LEN(A117)-1)*1,Master!$D$30:$G$229,4,FALSE)</f>
        <v>Prava iz oblasti socijalne zaštite</v>
      </c>
      <c r="C117" s="635"/>
      <c r="D117" s="635"/>
      <c r="E117" s="635"/>
      <c r="F117" s="635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4" t="str">
        <f>+VLOOKUP(LEFT($A118,LEN(A118)-1)*1,Master!$D$30:$G$229,4,FALSE)</f>
        <v>Sredstva za tehnološke viškove</v>
      </c>
      <c r="C118" s="635"/>
      <c r="D118" s="635"/>
      <c r="E118" s="635"/>
      <c r="F118" s="635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4" t="str">
        <f>+VLOOKUP(LEFT($A119,LEN(A119)-1)*1,Master!$D$30:$G$229,4,FALSE)</f>
        <v>Prava iz oblasti penzijskog i invalidskog osiguranja</v>
      </c>
      <c r="C119" s="635"/>
      <c r="D119" s="635"/>
      <c r="E119" s="635"/>
      <c r="F119" s="635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4" t="str">
        <f>+VLOOKUP(LEFT($A120,LEN(A120)-1)*1,Master!$D$30:$G$229,4,FALSE)</f>
        <v>Ostala prava iz oblasti zdravstvene zaštite</v>
      </c>
      <c r="C120" s="635"/>
      <c r="D120" s="635"/>
      <c r="E120" s="635"/>
      <c r="F120" s="635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4" t="str">
        <f>+VLOOKUP(LEFT($A121,LEN(A121)-1)*1,Master!$D$30:$G$229,4,FALSE)</f>
        <v>Ostala prava iz zdravstvenog osiguranja</v>
      </c>
      <c r="C121" s="635"/>
      <c r="D121" s="635"/>
      <c r="E121" s="635"/>
      <c r="F121" s="635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50" t="str">
        <f>+VLOOKUP(LEFT($A122,LEN(A122)-1)*1,Master!$D$30:$G$229,4,FALSE)</f>
        <v xml:space="preserve">Transferi institucijama, pojedincima, nevladinom i javnom sektoru </v>
      </c>
      <c r="C122" s="651"/>
      <c r="D122" s="651"/>
      <c r="E122" s="651"/>
      <c r="F122" s="651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50" t="str">
        <f>+VLOOKUP(LEFT($A123,LEN(A123)-1)*1,Master!$D$30:$G$229,4,FALSE)</f>
        <v>Kapitalni izdaci</v>
      </c>
      <c r="C123" s="651"/>
      <c r="D123" s="651"/>
      <c r="E123" s="651"/>
      <c r="F123" s="651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2" t="str">
        <f>+VLOOKUP(LEFT($A124,LEN(A124)-1)*1,Master!$D$30:$G$229,4,FALSE)</f>
        <v>Pozajmice i krediti</v>
      </c>
      <c r="C124" s="653"/>
      <c r="D124" s="653"/>
      <c r="E124" s="653"/>
      <c r="F124" s="653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2" t="str">
        <f>+VLOOKUP(LEFT($A125,LEN(A125)-1)*1,Master!$D$30:$G$229,4,FALSE)</f>
        <v>Rezerve</v>
      </c>
      <c r="C125" s="653"/>
      <c r="D125" s="653"/>
      <c r="E125" s="653"/>
      <c r="F125" s="653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2" t="str">
        <f>+VLOOKUP(LEFT($A126,LEN(A126)-1)*1,Master!$D$30:$G$229,4,FALSE)</f>
        <v>Otplata garancija</v>
      </c>
      <c r="C126" s="653"/>
      <c r="D126" s="653"/>
      <c r="E126" s="653"/>
      <c r="F126" s="65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2" t="str">
        <f>+VLOOKUP(LEFT($A127,LEN(A127)-1)*1,Master!$D$30:$G$229,4,FALSE)</f>
        <v>Otplata obaveza iz prethodnog perioda</v>
      </c>
      <c r="C127" s="653"/>
      <c r="D127" s="653"/>
      <c r="E127" s="653"/>
      <c r="F127" s="653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2" t="str">
        <f>+VLOOKUP(LEFT($A128,LEN(A128)-1)*1,Master!$D$30:$G$229,4,FALSE)</f>
        <v>Neto povećanje obaveza</v>
      </c>
      <c r="C128" s="653"/>
      <c r="D128" s="653"/>
      <c r="E128" s="653"/>
      <c r="F128" s="653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60" t="str">
        <f>+VLOOKUP(LEFT($A129,LEN(A129)-1)*1,Master!$D$30:$G$226,4,FALSE)</f>
        <v>Suficit / deficit</v>
      </c>
      <c r="C129" s="661"/>
      <c r="D129" s="661"/>
      <c r="E129" s="661"/>
      <c r="F129" s="661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2" t="str">
        <f>+VLOOKUP(LEFT($A130,LEN(A130)-1)*1,Master!$D$30:$G$226,4,FALSE)</f>
        <v>Primarni suficit/deficit</v>
      </c>
      <c r="C130" s="663"/>
      <c r="D130" s="663"/>
      <c r="E130" s="663"/>
      <c r="F130" s="663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4" t="str">
        <f>+VLOOKUP(LEFT($A131,LEN(A131)-1)*1,Master!$D$30:$G$226,4,FALSE)</f>
        <v>Otplata dugova</v>
      </c>
      <c r="C131" s="655"/>
      <c r="D131" s="655"/>
      <c r="E131" s="655"/>
      <c r="F131" s="655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8" t="str">
        <f>+VLOOKUP(LEFT($A132,LEN(A132)-1)*1,Master!$D$30:$G$226,4,FALSE)</f>
        <v>Otplata hartija od vrijednosti i kredita rezidentima</v>
      </c>
      <c r="C132" s="659"/>
      <c r="D132" s="659"/>
      <c r="E132" s="659"/>
      <c r="F132" s="659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2" t="str">
        <f>+VLOOKUP(LEFT($A133,LEN(A133)-1)*1,Master!$D$30:$G$226,4,FALSE)</f>
        <v>Otplata hartija od vrijednosti i kredita nerezidentima</v>
      </c>
      <c r="C133" s="653"/>
      <c r="D133" s="653"/>
      <c r="E133" s="653"/>
      <c r="F133" s="653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30" t="str">
        <f>+VLOOKUP(LEFT($A134,LEN(A134)-1)*1,Master!$D$30:$G$226,4,FALSE)</f>
        <v>Izdaci za kupovinu hartija od vrijednosti</v>
      </c>
      <c r="C134" s="631"/>
      <c r="D134" s="631"/>
      <c r="E134" s="631"/>
      <c r="F134" s="631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6" t="str">
        <f>+VLOOKUP(LEFT($A135,LEN(A135)-1)*1,Master!$D$30:$G$226,4,FALSE)</f>
        <v>Nedostajuća sredstva</v>
      </c>
      <c r="C135" s="657"/>
      <c r="D135" s="657"/>
      <c r="E135" s="657"/>
      <c r="F135" s="657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30" t="str">
        <f>+VLOOKUP(LEFT($A136,LEN(A136)-1)*1,Master!$D$30:$G$226,4,FALSE)</f>
        <v>Finansiranje</v>
      </c>
      <c r="C136" s="631"/>
      <c r="D136" s="631"/>
      <c r="E136" s="631"/>
      <c r="F136" s="631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8" t="str">
        <f>+VLOOKUP(LEFT($A137,LEN(A137)-1)*1,Master!$D$30:$G$226,4,FALSE)</f>
        <v>Pozajmice i krediti od domaćih izvora</v>
      </c>
      <c r="C137" s="659"/>
      <c r="D137" s="659"/>
      <c r="E137" s="659"/>
      <c r="F137" s="659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2" t="str">
        <f>+VLOOKUP(LEFT($A138,LEN(A138)-1)*1,Master!$D$30:$G$226,4,FALSE)</f>
        <v>Pozajmice i krediti od inostranih izvora</v>
      </c>
      <c r="C138" s="653"/>
      <c r="D138" s="653"/>
      <c r="E138" s="653"/>
      <c r="F138" s="653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2" t="str">
        <f>+VLOOKUP(LEFT($A139,LEN(A139)-1)*1,Master!$D$30:$G$226,4,FALSE)</f>
        <v>Primici od prodaje imovine</v>
      </c>
      <c r="C139" s="653"/>
      <c r="D139" s="653"/>
      <c r="E139" s="653"/>
      <c r="F139" s="653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2021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4955116000</v>
      </c>
    </row>
    <row r="8" spans="1:22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2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7" t="str">
        <f>+VLOOKUP($A19,Master!$D$30:$G$226,4,FALSE)</f>
        <v>Doprinosi</v>
      </c>
      <c r="C19" s="608"/>
      <c r="D19" s="608"/>
      <c r="E19" s="608"/>
      <c r="F19" s="608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5" t="str">
        <f>+VLOOKUP($A39,Master!$D$30:$G$226,4,FALSE)</f>
        <v>Ostali izdaci</v>
      </c>
      <c r="C39" s="616"/>
      <c r="D39" s="616"/>
      <c r="E39" s="616"/>
      <c r="F39" s="616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5" t="str">
        <f>+VLOOKUP($A59,Master!$D$30:$G$226,4,FALSE)</f>
        <v>Nedostajuća sredstva</v>
      </c>
      <c r="C59" s="586"/>
      <c r="D59" s="586"/>
      <c r="E59" s="586"/>
      <c r="F59" s="586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7" t="str">
        <f>+VLOOKUP($A60,Master!$D$30:$G$226,4,FALSE)</f>
        <v>Finansiranje</v>
      </c>
      <c r="C60" s="588"/>
      <c r="D60" s="588"/>
      <c r="E60" s="588"/>
      <c r="F60" s="588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1" t="str">
        <f>+VLOOKUP($A61,Master!$D$30:$G$226,4,FALSE)</f>
        <v>Pozajmice i krediti od domaćih izvora</v>
      </c>
      <c r="C61" s="582"/>
      <c r="D61" s="582"/>
      <c r="E61" s="582"/>
      <c r="F61" s="582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5" t="str">
        <f>+VLOOKUP($A62,Master!$D$30:$G$226,4,FALSE)</f>
        <v>Pozajmice i krediti od inostranih izvora</v>
      </c>
      <c r="C62" s="566"/>
      <c r="D62" s="566"/>
      <c r="E62" s="566"/>
      <c r="F62" s="566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5" t="str">
        <f>+VLOOKUP($A63,Master!$D$30:$G$226,4,FALSE)</f>
        <v>Primici od prodaje imovine</v>
      </c>
      <c r="C63" s="566"/>
      <c r="D63" s="566"/>
      <c r="E63" s="566"/>
      <c r="F63" s="566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6" t="str">
        <f>+Master!G253</f>
        <v>Plan ostvarenja budžeta</v>
      </c>
      <c r="C81" s="637"/>
      <c r="D81" s="637"/>
      <c r="E81" s="637"/>
      <c r="F81" s="637"/>
      <c r="G81" s="621">
        <v>2021</v>
      </c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23"/>
      <c r="S81" s="96" t="str">
        <f>+S7</f>
        <v>BDP</v>
      </c>
      <c r="T81" s="97">
        <v>4636600000</v>
      </c>
    </row>
    <row r="82" spans="1:21" ht="15.75" customHeight="1">
      <c r="B82" s="638"/>
      <c r="C82" s="639"/>
      <c r="D82" s="639"/>
      <c r="E82" s="639"/>
      <c r="F82" s="640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1" t="str">
        <f>+Master!G247</f>
        <v>Jan - Dec</v>
      </c>
      <c r="T82" s="623">
        <f>+T8</f>
        <v>0</v>
      </c>
    </row>
    <row r="83" spans="1:21" ht="13.5" thickBot="1">
      <c r="B83" s="641"/>
      <c r="C83" s="642"/>
      <c r="D83" s="642"/>
      <c r="E83" s="642"/>
      <c r="F83" s="643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6" t="str">
        <f>+VLOOKUP(LEFT($A84,LEN(A84)-1)*1,Master!$D$30:$G$226,4,FALSE)</f>
        <v>Prihodi budžeta</v>
      </c>
      <c r="C84" s="667"/>
      <c r="D84" s="667"/>
      <c r="E84" s="667"/>
      <c r="F84" s="667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2" t="str">
        <f>+VLOOKUP(LEFT($A85,LEN(A85)-1)*1,Master!$D$30:$G$226,4,FALSE)</f>
        <v>Porezi</v>
      </c>
      <c r="C85" s="633"/>
      <c r="D85" s="633"/>
      <c r="E85" s="633"/>
      <c r="F85" s="633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4" t="str">
        <f>+VLOOKUP(LEFT($A86,LEN(A86)-1)*1,Master!$D$30:$G$229,4,FALSE)</f>
        <v>Porez na dohodak fizičkih lica</v>
      </c>
      <c r="C86" s="635"/>
      <c r="D86" s="635"/>
      <c r="E86" s="635"/>
      <c r="F86" s="635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4" t="str">
        <f>+VLOOKUP(LEFT($A87,LEN(A87)-1)*1,Master!$D$30:$G$229,4,FALSE)</f>
        <v>Porez na dobit pravnih lica</v>
      </c>
      <c r="C87" s="635"/>
      <c r="D87" s="635"/>
      <c r="E87" s="635"/>
      <c r="F87" s="635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4" t="str">
        <f>+VLOOKUP(LEFT($A88,LEN(A88)-1)*1,Master!$D$30:$G$229,4,FALSE)</f>
        <v>Porez na promet nepokretnosti</v>
      </c>
      <c r="C88" s="635"/>
      <c r="D88" s="635"/>
      <c r="E88" s="635"/>
      <c r="F88" s="635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4" t="str">
        <f>+VLOOKUP(LEFT($A89,LEN(A89)-1)*1,Master!$D$30:$G$229,4,FALSE)</f>
        <v>Porez na dodatu vrijednost</v>
      </c>
      <c r="C89" s="635"/>
      <c r="D89" s="635"/>
      <c r="E89" s="635"/>
      <c r="F89" s="635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4" t="str">
        <f>+VLOOKUP(LEFT($A90,LEN(A90)-1)*1,Master!$D$30:$G$229,4,FALSE)</f>
        <v>Akcize</v>
      </c>
      <c r="C90" s="635"/>
      <c r="D90" s="635"/>
      <c r="E90" s="635"/>
      <c r="F90" s="635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4" t="str">
        <f>+VLOOKUP(LEFT($A91,LEN(A91)-1)*1,Master!$D$30:$G$229,4,FALSE)</f>
        <v>Porez na međunarodnu trgovinu i transakcije</v>
      </c>
      <c r="C91" s="635"/>
      <c r="D91" s="635"/>
      <c r="E91" s="635"/>
      <c r="F91" s="635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4" t="str">
        <f>+VLOOKUP(LEFT($A92,LEN(A92)-1)*1,Master!$D$30:$G$229,4,FALSE)</f>
        <v>Ostali državni porezi</v>
      </c>
      <c r="C92" s="635"/>
      <c r="D92" s="635"/>
      <c r="E92" s="635"/>
      <c r="F92" s="635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4" t="str">
        <f>+VLOOKUP(LEFT($A93,LEN(A93)-1)*1,Master!$D$30:$G$229,4,FALSE)</f>
        <v>Doprinosi</v>
      </c>
      <c r="C93" s="665"/>
      <c r="D93" s="665"/>
      <c r="E93" s="665"/>
      <c r="F93" s="665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4" t="str">
        <f>+VLOOKUP(LEFT($A94,LEN(A94)-1)*1,Master!$D$30:$G$229,4,FALSE)</f>
        <v>Doprinosi za penzijsko i invalidsko osiguranje</v>
      </c>
      <c r="C94" s="635"/>
      <c r="D94" s="635"/>
      <c r="E94" s="635"/>
      <c r="F94" s="635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4" t="str">
        <f>+VLOOKUP(LEFT($A95,LEN(A95)-1)*1,Master!$D$30:$G$229,4,FALSE)</f>
        <v>Doprinosi za zdravstveno osiguranje</v>
      </c>
      <c r="C95" s="635"/>
      <c r="D95" s="635"/>
      <c r="E95" s="635"/>
      <c r="F95" s="635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4" t="str">
        <f>+VLOOKUP(LEFT($A96,LEN(A96)-1)*1,Master!$D$30:$G$229,4,FALSE)</f>
        <v>Doprinosi za osiguranje od nezaposlenosti</v>
      </c>
      <c r="C96" s="635"/>
      <c r="D96" s="635"/>
      <c r="E96" s="635"/>
      <c r="F96" s="635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4" t="str">
        <f>+VLOOKUP(LEFT($A97,LEN(A97)-1)*1,Master!$D$30:$G$229,4,FALSE)</f>
        <v>Ostali doprinosi</v>
      </c>
      <c r="C97" s="635"/>
      <c r="D97" s="635"/>
      <c r="E97" s="635"/>
      <c r="F97" s="635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4" t="str">
        <f>+VLOOKUP(LEFT($A98,LEN(A98)-1)*1,Master!$D$30:$G$229,4,FALSE)</f>
        <v>Takse</v>
      </c>
      <c r="C98" s="645"/>
      <c r="D98" s="645"/>
      <c r="E98" s="645"/>
      <c r="F98" s="645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4" t="str">
        <f>+VLOOKUP(LEFT($A99,LEN(A99)-1)*1,Master!$D$30:$G$229,4,FALSE)</f>
        <v>Naknade</v>
      </c>
      <c r="C99" s="645"/>
      <c r="D99" s="645"/>
      <c r="E99" s="645"/>
      <c r="F99" s="645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4" t="str">
        <f>+VLOOKUP(LEFT($A100,LEN(A100)-1)*1,Master!$D$30:$G$229,4,FALSE)</f>
        <v>Ostali prihodi</v>
      </c>
      <c r="C100" s="645"/>
      <c r="D100" s="645"/>
      <c r="E100" s="645"/>
      <c r="F100" s="645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4" t="str">
        <f>+VLOOKUP(LEFT($A101,LEN(A101)-1)*1,Master!$D$30:$G$229,4,FALSE)</f>
        <v>Primici od otplate kredita i sredstva prenesena iz prethodne godine</v>
      </c>
      <c r="C101" s="645"/>
      <c r="D101" s="645"/>
      <c r="E101" s="645"/>
      <c r="F101" s="645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6" t="str">
        <f>+VLOOKUP(LEFT($A102,LEN(A102)-1)*1,Master!$D$30:$G$229,4,FALSE)</f>
        <v>Donacije i transferi</v>
      </c>
      <c r="C102" s="647"/>
      <c r="D102" s="647"/>
      <c r="E102" s="647"/>
      <c r="F102" s="647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30" t="str">
        <f>+VLOOKUP(LEFT($A103,LEN(A103)-1)*1,Master!$D$30:$G$229,4,FALSE)</f>
        <v>Izdaci budžeta</v>
      </c>
      <c r="C103" s="631"/>
      <c r="D103" s="631"/>
      <c r="E103" s="631"/>
      <c r="F103" s="631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8" t="str">
        <f>+VLOOKUP(LEFT($A104,LEN(A104)-1)*1,Master!$D$30:$G$229,4,FALSE)</f>
        <v>Tekući izdaci</v>
      </c>
      <c r="C104" s="649"/>
      <c r="D104" s="649"/>
      <c r="E104" s="649"/>
      <c r="F104" s="649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4" t="str">
        <f>+VLOOKUP(LEFT($A105,LEN(A105)-1)*1,Master!$D$30:$G$229,4,FALSE)</f>
        <v>Bruto zarade i doprinosi na teret poslodavca</v>
      </c>
      <c r="C105" s="635"/>
      <c r="D105" s="635"/>
      <c r="E105" s="635"/>
      <c r="F105" s="635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4" t="str">
        <f>+VLOOKUP(LEFT($A106,LEN(A106)-1)*1,Master!$D$30:$G$229,4,FALSE)</f>
        <v>Ostala lična primanja</v>
      </c>
      <c r="C106" s="635"/>
      <c r="D106" s="635"/>
      <c r="E106" s="635"/>
      <c r="F106" s="635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4" t="str">
        <f>+VLOOKUP(LEFT($A107,LEN(A107)-1)*1,Master!$D$30:$G$229,4,FALSE)</f>
        <v>Rashodi za materijal</v>
      </c>
      <c r="C107" s="635"/>
      <c r="D107" s="635"/>
      <c r="E107" s="635"/>
      <c r="F107" s="635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4" t="str">
        <f>+VLOOKUP(LEFT($A108,LEN(A108)-1)*1,Master!$D$30:$G$229,4,FALSE)</f>
        <v>Rashodi za usluge</v>
      </c>
      <c r="C108" s="635"/>
      <c r="D108" s="635"/>
      <c r="E108" s="635"/>
      <c r="F108" s="635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4" t="str">
        <f>+VLOOKUP(LEFT($A109,LEN(A109)-1)*1,Master!$D$30:$G$229,4,FALSE)</f>
        <v>Rashodi za tekuće održavanje</v>
      </c>
      <c r="C109" s="635"/>
      <c r="D109" s="635"/>
      <c r="E109" s="635"/>
      <c r="F109" s="635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4" t="str">
        <f>+VLOOKUP(LEFT($A110,LEN(A110)-1)*1,Master!$D$30:$G$229,4,FALSE)</f>
        <v>Kamate</v>
      </c>
      <c r="C110" s="635"/>
      <c r="D110" s="635"/>
      <c r="E110" s="635"/>
      <c r="F110" s="635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4" t="str">
        <f>+VLOOKUP(LEFT($A111,LEN(A111)-1)*1,Master!$D$30:$G$229,4,FALSE)</f>
        <v>Renta</v>
      </c>
      <c r="C111" s="635"/>
      <c r="D111" s="635"/>
      <c r="E111" s="635"/>
      <c r="F111" s="635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4" t="str">
        <f>+VLOOKUP(LEFT($A112,LEN(A112)-1)*1,Master!$D$30:$G$229,4,FALSE)</f>
        <v>Subvencije</v>
      </c>
      <c r="C112" s="635"/>
      <c r="D112" s="635"/>
      <c r="E112" s="635"/>
      <c r="F112" s="635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4" t="str">
        <f>+VLOOKUP(LEFT($A113,LEN(A113)-1)*1,Master!$D$30:$G$229,4,FALSE)</f>
        <v>Ostali izdaci</v>
      </c>
      <c r="C113" s="635"/>
      <c r="D113" s="635"/>
      <c r="E113" s="635"/>
      <c r="F113" s="635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4" t="str">
        <f>+VLOOKUP(LEFT($A114,LEN(A114)-1)*1,Master!$D$30:$G$229,4,FALSE)</f>
        <v>Transferi za socijalnu zaštitu</v>
      </c>
      <c r="C114" s="655"/>
      <c r="D114" s="655"/>
      <c r="E114" s="655"/>
      <c r="F114" s="655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4" t="str">
        <f>+VLOOKUP(LEFT($A115,LEN(A115)-1)*1,Master!$D$30:$G$229,4,FALSE)</f>
        <v>Prava iz oblasti socijalne zaštite</v>
      </c>
      <c r="C115" s="635"/>
      <c r="D115" s="635"/>
      <c r="E115" s="635"/>
      <c r="F115" s="635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4" t="str">
        <f>+VLOOKUP(LEFT($A116,LEN(A116)-1)*1,Master!$D$30:$G$229,4,FALSE)</f>
        <v>Sredstva za tehnološke viškove</v>
      </c>
      <c r="C116" s="635"/>
      <c r="D116" s="635"/>
      <c r="E116" s="635"/>
      <c r="F116" s="635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4" t="str">
        <f>+VLOOKUP(LEFT($A117,LEN(A117)-1)*1,Master!$D$30:$G$229,4,FALSE)</f>
        <v>Prava iz oblasti penzijskog i invalidskog osiguranja</v>
      </c>
      <c r="C117" s="635"/>
      <c r="D117" s="635"/>
      <c r="E117" s="635"/>
      <c r="F117" s="635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4" t="str">
        <f>+VLOOKUP(LEFT($A118,LEN(A118)-1)*1,Master!$D$30:$G$229,4,FALSE)</f>
        <v>Ostala prava iz oblasti zdravstvene zaštite</v>
      </c>
      <c r="C118" s="635"/>
      <c r="D118" s="635"/>
      <c r="E118" s="635"/>
      <c r="F118" s="635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4" t="str">
        <f>+VLOOKUP(LEFT($A119,LEN(A119)-1)*1,Master!$D$30:$G$229,4,FALSE)</f>
        <v>Ostala prava iz zdravstvenog osiguranja</v>
      </c>
      <c r="C119" s="635"/>
      <c r="D119" s="635"/>
      <c r="E119" s="635"/>
      <c r="F119" s="635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50" t="str">
        <f>+VLOOKUP(LEFT($A120,LEN(A120)-1)*1,Master!$D$30:$G$229,4,FALSE)</f>
        <v xml:space="preserve">Transferi institucijama, pojedincima, nevladinom i javnom sektoru </v>
      </c>
      <c r="C120" s="651"/>
      <c r="D120" s="651"/>
      <c r="E120" s="651"/>
      <c r="F120" s="651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50" t="str">
        <f>+VLOOKUP(LEFT($A121,LEN(A121)-1)*1,Master!$D$30:$G$229,4,FALSE)</f>
        <v>Kapitalni izdaci</v>
      </c>
      <c r="C121" s="651"/>
      <c r="D121" s="651"/>
      <c r="E121" s="651"/>
      <c r="F121" s="651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2" t="str">
        <f>+VLOOKUP(LEFT($A122,LEN(A122)-1)*1,Master!$D$30:$G$229,4,FALSE)</f>
        <v>Pozajmice i krediti</v>
      </c>
      <c r="C122" s="653"/>
      <c r="D122" s="653"/>
      <c r="E122" s="653"/>
      <c r="F122" s="653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2" t="str">
        <f>+VLOOKUP(LEFT($A123,LEN(A123)-1)*1,Master!$D$30:$G$229,4,FALSE)</f>
        <v>Rezerve</v>
      </c>
      <c r="C123" s="653"/>
      <c r="D123" s="653"/>
      <c r="E123" s="653"/>
      <c r="F123" s="653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2" t="str">
        <f>+VLOOKUP(LEFT($A124,LEN(A124)-1)*1,Master!$D$30:$G$229,4,FALSE)</f>
        <v>Otplata garancija</v>
      </c>
      <c r="C124" s="653"/>
      <c r="D124" s="653"/>
      <c r="E124" s="653"/>
      <c r="F124" s="653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2" t="str">
        <f>+VLOOKUP(LEFT($A125,LEN(A125)-1)*1,Master!$D$30:$G$229,4,FALSE)</f>
        <v>Otplata obaveza iz prethodnog perioda</v>
      </c>
      <c r="C125" s="653"/>
      <c r="D125" s="653"/>
      <c r="E125" s="653"/>
      <c r="F125" s="653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2" t="str">
        <f>+VLOOKUP(LEFT($A126,LEN(A126)-1)*1,Master!$D$30:$G$229,4,FALSE)</f>
        <v>Neto povećanje obaveza</v>
      </c>
      <c r="C126" s="653"/>
      <c r="D126" s="653"/>
      <c r="E126" s="653"/>
      <c r="F126" s="653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60" t="str">
        <f>+VLOOKUP(LEFT($A127,LEN(A127)-1)*1,Master!$D$30:$G$226,4,FALSE)</f>
        <v>Suficit / deficit</v>
      </c>
      <c r="C127" s="661"/>
      <c r="D127" s="661"/>
      <c r="E127" s="661"/>
      <c r="F127" s="661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2" t="str">
        <f>+VLOOKUP(LEFT($A128,LEN(A128)-1)*1,Master!$D$30:$G$226,4,FALSE)</f>
        <v>Primarni suficit/deficit</v>
      </c>
      <c r="C128" s="663"/>
      <c r="D128" s="663"/>
      <c r="E128" s="663"/>
      <c r="F128" s="663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4" t="str">
        <f>+VLOOKUP(LEFT($A129,LEN(A129)-1)*1,Master!$D$30:$G$226,4,FALSE)</f>
        <v>Otplata dugova</v>
      </c>
      <c r="C129" s="655"/>
      <c r="D129" s="655"/>
      <c r="E129" s="655"/>
      <c r="F129" s="655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8" t="str">
        <f>+VLOOKUP(LEFT($A130,LEN(A130)-1)*1,Master!$D$30:$G$226,4,FALSE)</f>
        <v>Otplata hartija od vrijednosti i kredita rezidentima</v>
      </c>
      <c r="C130" s="659"/>
      <c r="D130" s="659"/>
      <c r="E130" s="659"/>
      <c r="F130" s="659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2" t="str">
        <f>+VLOOKUP(LEFT($A131,LEN(A131)-1)*1,Master!$D$30:$G$226,4,FALSE)</f>
        <v>Otplata hartija od vrijednosti i kredita nerezidentima</v>
      </c>
      <c r="C131" s="653"/>
      <c r="D131" s="653"/>
      <c r="E131" s="653"/>
      <c r="F131" s="653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30" t="str">
        <f>+VLOOKUP(LEFT($A132,LEN(A132)-1)*1,Master!$D$30:$G$226,4,FALSE)</f>
        <v>Izdaci za kupovinu hartija od vrijednosti</v>
      </c>
      <c r="C132" s="631"/>
      <c r="D132" s="631"/>
      <c r="E132" s="631"/>
      <c r="F132" s="631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6" t="str">
        <f>+VLOOKUP(LEFT($A133,LEN(A133)-1)*1,Master!$D$30:$G$226,4,FALSE)</f>
        <v>Nedostajuća sredstva</v>
      </c>
      <c r="C133" s="657"/>
      <c r="D133" s="657"/>
      <c r="E133" s="657"/>
      <c r="F133" s="657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30" t="str">
        <f>+VLOOKUP(LEFT($A134,LEN(A134)-1)*1,Master!$D$30:$G$226,4,FALSE)</f>
        <v>Finansiranje</v>
      </c>
      <c r="C134" s="631"/>
      <c r="D134" s="631"/>
      <c r="E134" s="631"/>
      <c r="F134" s="631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8" t="str">
        <f>+VLOOKUP(LEFT($A135,LEN(A135)-1)*1,Master!$D$30:$G$226,4,FALSE)</f>
        <v>Pozajmice i krediti od domaćih izvora</v>
      </c>
      <c r="C135" s="659"/>
      <c r="D135" s="659"/>
      <c r="E135" s="659"/>
      <c r="F135" s="659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2" t="str">
        <f>+VLOOKUP(LEFT($A136,LEN(A136)-1)*1,Master!$D$30:$G$226,4,FALSE)</f>
        <v>Pozajmice i krediti od inostranih izvora</v>
      </c>
      <c r="C136" s="653"/>
      <c r="D136" s="653"/>
      <c r="E136" s="653"/>
      <c r="F136" s="653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2" t="str">
        <f>+VLOOKUP(LEFT($A137,LEN(A137)-1)*1,Master!$D$30:$G$226,4,FALSE)</f>
        <v>Primici od prodaje imovine</v>
      </c>
      <c r="C137" s="653"/>
      <c r="D137" s="653"/>
      <c r="E137" s="653"/>
      <c r="F137" s="653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7" t="str">
        <f>+Master!G252</f>
        <v>Ostvarenje budžeta</v>
      </c>
      <c r="C7" s="568"/>
      <c r="D7" s="568"/>
      <c r="E7" s="568"/>
      <c r="F7" s="568"/>
      <c r="G7" s="576">
        <v>2020</v>
      </c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80"/>
      <c r="S7" s="220" t="str">
        <f>+Master!G249</f>
        <v>BDP</v>
      </c>
      <c r="T7" s="221">
        <v>4185600000</v>
      </c>
    </row>
    <row r="8" spans="1:20" ht="16.5" customHeight="1">
      <c r="A8" s="129"/>
      <c r="B8" s="569"/>
      <c r="C8" s="570"/>
      <c r="D8" s="570"/>
      <c r="E8" s="570"/>
      <c r="F8" s="57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6" t="str">
        <f>+Master!G247</f>
        <v>Jan - Dec</v>
      </c>
      <c r="T8" s="580"/>
    </row>
    <row r="9" spans="1:20" ht="13.5" thickBot="1">
      <c r="A9" s="129"/>
      <c r="B9" s="572"/>
      <c r="C9" s="573"/>
      <c r="D9" s="573"/>
      <c r="E9" s="573"/>
      <c r="F9" s="57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9" t="str">
        <f>+VLOOKUP($A10,Master!$D$30:$G$226,4,FALSE)</f>
        <v>Prihodi budžeta</v>
      </c>
      <c r="C10" s="610"/>
      <c r="D10" s="610"/>
      <c r="E10" s="610"/>
      <c r="F10" s="610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1" t="str">
        <f>+VLOOKUP($A11,Master!$D$30:$G$226,4,FALSE)</f>
        <v>Porezi</v>
      </c>
      <c r="C11" s="612"/>
      <c r="D11" s="612"/>
      <c r="E11" s="612"/>
      <c r="F11" s="612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7" t="str">
        <f>+VLOOKUP($A12,Master!$D$30:$G$226,4,FALSE)</f>
        <v>Porez na dohodak fizičkih lica</v>
      </c>
      <c r="C12" s="598"/>
      <c r="D12" s="598"/>
      <c r="E12" s="598"/>
      <c r="F12" s="598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7" t="str">
        <f>+VLOOKUP($A13,Master!$D$30:$G$226,4,FALSE)</f>
        <v>Porez na dobit pravnih lica</v>
      </c>
      <c r="C13" s="598"/>
      <c r="D13" s="598"/>
      <c r="E13" s="598"/>
      <c r="F13" s="598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7" t="str">
        <f>+VLOOKUP($A14,Master!$D$30:$G$226,4,FALSE)</f>
        <v>Porez na promet nepokretnosti</v>
      </c>
      <c r="C14" s="598"/>
      <c r="D14" s="598"/>
      <c r="E14" s="598"/>
      <c r="F14" s="598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7" t="str">
        <f>+VLOOKUP($A15,Master!$D$30:$G$226,4,FALSE)</f>
        <v>Porez na dodatu vrijednost</v>
      </c>
      <c r="C15" s="598"/>
      <c r="D15" s="598"/>
      <c r="E15" s="598"/>
      <c r="F15" s="598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7" t="str">
        <f>+VLOOKUP($A16,Master!$D$30:$G$226,4,FALSE)</f>
        <v>Akcize</v>
      </c>
      <c r="C16" s="598"/>
      <c r="D16" s="598"/>
      <c r="E16" s="598"/>
      <c r="F16" s="598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7" t="str">
        <f>+VLOOKUP($A17,Master!$D$30:$G$226,4,FALSE)</f>
        <v>Porez na međunarodnu trgovinu i transakcije</v>
      </c>
      <c r="C17" s="598"/>
      <c r="D17" s="598"/>
      <c r="E17" s="598"/>
      <c r="F17" s="598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7" t="str">
        <f>+VLOOKUP($A18,Master!$D$30:$G$226,4,FALSE)</f>
        <v>Ostali državni porezi</v>
      </c>
      <c r="C18" s="598"/>
      <c r="D18" s="598"/>
      <c r="E18" s="598"/>
      <c r="F18" s="598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7" t="str">
        <f>+VLOOKUP($A19,Master!$D$30:$G$226,4,FALSE)</f>
        <v>Doprinosi</v>
      </c>
      <c r="C19" s="608"/>
      <c r="D19" s="608"/>
      <c r="E19" s="608"/>
      <c r="F19" s="608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7" t="str">
        <f>+VLOOKUP($A20,Master!$D$30:$G$226,4,FALSE)</f>
        <v>Doprinosi za penzijsko i invalidsko osiguranje</v>
      </c>
      <c r="C20" s="598"/>
      <c r="D20" s="598"/>
      <c r="E20" s="598"/>
      <c r="F20" s="598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7" t="str">
        <f>+VLOOKUP($A21,Master!$D$30:$G$226,4,FALSE)</f>
        <v>Doprinosi za zdravstveno osiguranje</v>
      </c>
      <c r="C21" s="598"/>
      <c r="D21" s="598"/>
      <c r="E21" s="598"/>
      <c r="F21" s="598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7" t="str">
        <f>+VLOOKUP($A22,Master!$D$30:$G$226,4,FALSE)</f>
        <v>Doprinosi za osiguranje od nezaposlenosti</v>
      </c>
      <c r="C22" s="598"/>
      <c r="D22" s="598"/>
      <c r="E22" s="598"/>
      <c r="F22" s="598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7" t="str">
        <f>+VLOOKUP($A23,Master!$D$30:$G$226,4,FALSE)</f>
        <v>Ostali doprinosi</v>
      </c>
      <c r="C23" s="598"/>
      <c r="D23" s="598"/>
      <c r="E23" s="598"/>
      <c r="F23" s="598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9" t="str">
        <f>+VLOOKUP($A24,Master!$D$30:$G$226,4,FALSE)</f>
        <v>Takse</v>
      </c>
      <c r="C24" s="600"/>
      <c r="D24" s="600"/>
      <c r="E24" s="600"/>
      <c r="F24" s="600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9" t="str">
        <f>+VLOOKUP($A25,Master!$D$30:$G$226,4,FALSE)</f>
        <v>Naknade</v>
      </c>
      <c r="C25" s="600"/>
      <c r="D25" s="600"/>
      <c r="E25" s="600"/>
      <c r="F25" s="600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9" t="str">
        <f>+VLOOKUP($A26,Master!$D$30:$G$226,4,FALSE)</f>
        <v>Ostali prihodi</v>
      </c>
      <c r="C26" s="600"/>
      <c r="D26" s="600"/>
      <c r="E26" s="600"/>
      <c r="F26" s="600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9" t="str">
        <f>+VLOOKUP($A27,Master!$D$30:$G$226,4,FALSE)</f>
        <v>Primici od otplate kredita i sredstva prenesena iz prethodne godine</v>
      </c>
      <c r="C27" s="600"/>
      <c r="D27" s="600"/>
      <c r="E27" s="600"/>
      <c r="F27" s="600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1" t="str">
        <f>+VLOOKUP($A28,Master!$D$30:$G$226,4,FALSE)</f>
        <v>Donacije i transferi</v>
      </c>
      <c r="C28" s="602"/>
      <c r="D28" s="602"/>
      <c r="E28" s="602"/>
      <c r="F28" s="602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7" t="str">
        <f>+VLOOKUP($A29,Master!$D$30:$G$226,4,FALSE)</f>
        <v>Izdaci budžeta</v>
      </c>
      <c r="C29" s="588"/>
      <c r="D29" s="588"/>
      <c r="E29" s="588"/>
      <c r="F29" s="588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5" t="str">
        <f>+VLOOKUP($A30,Master!$D$30:$G$226,4,FALSE)</f>
        <v>Tekući izdaci</v>
      </c>
      <c r="C30" s="606"/>
      <c r="D30" s="606"/>
      <c r="E30" s="606"/>
      <c r="F30" s="606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7" t="str">
        <f>+VLOOKUP($A31,Master!$D$30:$G$226,4,FALSE)</f>
        <v>Bruto zarade i doprinosi na teret poslodavca</v>
      </c>
      <c r="C31" s="598"/>
      <c r="D31" s="598"/>
      <c r="E31" s="598"/>
      <c r="F31" s="598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7" t="str">
        <f>+VLOOKUP($A32,Master!$D$30:$G$226,4,FALSE)</f>
        <v>Ostala lična primanja</v>
      </c>
      <c r="C32" s="598"/>
      <c r="D32" s="598"/>
      <c r="E32" s="598"/>
      <c r="F32" s="598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7" t="str">
        <f>+VLOOKUP($A33,Master!$D$30:$G$226,4,FALSE)</f>
        <v>Rashodi za materijal</v>
      </c>
      <c r="C33" s="598"/>
      <c r="D33" s="598"/>
      <c r="E33" s="598"/>
      <c r="F33" s="598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5" t="str">
        <f>+VLOOKUP($A34,Master!$D$30:$G$226,4,FALSE)</f>
        <v>Rashodi za usluge</v>
      </c>
      <c r="C34" s="616"/>
      <c r="D34" s="616"/>
      <c r="E34" s="616"/>
      <c r="F34" s="616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7" t="str">
        <f>+VLOOKUP($A35,Master!$D$30:$G$226,4,FALSE)</f>
        <v>Rashodi za tekuće održavanje</v>
      </c>
      <c r="C35" s="598"/>
      <c r="D35" s="598"/>
      <c r="E35" s="598"/>
      <c r="F35" s="598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7" t="str">
        <f>+VLOOKUP($A36,Master!$D$30:$G$226,4,FALSE)</f>
        <v>Kamate</v>
      </c>
      <c r="C36" s="598"/>
      <c r="D36" s="598"/>
      <c r="E36" s="598"/>
      <c r="F36" s="598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7" t="str">
        <f>+VLOOKUP($A37,Master!$D$30:$G$226,4,FALSE)</f>
        <v>Renta</v>
      </c>
      <c r="C37" s="598"/>
      <c r="D37" s="598"/>
      <c r="E37" s="598"/>
      <c r="F37" s="598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7" t="str">
        <f>+VLOOKUP($A38,Master!$D$30:$G$226,4,FALSE)</f>
        <v>Subvencije</v>
      </c>
      <c r="C38" s="598"/>
      <c r="D38" s="598"/>
      <c r="E38" s="598"/>
      <c r="F38" s="598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5" t="str">
        <f>+VLOOKUP($A39,Master!$D$30:$G$226,4,FALSE)</f>
        <v>Ostali izdaci</v>
      </c>
      <c r="C39" s="616"/>
      <c r="D39" s="616"/>
      <c r="E39" s="616"/>
      <c r="F39" s="616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3" t="str">
        <f>+VLOOKUP($A40,Master!$D$30:$G$226,4,FALSE)</f>
        <v>Transferi za socijalnu zaštitu</v>
      </c>
      <c r="C40" s="594"/>
      <c r="D40" s="594"/>
      <c r="E40" s="594"/>
      <c r="F40" s="594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7" t="str">
        <f>+VLOOKUP($A41,Master!$D$30:$G$226,4,FALSE)</f>
        <v>Prava iz oblasti socijalne zaštite</v>
      </c>
      <c r="C41" s="598"/>
      <c r="D41" s="598"/>
      <c r="E41" s="598"/>
      <c r="F41" s="598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7" t="str">
        <f>+VLOOKUP($A42,Master!$D$30:$G$226,4,FALSE)</f>
        <v>Sredstva za tehnološke viškove</v>
      </c>
      <c r="C42" s="598"/>
      <c r="D42" s="598"/>
      <c r="E42" s="598"/>
      <c r="F42" s="598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7" t="str">
        <f>+VLOOKUP($A43,Master!$D$30:$G$226,4,FALSE)</f>
        <v>Prava iz oblasti penzijskog i invalidskog osiguranja</v>
      </c>
      <c r="C43" s="598"/>
      <c r="D43" s="598"/>
      <c r="E43" s="598"/>
      <c r="F43" s="598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7" t="str">
        <f>+VLOOKUP($A44,Master!$D$30:$G$226,4,FALSE)</f>
        <v>Ostala prava iz oblasti zdravstvene zaštite</v>
      </c>
      <c r="C44" s="598"/>
      <c r="D44" s="598"/>
      <c r="E44" s="598"/>
      <c r="F44" s="598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7" t="str">
        <f>+VLOOKUP($A45,Master!$D$30:$G$226,4,FALSE)</f>
        <v>Ostala prava iz zdravstvenog osiguranja</v>
      </c>
      <c r="C45" s="618"/>
      <c r="D45" s="618"/>
      <c r="E45" s="618"/>
      <c r="F45" s="618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5" t="str">
        <f>+VLOOKUP($A46,Master!$D$30:$G$226,4,FALSE)</f>
        <v xml:space="preserve">Transferi institucijama, pojedincima, nevladinom i javnom sektoru </v>
      </c>
      <c r="C46" s="596"/>
      <c r="D46" s="596"/>
      <c r="E46" s="596"/>
      <c r="F46" s="596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5" t="str">
        <f>+VLOOKUP($A47,Master!$D$30:$G$226,4,FALSE)</f>
        <v>Kapitalni izdaci</v>
      </c>
      <c r="C47" s="596"/>
      <c r="D47" s="596"/>
      <c r="E47" s="596"/>
      <c r="F47" s="596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9" t="str">
        <f>+VLOOKUP($A48,Master!$D$30:$G$226,4,FALSE)</f>
        <v>Pozajmice i krediti</v>
      </c>
      <c r="C48" s="620"/>
      <c r="D48" s="620"/>
      <c r="E48" s="620"/>
      <c r="F48" s="620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4" t="str">
        <f>+VLOOKUP($A49,Master!$D$30:$G$226,4,FALSE)</f>
        <v>Rezerve</v>
      </c>
      <c r="C49" s="625"/>
      <c r="D49" s="625"/>
      <c r="E49" s="625"/>
      <c r="F49" s="625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3" t="str">
        <f>+VLOOKUP($A50,Master!$D$30:$G$226,4,FALSE)</f>
        <v>Otplata garancija</v>
      </c>
      <c r="C50" s="584"/>
      <c r="D50" s="584"/>
      <c r="E50" s="584"/>
      <c r="F50" s="584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6" t="str">
        <f>+VLOOKUP($A51,Master!$D$30:$G$226,4,TRUE)</f>
        <v>Otplata obaveza iz prethodnog perioda</v>
      </c>
      <c r="C51" s="627"/>
      <c r="D51" s="627"/>
      <c r="E51" s="627"/>
      <c r="F51" s="627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8" t="str">
        <f>+VLOOKUP($A52,Master!$D$30:$G$228,4,FALSE)</f>
        <v>Neto povećanje obaveza</v>
      </c>
      <c r="C52" s="629"/>
      <c r="D52" s="629"/>
      <c r="E52" s="629"/>
      <c r="F52" s="629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9" t="str">
        <f>+VLOOKUP($A53,Master!$D$30:$G$226,4,FALSE)</f>
        <v>Suficit / deficit</v>
      </c>
      <c r="C53" s="590"/>
      <c r="D53" s="590"/>
      <c r="E53" s="590"/>
      <c r="F53" s="590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1" t="str">
        <f>+VLOOKUP($A54,Master!$D$30:$G$226,4,FALSE)</f>
        <v>Primarni suficit/deficit</v>
      </c>
      <c r="C54" s="592"/>
      <c r="D54" s="592"/>
      <c r="E54" s="592"/>
      <c r="F54" s="592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3" t="str">
        <f>+VLOOKUP($A55,Master!$D$30:$G$226,4,FALSE)</f>
        <v>Otplata dugova</v>
      </c>
      <c r="C55" s="614"/>
      <c r="D55" s="614"/>
      <c r="E55" s="614"/>
      <c r="F55" s="614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1" t="str">
        <f>+VLOOKUP($A56,Master!$D$30:$G$226,4,FALSE)</f>
        <v>Otplata hartija od vrijednosti i kredita rezidentima</v>
      </c>
      <c r="C56" s="582"/>
      <c r="D56" s="582"/>
      <c r="E56" s="582"/>
      <c r="F56" s="582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5" t="str">
        <f>+VLOOKUP($A57,Master!$D$30:$G$226,4,FALSE)</f>
        <v>Otplata hartija od vrijednosti i kredita nerezidentima</v>
      </c>
      <c r="C57" s="566"/>
      <c r="D57" s="566"/>
      <c r="E57" s="566"/>
      <c r="F57" s="566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3" t="str">
        <f>+VLOOKUP($A58,Master!$D$30:$G$226,4,FALSE)</f>
        <v>Izdaci za kupovinu hartija od vrijednosti</v>
      </c>
      <c r="C58" s="604"/>
      <c r="D58" s="604"/>
      <c r="E58" s="604"/>
      <c r="F58" s="604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5" t="str">
        <f>+VLOOKUP($A59,Master!$D$30:$G$226,4,FALSE)</f>
        <v>Nedostajuća sredstva</v>
      </c>
      <c r="C59" s="586"/>
      <c r="D59" s="586"/>
      <c r="E59" s="586"/>
      <c r="F59" s="586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7" t="str">
        <f>+VLOOKUP($A60,Master!$D$30:$G$226,4,FALSE)</f>
        <v>Finansiranje</v>
      </c>
      <c r="C60" s="588"/>
      <c r="D60" s="588"/>
      <c r="E60" s="588"/>
      <c r="F60" s="588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1" t="str">
        <f>+VLOOKUP($A61,Master!$D$30:$G$226,4,FALSE)</f>
        <v>Pozajmice i krediti od domaćih izvora</v>
      </c>
      <c r="C61" s="582"/>
      <c r="D61" s="582"/>
      <c r="E61" s="582"/>
      <c r="F61" s="582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5" t="str">
        <f>+VLOOKUP($A62,Master!$D$30:$G$226,4,FALSE)</f>
        <v>Pozajmice i krediti od inostranih izvora</v>
      </c>
      <c r="C62" s="566"/>
      <c r="D62" s="566"/>
      <c r="E62" s="566"/>
      <c r="F62" s="566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5" t="str">
        <f>+VLOOKUP($A63,Master!$D$30:$G$226,4,FALSE)</f>
        <v>Primici od prodaje imovine</v>
      </c>
      <c r="C63" s="566"/>
      <c r="D63" s="566"/>
      <c r="E63" s="566"/>
      <c r="F63" s="566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6" t="str">
        <f>+Master!G253</f>
        <v>Plan ostvarenja budžeta</v>
      </c>
      <c r="C100" s="637"/>
      <c r="D100" s="637"/>
      <c r="E100" s="637"/>
      <c r="F100" s="637"/>
      <c r="G100" s="621">
        <v>2020</v>
      </c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23"/>
      <c r="S100" s="96" t="str">
        <f>+S7</f>
        <v>BDP</v>
      </c>
      <c r="T100" s="97">
        <v>4607300000</v>
      </c>
    </row>
    <row r="101" spans="1:21" ht="15.75" customHeight="1">
      <c r="B101" s="638"/>
      <c r="C101" s="639"/>
      <c r="D101" s="639"/>
      <c r="E101" s="639"/>
      <c r="F101" s="640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1" t="str">
        <f>+Master!G247</f>
        <v>Jan - Dec</v>
      </c>
      <c r="T101" s="623">
        <f>+T8</f>
        <v>0</v>
      </c>
    </row>
    <row r="102" spans="1:21" ht="13.5" thickBot="1">
      <c r="B102" s="641"/>
      <c r="C102" s="642"/>
      <c r="D102" s="642"/>
      <c r="E102" s="642"/>
      <c r="F102" s="643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6" t="str">
        <f>+VLOOKUP(LEFT($A103,LEN(A103)-1)*1,Master!$D$30:$G$226,4,FALSE)</f>
        <v>Prihodi budžeta</v>
      </c>
      <c r="C103" s="667"/>
      <c r="D103" s="667"/>
      <c r="E103" s="667"/>
      <c r="F103" s="667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2" t="str">
        <f>+VLOOKUP(LEFT($A104,LEN(A104)-1)*1,Master!$D$30:$G$226,4,FALSE)</f>
        <v>Porezi</v>
      </c>
      <c r="C104" s="633"/>
      <c r="D104" s="633"/>
      <c r="E104" s="633"/>
      <c r="F104" s="633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4" t="str">
        <f>+VLOOKUP(LEFT($A105,LEN(A105)-1)*1,Master!$D$30:$G$229,4,FALSE)</f>
        <v>Porez na dohodak fizičkih lica</v>
      </c>
      <c r="C105" s="635"/>
      <c r="D105" s="635"/>
      <c r="E105" s="635"/>
      <c r="F105" s="635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4" t="str">
        <f>+VLOOKUP(LEFT($A106,LEN(A106)-1)*1,Master!$D$30:$G$229,4,FALSE)</f>
        <v>Porez na dobit pravnih lica</v>
      </c>
      <c r="C106" s="635"/>
      <c r="D106" s="635"/>
      <c r="E106" s="635"/>
      <c r="F106" s="635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4" t="str">
        <f>+VLOOKUP(LEFT($A107,LEN(A107)-1)*1,Master!$D$30:$G$229,4,FALSE)</f>
        <v>Porez na promet nepokretnosti</v>
      </c>
      <c r="C107" s="635"/>
      <c r="D107" s="635"/>
      <c r="E107" s="635"/>
      <c r="F107" s="635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4" t="str">
        <f>+VLOOKUP(LEFT($A108,LEN(A108)-1)*1,Master!$D$30:$G$229,4,FALSE)</f>
        <v>Porez na dodatu vrijednost</v>
      </c>
      <c r="C108" s="635"/>
      <c r="D108" s="635"/>
      <c r="E108" s="635"/>
      <c r="F108" s="635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4" t="str">
        <f>+VLOOKUP(LEFT($A109,LEN(A109)-1)*1,Master!$D$30:$G$229,4,FALSE)</f>
        <v>Akcize</v>
      </c>
      <c r="C109" s="635"/>
      <c r="D109" s="635"/>
      <c r="E109" s="635"/>
      <c r="F109" s="635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4" t="str">
        <f>+VLOOKUP(LEFT($A110,LEN(A110)-1)*1,Master!$D$30:$G$229,4,FALSE)</f>
        <v>Porez na međunarodnu trgovinu i transakcije</v>
      </c>
      <c r="C110" s="635"/>
      <c r="D110" s="635"/>
      <c r="E110" s="635"/>
      <c r="F110" s="635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4" t="str">
        <f>+VLOOKUP(LEFT($A111,LEN(A111)-1)*1,Master!$D$30:$G$229,4,FALSE)</f>
        <v>Ostali državni porezi</v>
      </c>
      <c r="C111" s="635"/>
      <c r="D111" s="635"/>
      <c r="E111" s="635"/>
      <c r="F111" s="635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4" t="str">
        <f>+VLOOKUP(LEFT($A112,LEN(A112)-1)*1,Master!$D$30:$G$229,4,FALSE)</f>
        <v>Doprinosi</v>
      </c>
      <c r="C112" s="665"/>
      <c r="D112" s="665"/>
      <c r="E112" s="665"/>
      <c r="F112" s="665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4" t="str">
        <f>+VLOOKUP(LEFT($A113,LEN(A113)-1)*1,Master!$D$30:$G$229,4,FALSE)</f>
        <v>Doprinosi za penzijsko i invalidsko osiguranje</v>
      </c>
      <c r="C113" s="635"/>
      <c r="D113" s="635"/>
      <c r="E113" s="635"/>
      <c r="F113" s="635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4" t="str">
        <f>+VLOOKUP(LEFT($A114,LEN(A114)-1)*1,Master!$D$30:$G$229,4,FALSE)</f>
        <v>Doprinosi za zdravstveno osiguranje</v>
      </c>
      <c r="C114" s="635"/>
      <c r="D114" s="635"/>
      <c r="E114" s="635"/>
      <c r="F114" s="635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4" t="str">
        <f>+VLOOKUP(LEFT($A115,LEN(A115)-1)*1,Master!$D$30:$G$229,4,FALSE)</f>
        <v>Doprinosi za osiguranje od nezaposlenosti</v>
      </c>
      <c r="C115" s="635"/>
      <c r="D115" s="635"/>
      <c r="E115" s="635"/>
      <c r="F115" s="635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4" t="str">
        <f>+VLOOKUP(LEFT($A116,LEN(A116)-1)*1,Master!$D$30:$G$229,4,FALSE)</f>
        <v>Ostali doprinosi</v>
      </c>
      <c r="C116" s="635"/>
      <c r="D116" s="635"/>
      <c r="E116" s="635"/>
      <c r="F116" s="635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4" t="str">
        <f>+VLOOKUP(LEFT($A117,LEN(A117)-1)*1,Master!$D$30:$G$229,4,FALSE)</f>
        <v>Takse</v>
      </c>
      <c r="C117" s="645"/>
      <c r="D117" s="645"/>
      <c r="E117" s="645"/>
      <c r="F117" s="645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4" t="str">
        <f>+VLOOKUP(LEFT($A118,LEN(A118)-1)*1,Master!$D$30:$G$229,4,FALSE)</f>
        <v>Naknade</v>
      </c>
      <c r="C118" s="645"/>
      <c r="D118" s="645"/>
      <c r="E118" s="645"/>
      <c r="F118" s="645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4" t="str">
        <f>+VLOOKUP(LEFT($A119,LEN(A119)-1)*1,Master!$D$30:$G$229,4,FALSE)</f>
        <v>Ostali prihodi</v>
      </c>
      <c r="C119" s="645"/>
      <c r="D119" s="645"/>
      <c r="E119" s="645"/>
      <c r="F119" s="645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4" t="str">
        <f>+VLOOKUP(LEFT($A120,LEN(A120)-1)*1,Master!$D$30:$G$229,4,FALSE)</f>
        <v>Primici od otplate kredita i sredstva prenesena iz prethodne godine</v>
      </c>
      <c r="C120" s="645"/>
      <c r="D120" s="645"/>
      <c r="E120" s="645"/>
      <c r="F120" s="645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6" t="str">
        <f>+VLOOKUP(LEFT($A121,LEN(A121)-1)*1,Master!$D$30:$G$229,4,FALSE)</f>
        <v>Donacije i transferi</v>
      </c>
      <c r="C121" s="647"/>
      <c r="D121" s="647"/>
      <c r="E121" s="647"/>
      <c r="F121" s="647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30" t="str">
        <f>+VLOOKUP(LEFT($A122,LEN(A122)-1)*1,Master!$D$30:$G$229,4,FALSE)</f>
        <v>Izdaci budžeta</v>
      </c>
      <c r="C122" s="631"/>
      <c r="D122" s="631"/>
      <c r="E122" s="631"/>
      <c r="F122" s="631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8" t="str">
        <f>+VLOOKUP(LEFT($A123,LEN(A123)-1)*1,Master!$D$30:$G$229,4,FALSE)</f>
        <v>Tekući izdaci</v>
      </c>
      <c r="C123" s="649"/>
      <c r="D123" s="649"/>
      <c r="E123" s="649"/>
      <c r="F123" s="649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4" t="str">
        <f>+VLOOKUP(LEFT($A124,LEN(A124)-1)*1,Master!$D$30:$G$229,4,FALSE)</f>
        <v>Bruto zarade i doprinosi na teret poslodavca</v>
      </c>
      <c r="C124" s="635"/>
      <c r="D124" s="635"/>
      <c r="E124" s="635"/>
      <c r="F124" s="635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4" t="str">
        <f>+VLOOKUP(LEFT($A125,LEN(A125)-1)*1,Master!$D$30:$G$229,4,FALSE)</f>
        <v>Ostala lična primanja</v>
      </c>
      <c r="C125" s="635"/>
      <c r="D125" s="635"/>
      <c r="E125" s="635"/>
      <c r="F125" s="635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4" t="str">
        <f>+VLOOKUP(LEFT($A126,LEN(A126)-1)*1,Master!$D$30:$G$229,4,FALSE)</f>
        <v>Rashodi za materijal</v>
      </c>
      <c r="C126" s="635"/>
      <c r="D126" s="635"/>
      <c r="E126" s="635"/>
      <c r="F126" s="635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4" t="str">
        <f>+VLOOKUP(LEFT($A127,LEN(A127)-1)*1,Master!$D$30:$G$229,4,FALSE)</f>
        <v>Rashodi za usluge</v>
      </c>
      <c r="C127" s="635"/>
      <c r="D127" s="635"/>
      <c r="E127" s="635"/>
      <c r="F127" s="635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4" t="str">
        <f>+VLOOKUP(LEFT($A128,LEN(A128)-1)*1,Master!$D$30:$G$229,4,FALSE)</f>
        <v>Rashodi za tekuće održavanje</v>
      </c>
      <c r="C128" s="635"/>
      <c r="D128" s="635"/>
      <c r="E128" s="635"/>
      <c r="F128" s="635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4" t="str">
        <f>+VLOOKUP(LEFT($A129,LEN(A129)-1)*1,Master!$D$30:$G$229,4,FALSE)</f>
        <v>Kamate</v>
      </c>
      <c r="C129" s="635"/>
      <c r="D129" s="635"/>
      <c r="E129" s="635"/>
      <c r="F129" s="635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4" t="str">
        <f>+VLOOKUP(LEFT($A130,LEN(A130)-1)*1,Master!$D$30:$G$229,4,FALSE)</f>
        <v>Renta</v>
      </c>
      <c r="C130" s="635"/>
      <c r="D130" s="635"/>
      <c r="E130" s="635"/>
      <c r="F130" s="635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4" t="str">
        <f>+VLOOKUP(LEFT($A131,LEN(A131)-1)*1,Master!$D$30:$G$229,4,FALSE)</f>
        <v>Subvencije</v>
      </c>
      <c r="C131" s="635"/>
      <c r="D131" s="635"/>
      <c r="E131" s="635"/>
      <c r="F131" s="635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4" t="str">
        <f>+VLOOKUP(LEFT($A132,LEN(A132)-1)*1,Master!$D$30:$G$229,4,FALSE)</f>
        <v>Ostali izdaci</v>
      </c>
      <c r="C132" s="635"/>
      <c r="D132" s="635"/>
      <c r="E132" s="635"/>
      <c r="F132" s="635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4" t="str">
        <f>+VLOOKUP(LEFT($A133,LEN(A133)-1)*1,Master!$D$30:$G$229,4,FALSE)</f>
        <v>Transferi za socijalnu zaštitu</v>
      </c>
      <c r="C133" s="655"/>
      <c r="D133" s="655"/>
      <c r="E133" s="655"/>
      <c r="F133" s="655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4" t="str">
        <f>+VLOOKUP(LEFT($A134,LEN(A134)-1)*1,Master!$D$30:$G$229,4,FALSE)</f>
        <v>Prava iz oblasti socijalne zaštite</v>
      </c>
      <c r="C134" s="635"/>
      <c r="D134" s="635"/>
      <c r="E134" s="635"/>
      <c r="F134" s="635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4" t="str">
        <f>+VLOOKUP(LEFT($A135,LEN(A135)-1)*1,Master!$D$30:$G$229,4,FALSE)</f>
        <v>Sredstva za tehnološke viškove</v>
      </c>
      <c r="C135" s="635"/>
      <c r="D135" s="635"/>
      <c r="E135" s="635"/>
      <c r="F135" s="635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4" t="str">
        <f>+VLOOKUP(LEFT($A136,LEN(A136)-1)*1,Master!$D$30:$G$229,4,FALSE)</f>
        <v>Prava iz oblasti penzijskog i invalidskog osiguranja</v>
      </c>
      <c r="C136" s="635"/>
      <c r="D136" s="635"/>
      <c r="E136" s="635"/>
      <c r="F136" s="635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4" t="str">
        <f>+VLOOKUP(LEFT($A137,LEN(A137)-1)*1,Master!$D$30:$G$229,4,FALSE)</f>
        <v>Ostala prava iz oblasti zdravstvene zaštite</v>
      </c>
      <c r="C137" s="635"/>
      <c r="D137" s="635"/>
      <c r="E137" s="635"/>
      <c r="F137" s="635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4" t="str">
        <f>+VLOOKUP(LEFT($A138,LEN(A138)-1)*1,Master!$D$30:$G$229,4,FALSE)</f>
        <v>Ostala prava iz zdravstvenog osiguranja</v>
      </c>
      <c r="C138" s="635"/>
      <c r="D138" s="635"/>
      <c r="E138" s="635"/>
      <c r="F138" s="635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50" t="str">
        <f>+VLOOKUP(LEFT($A139,LEN(A139)-1)*1,Master!$D$30:$G$229,4,FALSE)</f>
        <v xml:space="preserve">Transferi institucijama, pojedincima, nevladinom i javnom sektoru </v>
      </c>
      <c r="C139" s="651"/>
      <c r="D139" s="651"/>
      <c r="E139" s="651"/>
      <c r="F139" s="651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50" t="str">
        <f>+VLOOKUP(LEFT($A140,LEN(A140)-1)*1,Master!$D$30:$G$229,4,FALSE)</f>
        <v>Kapitalni izdaci</v>
      </c>
      <c r="C140" s="651"/>
      <c r="D140" s="651"/>
      <c r="E140" s="651"/>
      <c r="F140" s="651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2" t="str">
        <f>+VLOOKUP(LEFT($A141,LEN(A141)-1)*1,Master!$D$30:$G$229,4,FALSE)</f>
        <v>Pozajmice i krediti</v>
      </c>
      <c r="C141" s="653"/>
      <c r="D141" s="653"/>
      <c r="E141" s="653"/>
      <c r="F141" s="653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2" t="str">
        <f>+VLOOKUP(LEFT($A142,LEN(A142)-1)*1,Master!$D$30:$G$229,4,FALSE)</f>
        <v>Rezerve</v>
      </c>
      <c r="C142" s="653"/>
      <c r="D142" s="653"/>
      <c r="E142" s="653"/>
      <c r="F142" s="653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2" t="str">
        <f>+VLOOKUP(LEFT($A143,LEN(A143)-1)*1,Master!$D$30:$G$229,4,FALSE)</f>
        <v>Otplata garancija</v>
      </c>
      <c r="C143" s="653"/>
      <c r="D143" s="653"/>
      <c r="E143" s="653"/>
      <c r="F143" s="653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2" t="str">
        <f>+VLOOKUP(LEFT($A144,LEN(A144)-1)*1,Master!$D$30:$G$229,4,FALSE)</f>
        <v>Otplata obaveza iz prethodnog perioda</v>
      </c>
      <c r="C144" s="653"/>
      <c r="D144" s="653"/>
      <c r="E144" s="653"/>
      <c r="F144" s="653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2" t="str">
        <f>+VLOOKUP(LEFT($A145,LEN(A145)-1)*1,Master!$D$30:$G$229,4,FALSE)</f>
        <v>Neto povećanje obaveza</v>
      </c>
      <c r="C145" s="653"/>
      <c r="D145" s="653"/>
      <c r="E145" s="653"/>
      <c r="F145" s="653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60" t="str">
        <f>+VLOOKUP(LEFT($A146,LEN(A146)-1)*1,Master!$D$30:$G$226,4,FALSE)</f>
        <v>Suficit / deficit</v>
      </c>
      <c r="C146" s="661"/>
      <c r="D146" s="661"/>
      <c r="E146" s="661"/>
      <c r="F146" s="661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2" t="str">
        <f>+VLOOKUP(LEFT($A147,LEN(A147)-1)*1,Master!$D$30:$G$226,4,FALSE)</f>
        <v>Primarni suficit/deficit</v>
      </c>
      <c r="C147" s="663"/>
      <c r="D147" s="663"/>
      <c r="E147" s="663"/>
      <c r="F147" s="663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4" t="str">
        <f>+VLOOKUP(LEFT($A148,LEN(A148)-1)*1,Master!$D$30:$G$226,4,FALSE)</f>
        <v>Otplata dugova</v>
      </c>
      <c r="C148" s="655"/>
      <c r="D148" s="655"/>
      <c r="E148" s="655"/>
      <c r="F148" s="655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8" t="str">
        <f>+VLOOKUP(LEFT($A149,LEN(A149)-1)*1,Master!$D$30:$G$226,4,FALSE)</f>
        <v>Otplata hartija od vrijednosti i kredita rezidentima</v>
      </c>
      <c r="C149" s="659"/>
      <c r="D149" s="659"/>
      <c r="E149" s="659"/>
      <c r="F149" s="659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2" t="str">
        <f>+VLOOKUP(LEFT($A150,LEN(A150)-1)*1,Master!$D$30:$G$226,4,FALSE)</f>
        <v>Otplata hartija od vrijednosti i kredita nerezidentima</v>
      </c>
      <c r="C150" s="653"/>
      <c r="D150" s="653"/>
      <c r="E150" s="653"/>
      <c r="F150" s="653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30" t="str">
        <f>+VLOOKUP(LEFT($A151,LEN(A151)-1)*1,Master!$D$30:$G$226,4,FALSE)</f>
        <v>Izdaci za kupovinu hartija od vrijednosti</v>
      </c>
      <c r="C151" s="631"/>
      <c r="D151" s="631"/>
      <c r="E151" s="631"/>
      <c r="F151" s="631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6" t="str">
        <f>+VLOOKUP(LEFT($A152,LEN(A152)-1)*1,Master!$D$30:$G$226,4,FALSE)</f>
        <v>Nedostajuća sredstva</v>
      </c>
      <c r="C152" s="657"/>
      <c r="D152" s="657"/>
      <c r="E152" s="657"/>
      <c r="F152" s="657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30" t="str">
        <f>+VLOOKUP(LEFT($A153,LEN(A153)-1)*1,Master!$D$30:$G$226,4,FALSE)</f>
        <v>Finansiranje</v>
      </c>
      <c r="C153" s="631"/>
      <c r="D153" s="631"/>
      <c r="E153" s="631"/>
      <c r="F153" s="631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8" t="str">
        <f>+VLOOKUP(LEFT($A154,LEN(A154)-1)*1,Master!$D$30:$G$226,4,FALSE)</f>
        <v>Pozajmice i krediti od domaćih izvora</v>
      </c>
      <c r="C154" s="659"/>
      <c r="D154" s="659"/>
      <c r="E154" s="659"/>
      <c r="F154" s="659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2" t="str">
        <f>+VLOOKUP(LEFT($A155,LEN(A155)-1)*1,Master!$D$30:$G$226,4,FALSE)</f>
        <v>Pozajmice i krediti od inostranih izvora</v>
      </c>
      <c r="C155" s="653"/>
      <c r="D155" s="653"/>
      <c r="E155" s="653"/>
      <c r="F155" s="653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2" t="str">
        <f>+VLOOKUP(LEFT($A156,LEN(A156)-1)*1,Master!$D$30:$G$226,4,FALSE)</f>
        <v>Primici od prodaje imovine</v>
      </c>
      <c r="C156" s="653"/>
      <c r="D156" s="653"/>
      <c r="E156" s="653"/>
      <c r="F156" s="653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2025-12-24T08:41:01Z</dcterms:modified>
</cp:coreProperties>
</file>