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L 2025\"/>
    </mc:Choice>
  </mc:AlternateContent>
  <xr:revisionPtr revIDLastSave="0" documentId="13_ncr:1_{7B3075A7-9E84-422E-BC2D-0792012C12BC}" xr6:coauthVersionLast="36" xr6:coauthVersionMax="36" xr10:uidLastSave="{00000000-0000-0000-0000-000000000000}"/>
  <workbookProtection workbookAlgorithmName="SHA-512" workbookHashValue="kLT4423+JEDnYQVYELtga/nIxdMulujXOtzG/lF6ycZWiBuKn4eKPj8JObesahCctAuFoXveIJ6Xz5J4KdyqtA==" workbookSaltValue="aXejQ6jukSEFPBV9UP6b8A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N105" i="28" s="1"/>
  <c r="N129" i="28" s="1"/>
  <c r="N130" i="28" s="1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s="1"/>
  <c r="G130" i="28" s="1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N55" i="11" s="1"/>
  <c r="L55" i="28"/>
  <c r="K55" i="28"/>
  <c r="J55" i="28"/>
  <c r="I55" i="28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R29" i="28" s="1"/>
  <c r="Q40" i="28"/>
  <c r="P40" i="28"/>
  <c r="O40" i="28"/>
  <c r="N40" i="28"/>
  <c r="M40" i="28"/>
  <c r="N40" i="11" s="1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N30" i="11" s="1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N19" i="11" s="1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M11" i="28"/>
  <c r="N11" i="11" s="1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M10" i="28" l="1"/>
  <c r="N10" i="11" s="1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O53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N53" i="28"/>
  <c r="N54" i="28" s="1"/>
  <c r="J53" i="28"/>
  <c r="R53" i="28"/>
  <c r="R54" i="28" s="1"/>
  <c r="O54" i="28"/>
  <c r="O60" i="28"/>
  <c r="O66" i="28" s="1"/>
  <c r="O61" i="28" s="1"/>
  <c r="S30" i="28"/>
  <c r="S87" i="28"/>
  <c r="T87" i="28" s="1"/>
  <c r="M53" i="28" l="1"/>
  <c r="N53" i="11" s="1"/>
  <c r="N29" i="11"/>
  <c r="L53" i="28"/>
  <c r="L54" i="28" s="1"/>
  <c r="D12" i="1"/>
  <c r="K53" i="28"/>
  <c r="J54" i="28"/>
  <c r="I53" i="28"/>
  <c r="I54" i="28" s="1"/>
  <c r="P53" i="28"/>
  <c r="H53" i="28"/>
  <c r="H54" i="28" s="1"/>
  <c r="D16" i="1"/>
  <c r="T19" i="28"/>
  <c r="S10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M54" i="28"/>
  <c r="N54" i="11" s="1"/>
  <c r="M60" i="28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S29" i="28"/>
  <c r="J60" i="28"/>
  <c r="M66" i="28" l="1"/>
  <c r="N60" i="11"/>
  <c r="L60" i="28"/>
  <c r="D20" i="1"/>
  <c r="K60" i="28"/>
  <c r="K54" i="28"/>
  <c r="S54" i="28" s="1"/>
  <c r="I60" i="28"/>
  <c r="I66" i="28" s="1"/>
  <c r="J66" i="28"/>
  <c r="H60" i="28"/>
  <c r="H66" i="28" s="1"/>
  <c r="G10" i="11"/>
  <c r="T10" i="28"/>
  <c r="S53" i="28"/>
  <c r="S60" i="28" s="1"/>
  <c r="G60" i="28"/>
  <c r="G66" i="28" s="1"/>
  <c r="G61" i="28" s="1"/>
  <c r="T29" i="28"/>
  <c r="G29" i="11"/>
  <c r="S129" i="28"/>
  <c r="G19" i="26"/>
  <c r="H19" i="26"/>
  <c r="M61" i="28" l="1"/>
  <c r="N61" i="11" s="1"/>
  <c r="N66" i="11"/>
  <c r="L66" i="28"/>
  <c r="K66" i="28"/>
  <c r="J61" i="28"/>
  <c r="I61" i="28"/>
  <c r="T129" i="28"/>
  <c r="H61" i="28"/>
  <c r="T53" i="28"/>
  <c r="G53" i="11"/>
  <c r="G60" i="11"/>
  <c r="T54" i="28"/>
  <c r="G54" i="11"/>
  <c r="S130" i="28"/>
  <c r="S136" i="28"/>
  <c r="S66" i="28"/>
  <c r="T60" i="28"/>
  <c r="G55" i="26"/>
  <c r="L61" i="28" l="1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<sst xmlns="http://schemas.openxmlformats.org/spreadsheetml/2006/main" count="1911" uniqueCount="881">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</sst>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1,579.0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 mil. € ili 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6.0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67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21.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5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9.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2025. godinu. 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  <a:r>
            <a:rPr lang="en-US">
              <a:hlinkClick xmlns:r="http://schemas.openxmlformats.org/officeDocument/2006/relationships" r:id=""/>
            </a:rPr>
            <a:t>e2ded470-2a2e-480c-980e-f4b2d3185ac1 (wapi.gov.me) </a:t>
          </a:r>
          <a:endParaRPr lang="sr-Latn-ME"/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2025-07</v>
      </c>
      <c r="O6" s="128" t="str">
        <f>+CONCATENATE(N6,"p")</f>
        <v>2025-07p</v>
      </c>
      <c r="P6" s="116"/>
      <c r="Q6" s="116"/>
      <c r="R6" s="128" t="str">
        <f>+IF(Master!B3-10&gt;=0,CONCATENATE(Master!B4-1,"-",Master!B3),CONCATENATE(Master!B4-1,"-0",Master!B3))</f>
        <v>2024-07</v>
      </c>
      <c r="S6" s="116"/>
      <c r="T6" s="116"/>
    </row>
    <row r="7" spans="1:20">
      <c r="A7" s="129"/>
      <c r="B7" s="593" t="s">
        <v>691</v>
      </c>
      <c r="C7" s="594"/>
      <c r="D7" s="594"/>
      <c r="E7" s="594"/>
      <c r="F7" s="594"/>
      <c r="G7" s="602" t="s">
        <v>690</v>
      </c>
      <c r="H7" s="603"/>
      <c r="I7" s="603"/>
      <c r="J7" s="603"/>
      <c r="K7" s="603"/>
      <c r="L7" s="603"/>
      <c r="M7" s="604"/>
      <c r="N7" s="605" t="str">
        <f>+Master!G243</f>
        <v>Decembar</v>
      </c>
      <c r="O7" s="603"/>
      <c r="P7" s="603"/>
      <c r="Q7" s="603"/>
      <c r="R7" s="603"/>
      <c r="S7" s="603"/>
      <c r="T7" s="606"/>
    </row>
    <row r="8" spans="1:20">
      <c r="A8" s="129"/>
      <c r="B8" s="595"/>
      <c r="C8" s="596"/>
      <c r="D8" s="596"/>
      <c r="E8" s="596"/>
      <c r="F8" s="597"/>
      <c r="G8" s="130" t="str">
        <f>+Master!G26</f>
        <v>Ostvarenje</v>
      </c>
      <c r="H8" s="130" t="str">
        <f>+Master!G25</f>
        <v>Plan</v>
      </c>
      <c r="I8" s="591" t="str">
        <f>+Master!G261</f>
        <v>Odstupanje</v>
      </c>
      <c r="J8" s="591"/>
      <c r="K8" s="130" t="str">
        <f>+CONCATENATE(Master!G246," ",Master!B4-1)</f>
        <v>Jan - Jul 2024</v>
      </c>
      <c r="L8" s="591" t="str">
        <f>+I8</f>
        <v>Odstupanje</v>
      </c>
      <c r="M8" s="601"/>
      <c r="N8" s="131" t="str">
        <f>+G8</f>
        <v>Ostvarenje</v>
      </c>
      <c r="O8" s="130" t="str">
        <f>+H8</f>
        <v>Plan</v>
      </c>
      <c r="P8" s="591" t="str">
        <f>+I8</f>
        <v>Odstupanje</v>
      </c>
      <c r="Q8" s="591"/>
      <c r="R8" s="130" t="str">
        <f>+CONCATENATE(Master!G245," ",Master!B4-1)</f>
        <v>Jul 2024</v>
      </c>
      <c r="S8" s="591" t="str">
        <f>+P8</f>
        <v>Odstupanje</v>
      </c>
      <c r="T8" s="592"/>
    </row>
    <row r="9" spans="1:20" ht="15.7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65" t="e">
        <f>+VLOOKUP($A18,Master!$D$30:$G$226,4,FALSE)</f>
        <v>#N/A</v>
      </c>
      <c r="C18" s="566"/>
      <c r="D18" s="566"/>
      <c r="E18" s="566"/>
      <c r="F18" s="566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65" t="str">
        <f>+VLOOKUP($A19,Master!$D$30:$G$226,4,FALSE)</f>
        <v>Ostali državni porezi</v>
      </c>
      <c r="C19" s="566"/>
      <c r="D19" s="566"/>
      <c r="E19" s="566"/>
      <c r="F19" s="566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9" t="str">
        <f>+VLOOKUP($A20,Master!$D$30:$G$226,4,FALSE)</f>
        <v>Doprinosi</v>
      </c>
      <c r="C20" s="570"/>
      <c r="D20" s="570"/>
      <c r="E20" s="570"/>
      <c r="F20" s="57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65" t="str">
        <f>+VLOOKUP($A21,Master!$D$30:$G$226,4,FALSE)</f>
        <v>Doprinosi za penzijsko i invalidsko osiguranje</v>
      </c>
      <c r="C21" s="566"/>
      <c r="D21" s="566"/>
      <c r="E21" s="566"/>
      <c r="F21" s="566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65" t="str">
        <f>+VLOOKUP($A22,Master!$D$30:$G$226,4,FALSE)</f>
        <v>Doprinosi za zdravstveno osiguranje</v>
      </c>
      <c r="C22" s="566"/>
      <c r="D22" s="566"/>
      <c r="E22" s="566"/>
      <c r="F22" s="566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65" t="str">
        <f>+VLOOKUP($A23,Master!$D$30:$G$226,4,FALSE)</f>
        <v>Doprinosi za osiguranje od nezaposlenosti</v>
      </c>
      <c r="C23" s="566"/>
      <c r="D23" s="566"/>
      <c r="E23" s="566"/>
      <c r="F23" s="566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65" t="str">
        <f>+VLOOKUP($A24,Master!$D$30:$G$226,4,FALSE)</f>
        <v>Ostali doprinosi</v>
      </c>
      <c r="C24" s="566"/>
      <c r="D24" s="566"/>
      <c r="E24" s="566"/>
      <c r="F24" s="566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7" t="str">
        <f>+VLOOKUP($A25,Master!$D$30:$G$226,4,FALSE)</f>
        <v>Takse</v>
      </c>
      <c r="C25" s="568"/>
      <c r="D25" s="568"/>
      <c r="E25" s="568"/>
      <c r="F25" s="568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7" t="str">
        <f>+VLOOKUP($A26,Master!$D$30:$G$226,4,FALSE)</f>
        <v>Naknade</v>
      </c>
      <c r="C26" s="568"/>
      <c r="D26" s="568"/>
      <c r="E26" s="568"/>
      <c r="F26" s="568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7" t="str">
        <f>+VLOOKUP($A27,Master!$D$30:$G$226,4,FALSE)</f>
        <v>Ostali prihodi</v>
      </c>
      <c r="C27" s="568"/>
      <c r="D27" s="568"/>
      <c r="E27" s="568"/>
      <c r="F27" s="568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7" t="str">
        <f>+VLOOKUP($A28,Master!$D$30:$G$226,4,FALSE)</f>
        <v>Primici od otplate kredita i sredstva prenesena iz prethodne godine</v>
      </c>
      <c r="C28" s="568"/>
      <c r="D28" s="568"/>
      <c r="E28" s="568"/>
      <c r="F28" s="568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1" t="str">
        <f>+VLOOKUP($A29,Master!$D$30:$G$226,4,FALSE)</f>
        <v>Donacije i transferi</v>
      </c>
      <c r="C29" s="572"/>
      <c r="D29" s="572"/>
      <c r="E29" s="572"/>
      <c r="F29" s="572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3" t="str">
        <f>+VLOOKUP($A30,Master!$D$30:$G$226,4,FALSE)</f>
        <v>Izdaci budžeta</v>
      </c>
      <c r="C30" s="574"/>
      <c r="D30" s="574"/>
      <c r="E30" s="574"/>
      <c r="F30" s="574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75" t="str">
        <f>+VLOOKUP($A31,Master!$D$30:$G$226,4,FALSE)</f>
        <v>Tekući izdaci</v>
      </c>
      <c r="C31" s="576"/>
      <c r="D31" s="576"/>
      <c r="E31" s="576"/>
      <c r="F31" s="57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7" t="str">
        <f>+VLOOKUP($A32,Master!$D$30:$G$226,4,FALSE)</f>
        <v>Tekuća budžetska potrošnja</v>
      </c>
      <c r="C32" s="578"/>
      <c r="D32" s="578"/>
      <c r="E32" s="578"/>
      <c r="F32" s="57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65" t="str">
        <f>+VLOOKUP($A33,Master!$D$30:$G$226,4,FALSE)</f>
        <v>Bruto zarade i doprinosi na teret poslodavca</v>
      </c>
      <c r="C33" s="566"/>
      <c r="D33" s="566"/>
      <c r="E33" s="566"/>
      <c r="F33" s="566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65" t="str">
        <f>+VLOOKUP($A34,Master!$D$30:$G$226,4,FALSE)</f>
        <v>Ostala lična primanja</v>
      </c>
      <c r="C34" s="566"/>
      <c r="D34" s="566"/>
      <c r="E34" s="566"/>
      <c r="F34" s="566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65" t="str">
        <f>+VLOOKUP($A35,Master!$D$30:$G$226,4,FALSE)</f>
        <v>Rashodi za materijal</v>
      </c>
      <c r="C35" s="566"/>
      <c r="D35" s="566"/>
      <c r="E35" s="566"/>
      <c r="F35" s="566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65" t="str">
        <f>+VLOOKUP($A36,Master!$D$30:$G$226,4,FALSE)</f>
        <v>Rashodi za usluge</v>
      </c>
      <c r="C36" s="566"/>
      <c r="D36" s="566"/>
      <c r="E36" s="566"/>
      <c r="F36" s="566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65" t="str">
        <f>+VLOOKUP($A37,Master!$D$30:$G$226,4,FALSE)</f>
        <v>Rashodi za tekuće održavanje</v>
      </c>
      <c r="C37" s="566"/>
      <c r="D37" s="566"/>
      <c r="E37" s="566"/>
      <c r="F37" s="566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65" t="str">
        <f>+VLOOKUP($A38,Master!$D$30:$G$226,4,FALSE)</f>
        <v>Kamate</v>
      </c>
      <c r="C38" s="566"/>
      <c r="D38" s="566"/>
      <c r="E38" s="566"/>
      <c r="F38" s="566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65" t="str">
        <f>+VLOOKUP($A39,Master!$D$30:$G$226,4,FALSE)</f>
        <v>Renta</v>
      </c>
      <c r="C39" s="566"/>
      <c r="D39" s="566"/>
      <c r="E39" s="566"/>
      <c r="F39" s="566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65" t="str">
        <f>+VLOOKUP($A40,Master!$D$30:$G$226,4,FALSE)</f>
        <v>Subvencije</v>
      </c>
      <c r="C40" s="566"/>
      <c r="D40" s="566"/>
      <c r="E40" s="566"/>
      <c r="F40" s="566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65" t="str">
        <f>+VLOOKUP($A41,Master!$D$30:$G$226,4,FALSE)</f>
        <v>Ostali izdaci</v>
      </c>
      <c r="C41" s="566"/>
      <c r="D41" s="566"/>
      <c r="E41" s="566"/>
      <c r="F41" s="566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65" t="e">
        <f>+VLOOKUP($A42,Master!$D$30:$G$226,4,FALSE)</f>
        <v>#N/A</v>
      </c>
      <c r="C42" s="566"/>
      <c r="D42" s="566"/>
      <c r="E42" s="566"/>
      <c r="F42" s="566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1" t="str">
        <f>+VLOOKUP($A43,Master!$D$30:$G$226,4,FALSE)</f>
        <v>Transferi za socijalnu zaštitu</v>
      </c>
      <c r="C43" s="582"/>
      <c r="D43" s="582"/>
      <c r="E43" s="582"/>
      <c r="F43" s="582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65" t="str">
        <f>+VLOOKUP($A44,Master!$D$30:$G$226,4,FALSE)</f>
        <v>Prava iz oblasti socijalne zaštite</v>
      </c>
      <c r="C44" s="566"/>
      <c r="D44" s="566"/>
      <c r="E44" s="566"/>
      <c r="F44" s="566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65" t="str">
        <f>+VLOOKUP($A45,Master!$D$30:$G$226,4,FALSE)</f>
        <v>Sredstva za tehnološke viškove</v>
      </c>
      <c r="C45" s="566"/>
      <c r="D45" s="566"/>
      <c r="E45" s="566"/>
      <c r="F45" s="566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65" t="str">
        <f>+VLOOKUP($A46,Master!$D$30:$G$226,4,FALSE)</f>
        <v>Prava iz oblasti penzijskog i invalidskog osiguranja</v>
      </c>
      <c r="C46" s="566"/>
      <c r="D46" s="566"/>
      <c r="E46" s="566"/>
      <c r="F46" s="566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65" t="str">
        <f>+VLOOKUP($A47,Master!$D$30:$G$226,4,FALSE)</f>
        <v>Ostala prava iz oblasti zdravstvene zaštite</v>
      </c>
      <c r="C47" s="566"/>
      <c r="D47" s="566"/>
      <c r="E47" s="566"/>
      <c r="F47" s="566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65" t="str">
        <f>+VLOOKUP($A48,Master!$D$30:$G$226,4,FALSE)</f>
        <v>Ostala prava iz zdravstvenog osiguranja</v>
      </c>
      <c r="C48" s="566"/>
      <c r="D48" s="566"/>
      <c r="E48" s="566"/>
      <c r="F48" s="566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9" t="str">
        <f>+VLOOKUP($A49,Master!$D$30:$G$226,4,FALSE)</f>
        <v xml:space="preserve">Transferi institucijama, pojedincima, nevladinom i javnom sektoru </v>
      </c>
      <c r="C49" s="580"/>
      <c r="D49" s="580"/>
      <c r="E49" s="580"/>
      <c r="F49" s="580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9" t="str">
        <f>+VLOOKUP($A50,Master!$D$30:$G$226,4,FALSE)</f>
        <v>Kapitalni izdaci</v>
      </c>
      <c r="C50" s="580"/>
      <c r="D50" s="580"/>
      <c r="E50" s="580"/>
      <c r="F50" s="580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3" t="str">
        <f>+VLOOKUP($A51,Master!$D$30:$G$226,4,FALSE)</f>
        <v>Pozajmice i krediti</v>
      </c>
      <c r="C51" s="584"/>
      <c r="D51" s="584"/>
      <c r="E51" s="584"/>
      <c r="F51" s="584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3" t="str">
        <f>+VLOOKUP($A52,Master!$D$30:$G$226,4,FALSE)</f>
        <v>Rezerve</v>
      </c>
      <c r="C52" s="584"/>
      <c r="D52" s="584"/>
      <c r="E52" s="584"/>
      <c r="F52" s="584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5" t="str">
        <f>+VLOOKUP($A53,Master!$D$30:$G$226,4,FALSE)</f>
        <v>Otplata garancija</v>
      </c>
      <c r="C53" s="586"/>
      <c r="D53" s="586"/>
      <c r="E53" s="586"/>
      <c r="F53" s="58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5" t="str">
        <f>+VLOOKUP($A54,Master!$D$30:$G$226,4,FALSE)</f>
        <v>Otplata obaveza iz prethodnog perioda</v>
      </c>
      <c r="C54" s="586"/>
      <c r="D54" s="586"/>
      <c r="E54" s="586"/>
      <c r="F54" s="58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5" t="str">
        <f>+VLOOKUP($A55,Master!$D$30:$G$228,4,FALSE)</f>
        <v>Neto povećanje obaveza</v>
      </c>
      <c r="C55" s="586"/>
      <c r="D55" s="586"/>
      <c r="E55" s="586"/>
      <c r="F55" s="58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7" t="str">
        <f>+VLOOKUP($A56,Master!$D$30:$G$226,4,FALSE)</f>
        <v>Suficit / deficit</v>
      </c>
      <c r="C56" s="588"/>
      <c r="D56" s="588"/>
      <c r="E56" s="588"/>
      <c r="F56" s="588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9" t="str">
        <f>+VLOOKUP($A57,Master!$D$30:$G$226,4,FALSE)</f>
        <v>Primarni suficit/deficit</v>
      </c>
      <c r="C57" s="590"/>
      <c r="D57" s="590"/>
      <c r="E57" s="590"/>
      <c r="F57" s="590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1" t="str">
        <f>+VLOOKUP($A58,Master!$D$30:$G$226,4,FALSE)</f>
        <v>Otplata dugova</v>
      </c>
      <c r="C58" s="582"/>
      <c r="D58" s="582"/>
      <c r="E58" s="582"/>
      <c r="F58" s="582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7" t="str">
        <f>+VLOOKUP($A59,Master!$D$30:$G$226,4,FALSE)</f>
        <v>Otplata hartija od vrijednosti i kredita rezidentima</v>
      </c>
      <c r="C59" s="608"/>
      <c r="D59" s="608"/>
      <c r="E59" s="608"/>
      <c r="F59" s="608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3" t="str">
        <f>+VLOOKUP($A60,Master!$D$30:$G$226,4,FALSE)</f>
        <v>Otplata hartija od vrijednosti i kredita nerezidentima</v>
      </c>
      <c r="C60" s="584"/>
      <c r="D60" s="584"/>
      <c r="E60" s="584"/>
      <c r="F60" s="584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9" t="str">
        <f>+VLOOKUP($A62,Master!$D$30:$G$226,4,FALSE)</f>
        <v>Nedostajuća sredstva</v>
      </c>
      <c r="C62" s="610"/>
      <c r="D62" s="610"/>
      <c r="E62" s="610"/>
      <c r="F62" s="610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3" t="str">
        <f>+VLOOKUP($A63,Master!$D$30:$G$226,4,FALSE)</f>
        <v>Finansiranje</v>
      </c>
      <c r="C63" s="574"/>
      <c r="D63" s="574"/>
      <c r="E63" s="574"/>
      <c r="F63" s="574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7" t="str">
        <f>+VLOOKUP($A64,Master!$D$30:$G$226,4,FALSE)</f>
        <v>Pozajmice i krediti od domaćih izvora</v>
      </c>
      <c r="C64" s="608"/>
      <c r="D64" s="608"/>
      <c r="E64" s="608"/>
      <c r="F64" s="608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3" t="str">
        <f>+VLOOKUP($A65,Master!$D$30:$G$226,4,FALSE)</f>
        <v>Pozajmice i krediti od inostranih izvora</v>
      </c>
      <c r="C65" s="584"/>
      <c r="D65" s="584"/>
      <c r="E65" s="584"/>
      <c r="F65" s="584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3" t="str">
        <f>+VLOOKUP($A66,Master!$D$30:$G$226,4,FALSE)</f>
        <v>Primici od prodaje imovine</v>
      </c>
      <c r="C66" s="584"/>
      <c r="D66" s="584"/>
      <c r="E66" s="584"/>
      <c r="F66" s="584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3" t="s">
        <v>553</v>
      </c>
      <c r="C7" s="594"/>
      <c r="D7" s="594"/>
      <c r="E7" s="594"/>
      <c r="F7" s="594"/>
      <c r="G7" s="602">
        <v>2019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">
        <v>419</v>
      </c>
      <c r="T7" s="221">
        <v>4951000000</v>
      </c>
    </row>
    <row r="8" spans="1:20" ht="16.5" customHeight="1">
      <c r="A8" s="129"/>
      <c r="B8" s="595"/>
      <c r="C8" s="596"/>
      <c r="D8" s="596"/>
      <c r="E8" s="596"/>
      <c r="F8" s="59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2" t="s">
        <v>806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3" t="s">
        <v>680</v>
      </c>
      <c r="C10" s="574"/>
      <c r="D10" s="574"/>
      <c r="E10" s="574"/>
      <c r="F10" s="574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3" t="s">
        <v>21</v>
      </c>
      <c r="C11" s="564"/>
      <c r="D11" s="564"/>
      <c r="E11" s="564"/>
      <c r="F11" s="56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65" t="s">
        <v>23</v>
      </c>
      <c r="C12" s="566"/>
      <c r="D12" s="566"/>
      <c r="E12" s="566"/>
      <c r="F12" s="566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65" t="s">
        <v>25</v>
      </c>
      <c r="C13" s="566"/>
      <c r="D13" s="566"/>
      <c r="E13" s="566"/>
      <c r="F13" s="566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65" t="s">
        <v>27</v>
      </c>
      <c r="C14" s="566"/>
      <c r="D14" s="566"/>
      <c r="E14" s="566"/>
      <c r="F14" s="566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65" t="s">
        <v>29</v>
      </c>
      <c r="C15" s="566"/>
      <c r="D15" s="566"/>
      <c r="E15" s="566"/>
      <c r="F15" s="566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65" t="s">
        <v>31</v>
      </c>
      <c r="C16" s="566"/>
      <c r="D16" s="566"/>
      <c r="E16" s="566"/>
      <c r="F16" s="566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65" t="s">
        <v>33</v>
      </c>
      <c r="C17" s="566"/>
      <c r="D17" s="566"/>
      <c r="E17" s="566"/>
      <c r="F17" s="566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65" t="s">
        <v>721</v>
      </c>
      <c r="C18" s="566"/>
      <c r="D18" s="566"/>
      <c r="E18" s="566"/>
      <c r="F18" s="566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9" t="s">
        <v>37</v>
      </c>
      <c r="C19" s="570"/>
      <c r="D19" s="570"/>
      <c r="E19" s="570"/>
      <c r="F19" s="57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65" t="s">
        <v>39</v>
      </c>
      <c r="C20" s="566"/>
      <c r="D20" s="566"/>
      <c r="E20" s="566"/>
      <c r="F20" s="566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65" t="s">
        <v>41</v>
      </c>
      <c r="C21" s="566"/>
      <c r="D21" s="566"/>
      <c r="E21" s="566"/>
      <c r="F21" s="566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65" t="s">
        <v>43</v>
      </c>
      <c r="C22" s="566"/>
      <c r="D22" s="566"/>
      <c r="E22" s="566"/>
      <c r="F22" s="566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65" t="s">
        <v>45</v>
      </c>
      <c r="C23" s="566"/>
      <c r="D23" s="566"/>
      <c r="E23" s="566"/>
      <c r="F23" s="566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7" t="s">
        <v>47</v>
      </c>
      <c r="C24" s="568"/>
      <c r="D24" s="568"/>
      <c r="E24" s="568"/>
      <c r="F24" s="568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7" t="s">
        <v>61</v>
      </c>
      <c r="C25" s="568"/>
      <c r="D25" s="568"/>
      <c r="E25" s="568"/>
      <c r="F25" s="568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7" t="s">
        <v>81</v>
      </c>
      <c r="C26" s="568"/>
      <c r="D26" s="568"/>
      <c r="E26" s="568"/>
      <c r="F26" s="568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7" t="s">
        <v>99</v>
      </c>
      <c r="C27" s="568"/>
      <c r="D27" s="568"/>
      <c r="E27" s="568"/>
      <c r="F27" s="568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1" t="s">
        <v>105</v>
      </c>
      <c r="C28" s="572"/>
      <c r="D28" s="572"/>
      <c r="E28" s="572"/>
      <c r="F28" s="572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3" t="s">
        <v>801</v>
      </c>
      <c r="C29" s="574"/>
      <c r="D29" s="574"/>
      <c r="E29" s="574"/>
      <c r="F29" s="574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75" t="s">
        <v>120</v>
      </c>
      <c r="C30" s="576"/>
      <c r="D30" s="576"/>
      <c r="E30" s="576"/>
      <c r="F30" s="57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65" t="s">
        <v>122</v>
      </c>
      <c r="C31" s="566"/>
      <c r="D31" s="566"/>
      <c r="E31" s="566"/>
      <c r="F31" s="566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65" t="s">
        <v>133</v>
      </c>
      <c r="C32" s="566"/>
      <c r="D32" s="566"/>
      <c r="E32" s="566"/>
      <c r="F32" s="566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65" t="s">
        <v>148</v>
      </c>
      <c r="C33" s="566"/>
      <c r="D33" s="566"/>
      <c r="E33" s="566"/>
      <c r="F33" s="566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65" t="s">
        <v>162</v>
      </c>
      <c r="C34" s="566"/>
      <c r="D34" s="566"/>
      <c r="E34" s="566"/>
      <c r="F34" s="566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60" t="s">
        <v>182</v>
      </c>
      <c r="C35" s="661"/>
      <c r="D35" s="661"/>
      <c r="E35" s="661"/>
      <c r="F35" s="661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65" t="s">
        <v>190</v>
      </c>
      <c r="C36" s="566"/>
      <c r="D36" s="566"/>
      <c r="E36" s="566"/>
      <c r="F36" s="566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65" t="s">
        <v>196</v>
      </c>
      <c r="C37" s="566"/>
      <c r="D37" s="566"/>
      <c r="E37" s="566"/>
      <c r="F37" s="566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65" t="s">
        <v>204</v>
      </c>
      <c r="C38" s="566"/>
      <c r="D38" s="566"/>
      <c r="E38" s="566"/>
      <c r="F38" s="566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65" t="s">
        <v>212</v>
      </c>
      <c r="C39" s="566"/>
      <c r="D39" s="566"/>
      <c r="E39" s="566"/>
      <c r="F39" s="566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1" t="s">
        <v>230</v>
      </c>
      <c r="C40" s="582"/>
      <c r="D40" s="582"/>
      <c r="E40" s="582"/>
      <c r="F40" s="582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65" t="s">
        <v>232</v>
      </c>
      <c r="C41" s="566"/>
      <c r="D41" s="566"/>
      <c r="E41" s="566"/>
      <c r="F41" s="566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65" t="s">
        <v>248</v>
      </c>
      <c r="C42" s="566"/>
      <c r="D42" s="566"/>
      <c r="E42" s="566"/>
      <c r="F42" s="566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65" t="s">
        <v>259</v>
      </c>
      <c r="C43" s="566"/>
      <c r="D43" s="566"/>
      <c r="E43" s="566"/>
      <c r="F43" s="566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65" t="s">
        <v>274</v>
      </c>
      <c r="C44" s="566"/>
      <c r="D44" s="566"/>
      <c r="E44" s="566"/>
      <c r="F44" s="566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65" t="s">
        <v>278</v>
      </c>
      <c r="C45" s="566"/>
      <c r="D45" s="566"/>
      <c r="E45" s="566"/>
      <c r="F45" s="566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9" t="s">
        <v>286</v>
      </c>
      <c r="C46" s="580"/>
      <c r="D46" s="580"/>
      <c r="E46" s="580"/>
      <c r="F46" s="580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9" t="s">
        <v>320</v>
      </c>
      <c r="C47" s="580"/>
      <c r="D47" s="580"/>
      <c r="E47" s="580"/>
      <c r="F47" s="580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8" t="s">
        <v>113</v>
      </c>
      <c r="C48" s="659"/>
      <c r="D48" s="659"/>
      <c r="E48" s="659"/>
      <c r="F48" s="659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50" t="s">
        <v>366</v>
      </c>
      <c r="C49" s="651"/>
      <c r="D49" s="651"/>
      <c r="E49" s="651"/>
      <c r="F49" s="651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5" t="s">
        <v>359</v>
      </c>
      <c r="C50" s="586"/>
      <c r="D50" s="586"/>
      <c r="E50" s="586"/>
      <c r="F50" s="58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2" t="s">
        <v>794</v>
      </c>
      <c r="C51" s="653"/>
      <c r="D51" s="653"/>
      <c r="E51" s="653"/>
      <c r="F51" s="653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4" t="s">
        <v>684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7" t="s">
        <v>545</v>
      </c>
      <c r="C53" s="588"/>
      <c r="D53" s="588"/>
      <c r="E53" s="588"/>
      <c r="F53" s="588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9" t="s">
        <v>792</v>
      </c>
      <c r="C54" s="590"/>
      <c r="D54" s="590"/>
      <c r="E54" s="590"/>
      <c r="F54" s="590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1" t="s">
        <v>352</v>
      </c>
      <c r="C55" s="612"/>
      <c r="D55" s="612"/>
      <c r="E55" s="612"/>
      <c r="F55" s="612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7" t="s">
        <v>355</v>
      </c>
      <c r="C56" s="608"/>
      <c r="D56" s="608"/>
      <c r="E56" s="608"/>
      <c r="F56" s="608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3" t="s">
        <v>357</v>
      </c>
      <c r="C57" s="584"/>
      <c r="D57" s="584"/>
      <c r="E57" s="584"/>
      <c r="F57" s="584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6" t="s">
        <v>336</v>
      </c>
      <c r="C58" s="667"/>
      <c r="D58" s="667"/>
      <c r="E58" s="667"/>
      <c r="F58" s="667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9" t="s">
        <v>543</v>
      </c>
      <c r="C59" s="610"/>
      <c r="D59" s="610"/>
      <c r="E59" s="610"/>
      <c r="F59" s="610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3" t="s">
        <v>544</v>
      </c>
      <c r="C60" s="574"/>
      <c r="D60" s="574"/>
      <c r="E60" s="574"/>
      <c r="F60" s="574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7" t="s">
        <v>114</v>
      </c>
      <c r="C61" s="608"/>
      <c r="D61" s="608"/>
      <c r="E61" s="608"/>
      <c r="F61" s="608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3" t="s">
        <v>116</v>
      </c>
      <c r="C62" s="584"/>
      <c r="D62" s="584"/>
      <c r="E62" s="584"/>
      <c r="F62" s="584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3" t="s">
        <v>93</v>
      </c>
      <c r="C63" s="584"/>
      <c r="D63" s="584"/>
      <c r="E63" s="584"/>
      <c r="F63" s="584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9" t="s">
        <v>551</v>
      </c>
      <c r="C100" s="640"/>
      <c r="D100" s="640"/>
      <c r="E100" s="640"/>
      <c r="F100" s="640"/>
      <c r="G100" s="647">
        <v>2019</v>
      </c>
      <c r="H100" s="648"/>
      <c r="I100" s="648"/>
      <c r="J100" s="648"/>
      <c r="K100" s="648"/>
      <c r="L100" s="648"/>
      <c r="M100" s="648"/>
      <c r="N100" s="648"/>
      <c r="O100" s="648"/>
      <c r="P100" s="648"/>
      <c r="Q100" s="648"/>
      <c r="R100" s="649"/>
      <c r="S100" s="96" t="str">
        <f>+S7</f>
        <v>BDP</v>
      </c>
      <c r="T100" s="97">
        <f>+T7</f>
        <v>4951000000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7" t="s">
        <v>806</v>
      </c>
      <c r="T101" s="649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2" t="s">
        <v>680</v>
      </c>
      <c r="C103" s="663"/>
      <c r="D103" s="663"/>
      <c r="E103" s="663"/>
      <c r="F103" s="663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7" t="s">
        <v>21</v>
      </c>
      <c r="C104" s="638"/>
      <c r="D104" s="638"/>
      <c r="E104" s="638"/>
      <c r="F104" s="638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9" t="s">
        <v>23</v>
      </c>
      <c r="C105" s="630"/>
      <c r="D105" s="630"/>
      <c r="E105" s="630"/>
      <c r="F105" s="630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9" t="s">
        <v>25</v>
      </c>
      <c r="C106" s="630"/>
      <c r="D106" s="630"/>
      <c r="E106" s="630"/>
      <c r="F106" s="630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9" t="s">
        <v>27</v>
      </c>
      <c r="C107" s="630"/>
      <c r="D107" s="630"/>
      <c r="E107" s="630"/>
      <c r="F107" s="630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9" t="s">
        <v>29</v>
      </c>
      <c r="C108" s="630"/>
      <c r="D108" s="630"/>
      <c r="E108" s="630"/>
      <c r="F108" s="630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9" t="s">
        <v>31</v>
      </c>
      <c r="C109" s="630"/>
      <c r="D109" s="630"/>
      <c r="E109" s="630"/>
      <c r="F109" s="630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9" t="s">
        <v>33</v>
      </c>
      <c r="C110" s="630"/>
      <c r="D110" s="630"/>
      <c r="E110" s="630"/>
      <c r="F110" s="630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9" t="s">
        <v>721</v>
      </c>
      <c r="C111" s="630"/>
      <c r="D111" s="630"/>
      <c r="E111" s="630"/>
      <c r="F111" s="630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4" t="s">
        <v>37</v>
      </c>
      <c r="C112" s="665"/>
      <c r="D112" s="665"/>
      <c r="E112" s="665"/>
      <c r="F112" s="665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9" t="s">
        <v>39</v>
      </c>
      <c r="C113" s="630"/>
      <c r="D113" s="630"/>
      <c r="E113" s="630"/>
      <c r="F113" s="630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9" t="s">
        <v>41</v>
      </c>
      <c r="C114" s="630"/>
      <c r="D114" s="630"/>
      <c r="E114" s="630"/>
      <c r="F114" s="630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9" t="s">
        <v>43</v>
      </c>
      <c r="C115" s="630"/>
      <c r="D115" s="630"/>
      <c r="E115" s="630"/>
      <c r="F115" s="630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9" t="s">
        <v>45</v>
      </c>
      <c r="C116" s="630"/>
      <c r="D116" s="630"/>
      <c r="E116" s="630"/>
      <c r="F116" s="630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5" t="s">
        <v>47</v>
      </c>
      <c r="C117" s="636"/>
      <c r="D117" s="636"/>
      <c r="E117" s="636"/>
      <c r="F117" s="636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5" t="s">
        <v>61</v>
      </c>
      <c r="C118" s="636"/>
      <c r="D118" s="636"/>
      <c r="E118" s="636"/>
      <c r="F118" s="636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5" t="s">
        <v>81</v>
      </c>
      <c r="C119" s="636"/>
      <c r="D119" s="636"/>
      <c r="E119" s="636"/>
      <c r="F119" s="636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5" t="s">
        <v>99</v>
      </c>
      <c r="C120" s="636"/>
      <c r="D120" s="636"/>
      <c r="E120" s="636"/>
      <c r="F120" s="636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1" t="s">
        <v>105</v>
      </c>
      <c r="C121" s="632"/>
      <c r="D121" s="632"/>
      <c r="E121" s="632"/>
      <c r="F121" s="632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3" t="s">
        <v>808</v>
      </c>
      <c r="C122" s="614"/>
      <c r="D122" s="614"/>
      <c r="E122" s="614"/>
      <c r="F122" s="61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8" t="s">
        <v>773</v>
      </c>
      <c r="C123" s="669"/>
      <c r="D123" s="669"/>
      <c r="E123" s="669"/>
      <c r="F123" s="669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3" t="e">
        <v>#REF!</v>
      </c>
      <c r="C124" s="634"/>
      <c r="D124" s="634"/>
      <c r="E124" s="634"/>
      <c r="F124" s="634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9" t="s">
        <v>122</v>
      </c>
      <c r="C125" s="630"/>
      <c r="D125" s="630"/>
      <c r="E125" s="630"/>
      <c r="F125" s="630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9" t="s">
        <v>133</v>
      </c>
      <c r="C126" s="630"/>
      <c r="D126" s="630"/>
      <c r="E126" s="630"/>
      <c r="F126" s="630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9" t="s">
        <v>148</v>
      </c>
      <c r="C127" s="630"/>
      <c r="D127" s="630"/>
      <c r="E127" s="630"/>
      <c r="F127" s="630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9" t="s">
        <v>162</v>
      </c>
      <c r="C128" s="630"/>
      <c r="D128" s="630"/>
      <c r="E128" s="630"/>
      <c r="F128" s="630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9" t="s">
        <v>182</v>
      </c>
      <c r="C129" s="630"/>
      <c r="D129" s="630"/>
      <c r="E129" s="630"/>
      <c r="F129" s="630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9" t="s">
        <v>190</v>
      </c>
      <c r="C130" s="630"/>
      <c r="D130" s="630"/>
      <c r="E130" s="630"/>
      <c r="F130" s="630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9" t="s">
        <v>196</v>
      </c>
      <c r="C131" s="630"/>
      <c r="D131" s="630"/>
      <c r="E131" s="630"/>
      <c r="F131" s="630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9" t="s">
        <v>204</v>
      </c>
      <c r="C132" s="630"/>
      <c r="D132" s="630"/>
      <c r="E132" s="630"/>
      <c r="F132" s="630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9" t="s">
        <v>212</v>
      </c>
      <c r="C133" s="630"/>
      <c r="D133" s="630"/>
      <c r="E133" s="630"/>
      <c r="F133" s="630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9" t="e">
        <v>#REF!</v>
      </c>
      <c r="C134" s="630"/>
      <c r="D134" s="630"/>
      <c r="E134" s="630"/>
      <c r="F134" s="630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5" t="s">
        <v>230</v>
      </c>
      <c r="C135" s="626"/>
      <c r="D135" s="626"/>
      <c r="E135" s="626"/>
      <c r="F135" s="626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9" t="s">
        <v>232</v>
      </c>
      <c r="C136" s="630"/>
      <c r="D136" s="630"/>
      <c r="E136" s="630"/>
      <c r="F136" s="630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9" t="s">
        <v>248</v>
      </c>
      <c r="C137" s="630"/>
      <c r="D137" s="630"/>
      <c r="E137" s="630"/>
      <c r="F137" s="630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9" t="s">
        <v>259</v>
      </c>
      <c r="C138" s="630"/>
      <c r="D138" s="630"/>
      <c r="E138" s="630"/>
      <c r="F138" s="630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9" t="s">
        <v>274</v>
      </c>
      <c r="C139" s="630"/>
      <c r="D139" s="630"/>
      <c r="E139" s="630"/>
      <c r="F139" s="630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9" t="s">
        <v>278</v>
      </c>
      <c r="C140" s="630"/>
      <c r="D140" s="630"/>
      <c r="E140" s="630"/>
      <c r="F140" s="630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7" t="s">
        <v>286</v>
      </c>
      <c r="C141" s="628"/>
      <c r="D141" s="628"/>
      <c r="E141" s="628"/>
      <c r="F141" s="62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7" t="s">
        <v>809</v>
      </c>
      <c r="C142" s="628"/>
      <c r="D142" s="628"/>
      <c r="E142" s="628"/>
      <c r="F142" s="62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9" t="s">
        <v>113</v>
      </c>
      <c r="C143" s="620"/>
      <c r="D143" s="620"/>
      <c r="E143" s="620"/>
      <c r="F143" s="62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9" t="s">
        <v>366</v>
      </c>
      <c r="C144" s="620"/>
      <c r="D144" s="620"/>
      <c r="E144" s="620"/>
      <c r="F144" s="62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9" t="s">
        <v>359</v>
      </c>
      <c r="C145" s="620"/>
      <c r="D145" s="620"/>
      <c r="E145" s="620"/>
      <c r="F145" s="62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9" t="s">
        <v>365</v>
      </c>
      <c r="C146" s="620"/>
      <c r="D146" s="620"/>
      <c r="E146" s="620"/>
      <c r="F146" s="62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0" t="s">
        <v>685</v>
      </c>
      <c r="C147" s="671"/>
      <c r="D147" s="671"/>
      <c r="E147" s="671"/>
      <c r="F147" s="671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1" t="s">
        <v>545</v>
      </c>
      <c r="C148" s="622"/>
      <c r="D148" s="622"/>
      <c r="E148" s="622"/>
      <c r="F148" s="622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3" t="s">
        <v>810</v>
      </c>
      <c r="C149" s="624"/>
      <c r="D149" s="624"/>
      <c r="E149" s="624"/>
      <c r="F149" s="624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5" t="s">
        <v>352</v>
      </c>
      <c r="C150" s="626"/>
      <c r="D150" s="626"/>
      <c r="E150" s="626"/>
      <c r="F150" s="626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7" t="s">
        <v>355</v>
      </c>
      <c r="C151" s="618"/>
      <c r="D151" s="618"/>
      <c r="E151" s="618"/>
      <c r="F151" s="618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9" t="s">
        <v>357</v>
      </c>
      <c r="C152" s="620"/>
      <c r="D152" s="620"/>
      <c r="E152" s="620"/>
      <c r="F152" s="62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6" t="s">
        <v>336</v>
      </c>
      <c r="C153" s="667"/>
      <c r="D153" s="667"/>
      <c r="E153" s="667"/>
      <c r="F153" s="667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5" t="s">
        <v>543</v>
      </c>
      <c r="C154" s="616"/>
      <c r="D154" s="616"/>
      <c r="E154" s="616"/>
      <c r="F154" s="616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3" t="s">
        <v>544</v>
      </c>
      <c r="C155" s="614"/>
      <c r="D155" s="614"/>
      <c r="E155" s="614"/>
      <c r="F155" s="61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7" t="s">
        <v>114</v>
      </c>
      <c r="C156" s="618"/>
      <c r="D156" s="618"/>
      <c r="E156" s="618"/>
      <c r="F156" s="618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9" t="s">
        <v>116</v>
      </c>
      <c r="C157" s="620"/>
      <c r="D157" s="620"/>
      <c r="E157" s="620"/>
      <c r="F157" s="62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9" t="s">
        <v>93</v>
      </c>
      <c r="C158" s="620"/>
      <c r="D158" s="620"/>
      <c r="E158" s="620"/>
      <c r="F158" s="62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3" t="s">
        <v>553</v>
      </c>
      <c r="C7" s="594"/>
      <c r="D7" s="594"/>
      <c r="E7" s="594"/>
      <c r="F7" s="594"/>
      <c r="G7" s="602">
        <v>2018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">
        <v>419</v>
      </c>
      <c r="T7" s="221">
        <v>4663130000</v>
      </c>
    </row>
    <row r="8" spans="1:20" ht="16.5" customHeight="1">
      <c r="A8" s="129"/>
      <c r="B8" s="595"/>
      <c r="C8" s="596"/>
      <c r="D8" s="596"/>
      <c r="E8" s="596"/>
      <c r="F8" s="59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2" t="s">
        <v>806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1" t="s">
        <v>680</v>
      </c>
      <c r="C10" s="562"/>
      <c r="D10" s="562"/>
      <c r="E10" s="562"/>
      <c r="F10" s="56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3" t="s">
        <v>21</v>
      </c>
      <c r="C11" s="564"/>
      <c r="D11" s="564"/>
      <c r="E11" s="564"/>
      <c r="F11" s="56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65" t="s">
        <v>23</v>
      </c>
      <c r="C12" s="566"/>
      <c r="D12" s="566"/>
      <c r="E12" s="566"/>
      <c r="F12" s="566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65" t="s">
        <v>25</v>
      </c>
      <c r="C13" s="566"/>
      <c r="D13" s="566"/>
      <c r="E13" s="566"/>
      <c r="F13" s="566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65" t="s">
        <v>27</v>
      </c>
      <c r="C14" s="566"/>
      <c r="D14" s="566"/>
      <c r="E14" s="566"/>
      <c r="F14" s="566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65" t="s">
        <v>29</v>
      </c>
      <c r="C15" s="566"/>
      <c r="D15" s="566"/>
      <c r="E15" s="566"/>
      <c r="F15" s="566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65" t="s">
        <v>31</v>
      </c>
      <c r="C16" s="566"/>
      <c r="D16" s="566"/>
      <c r="E16" s="566"/>
      <c r="F16" s="566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65" t="s">
        <v>33</v>
      </c>
      <c r="C17" s="566"/>
      <c r="D17" s="566"/>
      <c r="E17" s="566"/>
      <c r="F17" s="566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65" t="s">
        <v>721</v>
      </c>
      <c r="C18" s="566"/>
      <c r="D18" s="566"/>
      <c r="E18" s="566"/>
      <c r="F18" s="566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9" t="s">
        <v>37</v>
      </c>
      <c r="C19" s="570"/>
      <c r="D19" s="570"/>
      <c r="E19" s="570"/>
      <c r="F19" s="57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65" t="s">
        <v>39</v>
      </c>
      <c r="C20" s="566"/>
      <c r="D20" s="566"/>
      <c r="E20" s="566"/>
      <c r="F20" s="566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65" t="s">
        <v>41</v>
      </c>
      <c r="C21" s="566"/>
      <c r="D21" s="566"/>
      <c r="E21" s="566"/>
      <c r="F21" s="566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65" t="s">
        <v>43</v>
      </c>
      <c r="C22" s="566"/>
      <c r="D22" s="566"/>
      <c r="E22" s="566"/>
      <c r="F22" s="566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65" t="s">
        <v>45</v>
      </c>
      <c r="C23" s="566"/>
      <c r="D23" s="566"/>
      <c r="E23" s="566"/>
      <c r="F23" s="566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7" t="s">
        <v>47</v>
      </c>
      <c r="C24" s="568"/>
      <c r="D24" s="568"/>
      <c r="E24" s="568"/>
      <c r="F24" s="568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7" t="s">
        <v>61</v>
      </c>
      <c r="C25" s="568"/>
      <c r="D25" s="568"/>
      <c r="E25" s="568"/>
      <c r="F25" s="568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7" t="s">
        <v>81</v>
      </c>
      <c r="C26" s="568"/>
      <c r="D26" s="568"/>
      <c r="E26" s="568"/>
      <c r="F26" s="568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7" t="s">
        <v>99</v>
      </c>
      <c r="C27" s="568"/>
      <c r="D27" s="568"/>
      <c r="E27" s="568"/>
      <c r="F27" s="568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1" t="s">
        <v>105</v>
      </c>
      <c r="C28" s="572"/>
      <c r="D28" s="572"/>
      <c r="E28" s="572"/>
      <c r="F28" s="572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3" t="s">
        <v>801</v>
      </c>
      <c r="C29" s="574"/>
      <c r="D29" s="574"/>
      <c r="E29" s="574"/>
      <c r="F29" s="574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75" t="s">
        <v>773</v>
      </c>
      <c r="C30" s="576"/>
      <c r="D30" s="576"/>
      <c r="E30" s="576"/>
      <c r="F30" s="57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7" t="s">
        <v>120</v>
      </c>
      <c r="C31" s="578"/>
      <c r="D31" s="578"/>
      <c r="E31" s="578"/>
      <c r="F31" s="57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65" t="s">
        <v>122</v>
      </c>
      <c r="C32" s="566"/>
      <c r="D32" s="566"/>
      <c r="E32" s="566"/>
      <c r="F32" s="566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65" t="s">
        <v>133</v>
      </c>
      <c r="C33" s="566"/>
      <c r="D33" s="566"/>
      <c r="E33" s="566"/>
      <c r="F33" s="566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65" t="s">
        <v>148</v>
      </c>
      <c r="C34" s="566"/>
      <c r="D34" s="566"/>
      <c r="E34" s="566"/>
      <c r="F34" s="566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65" t="s">
        <v>162</v>
      </c>
      <c r="C35" s="566"/>
      <c r="D35" s="566"/>
      <c r="E35" s="566"/>
      <c r="F35" s="566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65" t="s">
        <v>182</v>
      </c>
      <c r="C36" s="566"/>
      <c r="D36" s="566"/>
      <c r="E36" s="566"/>
      <c r="F36" s="566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65" t="s">
        <v>190</v>
      </c>
      <c r="C37" s="566"/>
      <c r="D37" s="566"/>
      <c r="E37" s="566"/>
      <c r="F37" s="566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65" t="s">
        <v>196</v>
      </c>
      <c r="C38" s="566"/>
      <c r="D38" s="566"/>
      <c r="E38" s="566"/>
      <c r="F38" s="566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65" t="s">
        <v>204</v>
      </c>
      <c r="C39" s="566"/>
      <c r="D39" s="566"/>
      <c r="E39" s="566"/>
      <c r="F39" s="566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65" t="s">
        <v>212</v>
      </c>
      <c r="C40" s="566"/>
      <c r="D40" s="566"/>
      <c r="E40" s="566"/>
      <c r="F40" s="566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65" t="s">
        <v>802</v>
      </c>
      <c r="C41" s="566"/>
      <c r="D41" s="566"/>
      <c r="E41" s="566"/>
      <c r="F41" s="566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1" t="s">
        <v>230</v>
      </c>
      <c r="C42" s="582"/>
      <c r="D42" s="582"/>
      <c r="E42" s="582"/>
      <c r="F42" s="582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65" t="s">
        <v>232</v>
      </c>
      <c r="C43" s="566"/>
      <c r="D43" s="566"/>
      <c r="E43" s="566"/>
      <c r="F43" s="566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65" t="s">
        <v>248</v>
      </c>
      <c r="C44" s="566"/>
      <c r="D44" s="566"/>
      <c r="E44" s="566"/>
      <c r="F44" s="566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65" t="s">
        <v>259</v>
      </c>
      <c r="C45" s="566"/>
      <c r="D45" s="566"/>
      <c r="E45" s="566"/>
      <c r="F45" s="566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65" t="s">
        <v>274</v>
      </c>
      <c r="C46" s="566"/>
      <c r="D46" s="566"/>
      <c r="E46" s="566"/>
      <c r="F46" s="566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2" t="s">
        <v>278</v>
      </c>
      <c r="C47" s="673"/>
      <c r="D47" s="673"/>
      <c r="E47" s="673"/>
      <c r="F47" s="673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9" t="s">
        <v>286</v>
      </c>
      <c r="C48" s="580"/>
      <c r="D48" s="580"/>
      <c r="E48" s="580"/>
      <c r="F48" s="580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9" t="s">
        <v>320</v>
      </c>
      <c r="C49" s="580"/>
      <c r="D49" s="580"/>
      <c r="E49" s="580"/>
      <c r="F49" s="580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8" t="s">
        <v>113</v>
      </c>
      <c r="C50" s="659"/>
      <c r="D50" s="659"/>
      <c r="E50" s="659"/>
      <c r="F50" s="659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3" t="s">
        <v>366</v>
      </c>
      <c r="C51" s="584"/>
      <c r="D51" s="584"/>
      <c r="E51" s="584"/>
      <c r="F51" s="584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5" t="s">
        <v>359</v>
      </c>
      <c r="C52" s="586"/>
      <c r="D52" s="586"/>
      <c r="E52" s="586"/>
      <c r="F52" s="58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2" t="s">
        <v>794</v>
      </c>
      <c r="C53" s="653"/>
      <c r="D53" s="653"/>
      <c r="E53" s="653"/>
      <c r="F53" s="653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4" t="s">
        <v>684</v>
      </c>
      <c r="C54" s="655"/>
      <c r="D54" s="655"/>
      <c r="E54" s="655"/>
      <c r="F54" s="655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7" t="s">
        <v>545</v>
      </c>
      <c r="C55" s="588"/>
      <c r="D55" s="588"/>
      <c r="E55" s="588"/>
      <c r="F55" s="588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9" t="s">
        <v>793</v>
      </c>
      <c r="C57" s="590"/>
      <c r="D57" s="590"/>
      <c r="E57" s="590"/>
      <c r="F57" s="590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1" t="s">
        <v>352</v>
      </c>
      <c r="C58" s="612"/>
      <c r="D58" s="612"/>
      <c r="E58" s="612"/>
      <c r="F58" s="612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7" t="s">
        <v>355</v>
      </c>
      <c r="C59" s="608"/>
      <c r="D59" s="608"/>
      <c r="E59" s="608"/>
      <c r="F59" s="608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3" t="s">
        <v>357</v>
      </c>
      <c r="C60" s="584"/>
      <c r="D60" s="584"/>
      <c r="E60" s="584"/>
      <c r="F60" s="584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4" t="s">
        <v>336</v>
      </c>
      <c r="C61" s="675"/>
      <c r="D61" s="675"/>
      <c r="E61" s="675"/>
      <c r="F61" s="675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9" t="s">
        <v>543</v>
      </c>
      <c r="C62" s="610"/>
      <c r="D62" s="610"/>
      <c r="E62" s="610"/>
      <c r="F62" s="610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3" t="s">
        <v>544</v>
      </c>
      <c r="C63" s="574"/>
      <c r="D63" s="574"/>
      <c r="E63" s="574"/>
      <c r="F63" s="574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7" t="s">
        <v>114</v>
      </c>
      <c r="C64" s="608"/>
      <c r="D64" s="608"/>
      <c r="E64" s="608"/>
      <c r="F64" s="608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3" t="s">
        <v>116</v>
      </c>
      <c r="C65" s="584"/>
      <c r="D65" s="584"/>
      <c r="E65" s="584"/>
      <c r="F65" s="584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3" t="s">
        <v>93</v>
      </c>
      <c r="C66" s="584"/>
      <c r="D66" s="584"/>
      <c r="E66" s="584"/>
      <c r="F66" s="584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9" t="s">
        <v>551</v>
      </c>
      <c r="C103" s="640"/>
      <c r="D103" s="640"/>
      <c r="E103" s="640"/>
      <c r="F103" s="640"/>
      <c r="G103" s="647">
        <v>2018</v>
      </c>
      <c r="H103" s="648"/>
      <c r="I103" s="648"/>
      <c r="J103" s="648"/>
      <c r="K103" s="648"/>
      <c r="L103" s="648"/>
      <c r="M103" s="648"/>
      <c r="N103" s="648"/>
      <c r="O103" s="648"/>
      <c r="P103" s="648"/>
      <c r="Q103" s="648"/>
      <c r="R103" s="649"/>
      <c r="S103" s="96" t="str">
        <f>+S7</f>
        <v>BDP</v>
      </c>
      <c r="T103" s="97">
        <f>+T7</f>
        <v>4663130000</v>
      </c>
    </row>
    <row r="104" spans="1:21" ht="15.75" customHeight="1">
      <c r="B104" s="641"/>
      <c r="C104" s="642"/>
      <c r="D104" s="642"/>
      <c r="E104" s="642"/>
      <c r="F104" s="64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7" t="s">
        <v>806</v>
      </c>
      <c r="T104" s="649">
        <f>+T8</f>
        <v>0</v>
      </c>
    </row>
    <row r="105" spans="1:21" ht="13.5" thickBot="1">
      <c r="B105" s="644"/>
      <c r="C105" s="645"/>
      <c r="D105" s="645"/>
      <c r="E105" s="645"/>
      <c r="F105" s="64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2" t="s">
        <v>680</v>
      </c>
      <c r="C106" s="663"/>
      <c r="D106" s="663"/>
      <c r="E106" s="663"/>
      <c r="F106" s="663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7" t="s">
        <v>21</v>
      </c>
      <c r="C107" s="638"/>
      <c r="D107" s="638"/>
      <c r="E107" s="638"/>
      <c r="F107" s="638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9" t="s">
        <v>23</v>
      </c>
      <c r="C108" s="630"/>
      <c r="D108" s="630"/>
      <c r="E108" s="630"/>
      <c r="F108" s="630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9" t="s">
        <v>25</v>
      </c>
      <c r="C109" s="630"/>
      <c r="D109" s="630"/>
      <c r="E109" s="630"/>
      <c r="F109" s="630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9" t="s">
        <v>27</v>
      </c>
      <c r="C110" s="630"/>
      <c r="D110" s="630"/>
      <c r="E110" s="630"/>
      <c r="F110" s="630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9" t="s">
        <v>29</v>
      </c>
      <c r="C111" s="630"/>
      <c r="D111" s="630"/>
      <c r="E111" s="630"/>
      <c r="F111" s="630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9" t="s">
        <v>31</v>
      </c>
      <c r="C112" s="630"/>
      <c r="D112" s="630"/>
      <c r="E112" s="630"/>
      <c r="F112" s="630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9" t="s">
        <v>33</v>
      </c>
      <c r="C113" s="630"/>
      <c r="D113" s="630"/>
      <c r="E113" s="630"/>
      <c r="F113" s="630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9" t="s">
        <v>721</v>
      </c>
      <c r="C114" s="630"/>
      <c r="D114" s="630"/>
      <c r="E114" s="630"/>
      <c r="F114" s="630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4" t="s">
        <v>37</v>
      </c>
      <c r="C115" s="665"/>
      <c r="D115" s="665"/>
      <c r="E115" s="665"/>
      <c r="F115" s="665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9" t="s">
        <v>39</v>
      </c>
      <c r="C116" s="630"/>
      <c r="D116" s="630"/>
      <c r="E116" s="630"/>
      <c r="F116" s="630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9" t="s">
        <v>41</v>
      </c>
      <c r="C117" s="630"/>
      <c r="D117" s="630"/>
      <c r="E117" s="630"/>
      <c r="F117" s="630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9" t="s">
        <v>43</v>
      </c>
      <c r="C118" s="630"/>
      <c r="D118" s="630"/>
      <c r="E118" s="630"/>
      <c r="F118" s="630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9" t="s">
        <v>45</v>
      </c>
      <c r="C119" s="630"/>
      <c r="D119" s="630"/>
      <c r="E119" s="630"/>
      <c r="F119" s="630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5" t="s">
        <v>47</v>
      </c>
      <c r="C120" s="636"/>
      <c r="D120" s="636"/>
      <c r="E120" s="636"/>
      <c r="F120" s="636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5" t="s">
        <v>61</v>
      </c>
      <c r="C121" s="636"/>
      <c r="D121" s="636"/>
      <c r="E121" s="636"/>
      <c r="F121" s="636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5" t="s">
        <v>81</v>
      </c>
      <c r="C122" s="636"/>
      <c r="D122" s="636"/>
      <c r="E122" s="636"/>
      <c r="F122" s="636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5" t="s">
        <v>99</v>
      </c>
      <c r="C123" s="636"/>
      <c r="D123" s="636"/>
      <c r="E123" s="636"/>
      <c r="F123" s="636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1" t="s">
        <v>105</v>
      </c>
      <c r="C124" s="632"/>
      <c r="D124" s="632"/>
      <c r="E124" s="632"/>
      <c r="F124" s="632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3" t="s">
        <v>808</v>
      </c>
      <c r="C125" s="614"/>
      <c r="D125" s="614"/>
      <c r="E125" s="614"/>
      <c r="F125" s="61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8" t="s">
        <v>773</v>
      </c>
      <c r="C126" s="669"/>
      <c r="D126" s="669"/>
      <c r="E126" s="669"/>
      <c r="F126" s="669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3" t="s">
        <v>120</v>
      </c>
      <c r="C127" s="634"/>
      <c r="D127" s="634"/>
      <c r="E127" s="634"/>
      <c r="F127" s="634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9" t="s">
        <v>122</v>
      </c>
      <c r="C128" s="630"/>
      <c r="D128" s="630"/>
      <c r="E128" s="630"/>
      <c r="F128" s="630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9" t="s">
        <v>133</v>
      </c>
      <c r="C129" s="630"/>
      <c r="D129" s="630"/>
      <c r="E129" s="630"/>
      <c r="F129" s="630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9" t="s">
        <v>148</v>
      </c>
      <c r="C130" s="630"/>
      <c r="D130" s="630"/>
      <c r="E130" s="630"/>
      <c r="F130" s="630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9" t="s">
        <v>162</v>
      </c>
      <c r="C131" s="630"/>
      <c r="D131" s="630"/>
      <c r="E131" s="630"/>
      <c r="F131" s="630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9" t="s">
        <v>182</v>
      </c>
      <c r="C132" s="630"/>
      <c r="D132" s="630"/>
      <c r="E132" s="630"/>
      <c r="F132" s="630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9" t="s">
        <v>190</v>
      </c>
      <c r="C133" s="630"/>
      <c r="D133" s="630"/>
      <c r="E133" s="630"/>
      <c r="F133" s="630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9" t="s">
        <v>196</v>
      </c>
      <c r="C134" s="630"/>
      <c r="D134" s="630"/>
      <c r="E134" s="630"/>
      <c r="F134" s="630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9" t="s">
        <v>204</v>
      </c>
      <c r="C135" s="630"/>
      <c r="D135" s="630"/>
      <c r="E135" s="630"/>
      <c r="F135" s="630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9" t="s">
        <v>212</v>
      </c>
      <c r="C136" s="630"/>
      <c r="D136" s="630"/>
      <c r="E136" s="630"/>
      <c r="F136" s="630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9" t="s">
        <v>802</v>
      </c>
      <c r="C137" s="630"/>
      <c r="D137" s="630"/>
      <c r="E137" s="630"/>
      <c r="F137" s="630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5" t="s">
        <v>230</v>
      </c>
      <c r="C138" s="626"/>
      <c r="D138" s="626"/>
      <c r="E138" s="626"/>
      <c r="F138" s="626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9" t="s">
        <v>232</v>
      </c>
      <c r="C139" s="630"/>
      <c r="D139" s="630"/>
      <c r="E139" s="630"/>
      <c r="F139" s="630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9" t="s">
        <v>248</v>
      </c>
      <c r="C140" s="630"/>
      <c r="D140" s="630"/>
      <c r="E140" s="630"/>
      <c r="F140" s="630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9" t="s">
        <v>259</v>
      </c>
      <c r="C141" s="630"/>
      <c r="D141" s="630"/>
      <c r="E141" s="630"/>
      <c r="F141" s="630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9" t="s">
        <v>274</v>
      </c>
      <c r="C142" s="630"/>
      <c r="D142" s="630"/>
      <c r="E142" s="630"/>
      <c r="F142" s="630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9" t="s">
        <v>278</v>
      </c>
      <c r="C143" s="630"/>
      <c r="D143" s="630"/>
      <c r="E143" s="630"/>
      <c r="F143" s="630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7" t="s">
        <v>286</v>
      </c>
      <c r="C144" s="628"/>
      <c r="D144" s="628"/>
      <c r="E144" s="628"/>
      <c r="F144" s="62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7" t="s">
        <v>809</v>
      </c>
      <c r="C145" s="628"/>
      <c r="D145" s="628"/>
      <c r="E145" s="628"/>
      <c r="F145" s="62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9" t="s">
        <v>113</v>
      </c>
      <c r="C146" s="620"/>
      <c r="D146" s="620"/>
      <c r="E146" s="620"/>
      <c r="F146" s="62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9" t="s">
        <v>366</v>
      </c>
      <c r="C147" s="620"/>
      <c r="D147" s="620"/>
      <c r="E147" s="620"/>
      <c r="F147" s="62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9" t="s">
        <v>359</v>
      </c>
      <c r="C148" s="620"/>
      <c r="D148" s="620"/>
      <c r="E148" s="620"/>
      <c r="F148" s="62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1" t="s">
        <v>545</v>
      </c>
      <c r="C150" s="622"/>
      <c r="D150" s="622"/>
      <c r="E150" s="622"/>
      <c r="F150" s="622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3" t="s">
        <v>810</v>
      </c>
      <c r="C151" s="624"/>
      <c r="D151" s="624"/>
      <c r="E151" s="624"/>
      <c r="F151" s="624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5" t="s">
        <v>352</v>
      </c>
      <c r="C152" s="626"/>
      <c r="D152" s="626"/>
      <c r="E152" s="626"/>
      <c r="F152" s="626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7" t="s">
        <v>355</v>
      </c>
      <c r="C153" s="618"/>
      <c r="D153" s="618"/>
      <c r="E153" s="618"/>
      <c r="F153" s="618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9" t="s">
        <v>357</v>
      </c>
      <c r="C154" s="620"/>
      <c r="D154" s="620"/>
      <c r="E154" s="620"/>
      <c r="F154" s="62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9" t="s">
        <v>365</v>
      </c>
      <c r="C155" s="620"/>
      <c r="D155" s="620"/>
      <c r="E155" s="620"/>
      <c r="F155" s="62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5" t="s">
        <v>543</v>
      </c>
      <c r="C157" s="616"/>
      <c r="D157" s="616"/>
      <c r="E157" s="616"/>
      <c r="F157" s="616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3" t="s">
        <v>544</v>
      </c>
      <c r="C158" s="614"/>
      <c r="D158" s="614"/>
      <c r="E158" s="614"/>
      <c r="F158" s="61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7" t="s">
        <v>114</v>
      </c>
      <c r="C159" s="618"/>
      <c r="D159" s="618"/>
      <c r="E159" s="618"/>
      <c r="F159" s="618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9" t="s">
        <v>116</v>
      </c>
      <c r="C160" s="620"/>
      <c r="D160" s="620"/>
      <c r="E160" s="620"/>
      <c r="F160" s="62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9" t="s">
        <v>93</v>
      </c>
      <c r="C161" s="620"/>
      <c r="D161" s="620"/>
      <c r="E161" s="620"/>
      <c r="F161" s="62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9" t="s">
        <v>554</v>
      </c>
      <c r="F6" s="677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8"/>
      <c r="R6" s="677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8"/>
      <c r="AD6" s="677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8"/>
      <c r="AP6" s="677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8"/>
      <c r="BB6" s="677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8"/>
      <c r="BN6" s="677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8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7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8"/>
      <c r="CX6" s="677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8"/>
      <c r="DJ6" s="677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8"/>
    </row>
    <row r="7" spans="1:321">
      <c r="E7" s="679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9" t="s">
        <v>675</v>
      </c>
      <c r="F214" s="677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8"/>
      <c r="R214" s="677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8"/>
      <c r="AD214" s="677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8"/>
      <c r="AP214" s="677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8"/>
      <c r="BB214" s="677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8"/>
      <c r="BN214" s="677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8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7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8"/>
      <c r="CX214" s="677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8"/>
      <c r="DJ214" s="677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8"/>
    </row>
    <row r="215" spans="1:187">
      <c r="E215" s="679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D21" sqref="D21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7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Jul</v>
      </c>
    </row>
    <row r="246" spans="4:7">
      <c r="D246" s="41"/>
      <c r="G246" s="44" t="str">
        <f>+CONCATENATE("Jan - ",LEFT(G245,3))</f>
        <v>Jan - Jul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Jul</v>
      </c>
      <c r="F254" s="6" t="str">
        <f>+CONCATENATE("Analytics for period ",G246)</f>
        <v>Analytics for period Jan - Jul</v>
      </c>
      <c r="G254" s="44" t="str">
        <f>+IF(ISBLANK(IF($B$2=1,E254,F254)),"",IF($B$2=1,E254,F254))</f>
        <v>Analitika za period Jan - Jul</v>
      </c>
    </row>
    <row r="255" spans="4:7">
      <c r="E255" s="5" t="str">
        <f>+CONCATENATE("Analitika za period ",G245)</f>
        <v>Analitika za period Jul</v>
      </c>
      <c r="F255" s="6" t="str">
        <f>+CONCATENATE("Analytics for period ",G245)</f>
        <v>Analytics for period Jul</v>
      </c>
      <c r="G255" s="44" t="str">
        <f>+IF(ISBLANK(IF($B$2=1,E255,F255)),"",IF($B$2=1,E255,F255))</f>
        <v>Analitika za period Jul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Jul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Jul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Jul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Jul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Jul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Jul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C6" sqref="C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Jul</v>
      </c>
      <c r="G11" s="122" t="str">
        <f>+Master!G274</f>
        <v>Prihodi za period Januar - Jul</v>
      </c>
      <c r="J11" s="121"/>
    </row>
    <row r="12" spans="3:10">
      <c r="C12" s="120"/>
      <c r="D12" s="123">
        <f>+'Analitika 2025'!N10</f>
        <v>256131937.00999999</v>
      </c>
      <c r="E12" s="427">
        <f>+D12/'2025'!T7</f>
        <v>3.2346017176232873E-2</v>
      </c>
      <c r="G12" s="123">
        <f>+'Analitika 2025'!G10</f>
        <v>1578959471.8999999</v>
      </c>
      <c r="H12" s="427">
        <f>+G12/'2025'!T7</f>
        <v>0.19940133508871627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Jul</v>
      </c>
      <c r="G15" s="122" t="str">
        <f>+Master!G275</f>
        <v>Rashodi za period Januar - Jul</v>
      </c>
      <c r="J15" s="121"/>
    </row>
    <row r="16" spans="3:10">
      <c r="C16" s="120"/>
      <c r="D16" s="123">
        <f>+'Analitika 2025'!N29</f>
        <v>242652626.09999996</v>
      </c>
      <c r="E16" s="427">
        <f>+D16/'2025'!T7</f>
        <v>3.0643761583633258E-2</v>
      </c>
      <c r="G16" s="123">
        <f>+'Analitika 2025'!G29</f>
        <v>1676173092.71</v>
      </c>
      <c r="H16" s="427">
        <f>+G16/'2025'!T7</f>
        <v>0.21167810730693945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Jul</v>
      </c>
      <c r="G19" s="122" t="str">
        <f>+Master!G276</f>
        <v>Suficit/Deficit za period Januar - Jul</v>
      </c>
      <c r="J19" s="121"/>
    </row>
    <row r="20" spans="3:11">
      <c r="C20" s="120"/>
      <c r="D20" s="123">
        <f>+'Analitika 2025'!N53</f>
        <v>13479310.910000026</v>
      </c>
      <c r="E20" s="427">
        <f>+D20/'2025'!T7</f>
        <v>1.7022555925996119E-3</v>
      </c>
      <c r="G20" s="123">
        <f>+'Analitika 2025'!G53</f>
        <v>-97213620.810000092</v>
      </c>
      <c r="H20" s="427">
        <f>+G20/'2025'!T7</f>
        <v>-1.227677221822316E-2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Hf77fiVGYOxYmKED+Do1fT+qL+ykj6vMDXaJLaO2jCczk5u2BbGFphWb0c/B45B+dSw5pYGb4xD2g5Z0rrWjug==" saltValue="hRS0r7iClIIeaheAN+xzi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E5" sqref="E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2025-07</v>
      </c>
      <c r="O6" s="128" t="str">
        <f>+CONCATENATE(N6,"p")</f>
        <v>2025-07p</v>
      </c>
      <c r="P6" s="116"/>
      <c r="Q6" s="116"/>
      <c r="R6" s="128" t="str">
        <f>+IF(Master!B3-10&gt;=0,CONCATENATE(Master!B4-1,"-",Master!B3),CONCATENATE(Master!B4-1,"-0",Master!B3))</f>
        <v>2024-07</v>
      </c>
      <c r="S6" s="116"/>
      <c r="T6" s="116"/>
    </row>
    <row r="7" spans="1:25" ht="14.25" customHeight="1">
      <c r="A7" s="129"/>
      <c r="B7" s="593" t="str">
        <f>+Master!G254</f>
        <v>Analitika za period Jan - Jul</v>
      </c>
      <c r="C7" s="594"/>
      <c r="D7" s="594"/>
      <c r="E7" s="594"/>
      <c r="F7" s="594"/>
      <c r="G7" s="602" t="str">
        <f>+Master!G246</f>
        <v>Jan - Jul</v>
      </c>
      <c r="H7" s="603"/>
      <c r="I7" s="603"/>
      <c r="J7" s="603"/>
      <c r="K7" s="603"/>
      <c r="L7" s="603"/>
      <c r="M7" s="606"/>
      <c r="N7" s="603" t="str">
        <f>+Master!G245</f>
        <v>Jul</v>
      </c>
      <c r="O7" s="603"/>
      <c r="P7" s="603"/>
      <c r="Q7" s="603"/>
      <c r="R7" s="603"/>
      <c r="S7" s="603"/>
      <c r="T7" s="606"/>
    </row>
    <row r="8" spans="1:25" ht="29.25" customHeight="1">
      <c r="A8" s="129"/>
      <c r="B8" s="595"/>
      <c r="C8" s="596"/>
      <c r="D8" s="596"/>
      <c r="E8" s="596"/>
      <c r="F8" s="597"/>
      <c r="G8" s="487" t="str">
        <f>+Master!G26</f>
        <v>Ostvarenje</v>
      </c>
      <c r="H8" s="330" t="str">
        <f>+Master!G25</f>
        <v>Plan</v>
      </c>
      <c r="I8" s="591" t="str">
        <f>+Master!G261</f>
        <v>Odstupanje</v>
      </c>
      <c r="J8" s="591"/>
      <c r="K8" s="130" t="str">
        <f>+CONCATENATE(Master!G246," ",Master!B4-1)</f>
        <v>Jan - Jul 2024</v>
      </c>
      <c r="L8" s="591" t="str">
        <f>+I8</f>
        <v>Odstupanje</v>
      </c>
      <c r="M8" s="592"/>
      <c r="N8" s="487" t="str">
        <f>+G8</f>
        <v>Ostvarenje</v>
      </c>
      <c r="O8" s="130" t="str">
        <f>+H8</f>
        <v>Plan</v>
      </c>
      <c r="P8" s="591" t="str">
        <f>+I8</f>
        <v>Odstupanje</v>
      </c>
      <c r="Q8" s="591"/>
      <c r="R8" s="130" t="str">
        <f>+CONCATENATE(Master!G245," ",Master!B4-1)</f>
        <v>Jul 2024</v>
      </c>
      <c r="S8" s="591" t="str">
        <f>+P8</f>
        <v>Odstupanje</v>
      </c>
      <c r="T8" s="592"/>
    </row>
    <row r="9" spans="1:25" ht="15.75" thickBot="1">
      <c r="A9" s="129"/>
      <c r="B9" s="598"/>
      <c r="C9" s="599"/>
      <c r="D9" s="599"/>
      <c r="E9" s="599"/>
      <c r="F9" s="600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'2025'!S10</f>
        <v>1578959471.8999999</v>
      </c>
      <c r="H10" s="136">
        <f>SUM('2025'!G86:M86)</f>
        <v>1603865798.1576369</v>
      </c>
      <c r="I10" s="137">
        <f>+G10-H10</f>
        <v>-24906326.257637024</v>
      </c>
      <c r="J10" s="139">
        <f>IF(+IF(ISERROR(G10/H10),"…",G10/H10-1)&gt;200%,"...",IF(ISERROR(G10/H10),"…",G10/H10-1))</f>
        <v>-1.5528934083043011E-2</v>
      </c>
      <c r="K10" s="136">
        <f>SUM('2024'!G10:M10)</f>
        <v>1572967603.6399999</v>
      </c>
      <c r="L10" s="137">
        <f>+G10-K10</f>
        <v>5991868.2599999905</v>
      </c>
      <c r="M10" s="141">
        <f>IF(+IF(ISERROR(G10/K10),"…",G10/K10-1)&gt;200%,"...",IF(ISERROR(G10/K10),"…",G10/K10-1))</f>
        <v>3.8092763297439269E-3</v>
      </c>
      <c r="N10" s="136">
        <f>'2025'!M10</f>
        <v>256131937.00999999</v>
      </c>
      <c r="O10" s="136">
        <f>'2025'!M86</f>
        <v>244303914.76144812</v>
      </c>
      <c r="P10" s="137">
        <f>+N10-O10</f>
        <v>11828022.248551875</v>
      </c>
      <c r="Q10" s="139">
        <f>IF(+IF(ISERROR(N10/O10),"…",N10/O10-1)&gt;200%,"...",IF(ISERROR(N10/O10),"…",N10/O10-1))</f>
        <v>4.841519735818145E-2</v>
      </c>
      <c r="R10" s="136">
        <f>'2024'!M10</f>
        <v>263236934.85000002</v>
      </c>
      <c r="S10" s="137">
        <f>+N10-R10</f>
        <v>-7104997.8400000334</v>
      </c>
      <c r="T10" s="141">
        <f>IF(+IF(ISERROR(N10/R10),"…",N10/R10-1)&gt;200%,"...",IF(ISERROR(N10/R10),"…",N10/R10-1))</f>
        <v>-2.6990885014098298E-2</v>
      </c>
      <c r="U10" s="560"/>
      <c r="W10" s="470"/>
      <c r="Y10" s="470"/>
    </row>
    <row r="11" spans="1:25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262">
        <f>'2025'!S11</f>
        <v>1273687047.0700002</v>
      </c>
      <c r="H11" s="262">
        <f>SUM('2025'!G87:M87)</f>
        <v>1254338782.2594354</v>
      </c>
      <c r="I11" s="143">
        <f t="shared" ref="I11:I57" si="0">+G11-H11</f>
        <v>19348264.810564756</v>
      </c>
      <c r="J11" s="145">
        <f t="shared" ref="J11:J66" si="1">IF(+IF(ISERROR(G11/H11-1),"…",G11/H11-1)&gt;200%,"...",IF(ISERROR(G11/H11-1),"…",G11/H11-1))</f>
        <v>1.5425071028827508E-2</v>
      </c>
      <c r="K11" s="262">
        <f>SUM('2024'!G11:M11)</f>
        <v>1135601424.4199998</v>
      </c>
      <c r="L11" s="143">
        <f>+G11-K11</f>
        <v>138085622.65000033</v>
      </c>
      <c r="M11" s="147">
        <f t="shared" ref="M11:M66" si="2">IF(+IF(ISERROR(G11/K11),"…",G11/K11-1)&gt;200%,"...",IF(ISERROR(G11/K11),"…",G11/K11-1))</f>
        <v>0.12159690863414219</v>
      </c>
      <c r="N11" s="262">
        <f>'2025'!M11</f>
        <v>202252135.63</v>
      </c>
      <c r="O11" s="262">
        <f>'2025'!M87</f>
        <v>189417204.71386531</v>
      </c>
      <c r="P11" s="143">
        <f>+N11-O11</f>
        <v>12834930.916134685</v>
      </c>
      <c r="Q11" s="145">
        <f t="shared" ref="Q11:Q66" si="3">IF(+IF(ISERROR(N11/O11),"…",N11/O11-1)&gt;200%,"...",IF(ISERROR(N11/O11),"…",N11/O11-1))</f>
        <v>6.7760111524838518E-2</v>
      </c>
      <c r="R11" s="262">
        <f>'2024'!M11</f>
        <v>176287449.86999997</v>
      </c>
      <c r="S11" s="143">
        <f t="shared" ref="S11:S57" si="4">+N11-R11</f>
        <v>25964685.76000002</v>
      </c>
      <c r="T11" s="147">
        <f t="shared" ref="T11:T66" si="5">IF(+IF(ISERROR(N11/R11),"…",N11/R11-1)&gt;200%,"...",IF(ISERROR(N11/R11),"…",N11/R11-1))</f>
        <v>0.14728607044430686</v>
      </c>
      <c r="W11" s="470"/>
      <c r="Y11" s="470"/>
    </row>
    <row r="12" spans="1:25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f>'2025'!S12</f>
        <v>56485728.240000002</v>
      </c>
      <c r="H12" s="148">
        <f>SUM('2025'!G88:M88)</f>
        <v>55645809.33661551</v>
      </c>
      <c r="I12" s="149">
        <f t="shared" si="0"/>
        <v>839918.9033844918</v>
      </c>
      <c r="J12" s="151">
        <f t="shared" si="1"/>
        <v>1.5094018999770586E-2</v>
      </c>
      <c r="K12" s="148">
        <f>SUM('2024'!G12:M12)</f>
        <v>45873331.319999993</v>
      </c>
      <c r="L12" s="149">
        <f>+G12-K12</f>
        <v>10612396.920000009</v>
      </c>
      <c r="M12" s="153">
        <f t="shared" si="2"/>
        <v>0.23134131781210288</v>
      </c>
      <c r="N12" s="148">
        <f>'2025'!M12</f>
        <v>9900438.5999999996</v>
      </c>
      <c r="O12" s="148">
        <f>'2025'!M88</f>
        <v>8191795.9500511903</v>
      </c>
      <c r="P12" s="149">
        <f t="shared" ref="P12:P57" si="6">+N12-O12</f>
        <v>1708642.6499488093</v>
      </c>
      <c r="Q12" s="151">
        <f t="shared" si="3"/>
        <v>0.20857973762617132</v>
      </c>
      <c r="R12" s="148">
        <f>'2024'!M12</f>
        <v>8103849.4699999979</v>
      </c>
      <c r="S12" s="149">
        <f t="shared" si="4"/>
        <v>1796589.1300000018</v>
      </c>
      <c r="T12" s="153">
        <f t="shared" si="5"/>
        <v>0.22169576775221156</v>
      </c>
      <c r="W12" s="470"/>
      <c r="Y12" s="470"/>
    </row>
    <row r="13" spans="1:25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f>'2025'!S13</f>
        <v>215888158.62</v>
      </c>
      <c r="H13" s="148">
        <f>SUM('2025'!G89:M89)</f>
        <v>201759830.51676837</v>
      </c>
      <c r="I13" s="149">
        <f t="shared" si="0"/>
        <v>14128328.103231639</v>
      </c>
      <c r="J13" s="151">
        <f t="shared" si="1"/>
        <v>7.0025475670973281E-2</v>
      </c>
      <c r="K13" s="148">
        <f>SUM('2024'!G13:M13)</f>
        <v>197589670.61999997</v>
      </c>
      <c r="L13" s="149">
        <f t="shared" ref="L13:L57" si="7">+G13-K13</f>
        <v>18298488.00000003</v>
      </c>
      <c r="M13" s="153">
        <f t="shared" si="2"/>
        <v>9.2608525246197004E-2</v>
      </c>
      <c r="N13" s="148">
        <f>'2025'!M13</f>
        <v>5773713.3300000001</v>
      </c>
      <c r="O13" s="148">
        <f>'2025'!M89</f>
        <v>3374680.5796844289</v>
      </c>
      <c r="P13" s="149">
        <f t="shared" si="6"/>
        <v>2399032.7503155712</v>
      </c>
      <c r="Q13" s="151">
        <f t="shared" si="3"/>
        <v>0.71089179958475013</v>
      </c>
      <c r="R13" s="148">
        <f>'2024'!M13</f>
        <v>6399901.1399999987</v>
      </c>
      <c r="S13" s="149">
        <f t="shared" si="4"/>
        <v>-626187.80999999866</v>
      </c>
      <c r="T13" s="153">
        <f t="shared" si="5"/>
        <v>-9.7843356686600158E-2</v>
      </c>
      <c r="W13" s="470"/>
      <c r="Y13" s="470"/>
    </row>
    <row r="14" spans="1:25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f>'2025'!S14</f>
        <v>0</v>
      </c>
      <c r="H14" s="148">
        <f>SUM('2025'!G90:M90)</f>
        <v>0</v>
      </c>
      <c r="I14" s="149">
        <f t="shared" si="0"/>
        <v>0</v>
      </c>
      <c r="J14" s="151" t="str">
        <f t="shared" si="1"/>
        <v>...</v>
      </c>
      <c r="K14" s="148">
        <f>SUM('2024'!G14:M14)</f>
        <v>0</v>
      </c>
      <c r="L14" s="149">
        <f t="shared" si="7"/>
        <v>0</v>
      </c>
      <c r="M14" s="153" t="str">
        <f t="shared" si="2"/>
        <v>...</v>
      </c>
      <c r="N14" s="148">
        <f>'2025'!M14</f>
        <v>0</v>
      </c>
      <c r="O14" s="148">
        <f>'2025'!M90</f>
        <v>0</v>
      </c>
      <c r="P14" s="149">
        <f t="shared" si="6"/>
        <v>0</v>
      </c>
      <c r="Q14" s="151" t="str">
        <f t="shared" si="3"/>
        <v>...</v>
      </c>
      <c r="R14" s="148">
        <f>'2024'!M14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f>'2025'!S15</f>
        <v>738073912.9000001</v>
      </c>
      <c r="H15" s="148">
        <f>SUM('2025'!G91:M91)</f>
        <v>740126427.02552831</v>
      </c>
      <c r="I15" s="149">
        <f t="shared" si="0"/>
        <v>-2052514.1255282164</v>
      </c>
      <c r="J15" s="151">
        <f t="shared" si="1"/>
        <v>-2.7731939444143316E-3</v>
      </c>
      <c r="K15" s="148">
        <f>SUM('2024'!G15:M15)</f>
        <v>655379973.64999998</v>
      </c>
      <c r="L15" s="149">
        <f t="shared" si="7"/>
        <v>82693939.250000119</v>
      </c>
      <c r="M15" s="153">
        <f t="shared" si="2"/>
        <v>0.12617709203022143</v>
      </c>
      <c r="N15" s="148">
        <f>'2025'!M15</f>
        <v>136015036.31999999</v>
      </c>
      <c r="O15" s="148">
        <f>'2025'!M91</f>
        <v>128361539.072551</v>
      </c>
      <c r="P15" s="149">
        <f t="shared" si="6"/>
        <v>7653497.2474489957</v>
      </c>
      <c r="Q15" s="151">
        <f t="shared" si="3"/>
        <v>5.9624536311637444E-2</v>
      </c>
      <c r="R15" s="148">
        <f>'2024'!M15</f>
        <v>119418214.70999996</v>
      </c>
      <c r="S15" s="149">
        <f t="shared" si="4"/>
        <v>16596821.610000029</v>
      </c>
      <c r="T15" s="153">
        <f t="shared" si="5"/>
        <v>0.13898065425198669</v>
      </c>
      <c r="W15" s="470"/>
      <c r="Y15" s="470"/>
    </row>
    <row r="16" spans="1:25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f>'2025'!S16</f>
        <v>214330673.03</v>
      </c>
      <c r="H16" s="148">
        <f>SUM('2025'!G92:M92)</f>
        <v>212651764.84999999</v>
      </c>
      <c r="I16" s="149">
        <f t="shared" si="0"/>
        <v>1678908.1800000072</v>
      </c>
      <c r="J16" s="151">
        <f t="shared" si="1"/>
        <v>7.8951057903717814E-3</v>
      </c>
      <c r="K16" s="148">
        <f>SUM('2024'!G16:M16)</f>
        <v>195060556.93999997</v>
      </c>
      <c r="L16" s="149">
        <f t="shared" si="7"/>
        <v>19270116.090000033</v>
      </c>
      <c r="M16" s="153">
        <f t="shared" si="2"/>
        <v>9.8790428943189568E-2</v>
      </c>
      <c r="N16" s="148">
        <f>'2025'!M16</f>
        <v>41468885</v>
      </c>
      <c r="O16" s="148">
        <f>'2025'!M92</f>
        <v>42000000</v>
      </c>
      <c r="P16" s="149">
        <f t="shared" si="6"/>
        <v>-531115</v>
      </c>
      <c r="Q16" s="151">
        <f t="shared" si="3"/>
        <v>-1.2645595238095275E-2</v>
      </c>
      <c r="R16" s="148">
        <f>'2024'!M16</f>
        <v>34841981.669999979</v>
      </c>
      <c r="S16" s="149">
        <f t="shared" si="4"/>
        <v>6626903.3300000206</v>
      </c>
      <c r="T16" s="153">
        <f t="shared" si="5"/>
        <v>0.1901988065077822</v>
      </c>
      <c r="W16" s="470"/>
      <c r="Y16" s="470"/>
    </row>
    <row r="17" spans="1:25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f>'2025'!S17</f>
        <v>39697710.400000006</v>
      </c>
      <c r="H17" s="148">
        <f>SUM('2025'!G93:M93)</f>
        <v>34935982.976452872</v>
      </c>
      <c r="I17" s="149">
        <f t="shared" si="0"/>
        <v>4761727.4235471338</v>
      </c>
      <c r="J17" s="151">
        <f t="shared" si="1"/>
        <v>0.13629865307515687</v>
      </c>
      <c r="K17" s="148">
        <f>SUM('2024'!G17:M17)</f>
        <v>33360512.310000002</v>
      </c>
      <c r="L17" s="149">
        <f t="shared" si="7"/>
        <v>6337198.0900000036</v>
      </c>
      <c r="M17" s="153">
        <f t="shared" si="2"/>
        <v>0.18996105428813781</v>
      </c>
      <c r="N17" s="148">
        <f>'2025'!M17</f>
        <v>7389935.04</v>
      </c>
      <c r="O17" s="148">
        <f>'2025'!M93</f>
        <v>6106528.2444638051</v>
      </c>
      <c r="P17" s="149" t="s">
        <v>92</v>
      </c>
      <c r="Q17" s="151">
        <f>IF(+IF(ISERROR(N17/O17),"…",N17/O17-1)&gt;200%,"...",IF(ISERROR(N17/O17),"…",N17/O17-1))</f>
        <v>0.21016963226195418</v>
      </c>
      <c r="R17" s="148">
        <f>'2024'!M17</f>
        <v>6113583.799999998</v>
      </c>
      <c r="S17" s="149">
        <f t="shared" si="4"/>
        <v>1276351.2400000021</v>
      </c>
      <c r="T17" s="153">
        <f t="shared" si="5"/>
        <v>0.20877300152489986</v>
      </c>
      <c r="W17" s="470"/>
      <c r="Y17" s="470"/>
    </row>
    <row r="18" spans="1:25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f>'2025'!S18</f>
        <v>9210863.8800000008</v>
      </c>
      <c r="H18" s="148">
        <f>SUM('2025'!G94:M94)</f>
        <v>9218967.554070361</v>
      </c>
      <c r="I18" s="149">
        <f t="shared" si="0"/>
        <v>-8103.674070360139</v>
      </c>
      <c r="J18" s="151">
        <f t="shared" si="1"/>
        <v>-8.7902186690980155E-4</v>
      </c>
      <c r="K18" s="148">
        <f>SUM('2024'!G18:M18)</f>
        <v>8337379.5800000001</v>
      </c>
      <c r="L18" s="149">
        <f t="shared" si="7"/>
        <v>873484.30000000075</v>
      </c>
      <c r="M18" s="153">
        <f t="shared" si="2"/>
        <v>0.10476724630546341</v>
      </c>
      <c r="N18" s="148">
        <f>'2025'!M18</f>
        <v>1704127.34</v>
      </c>
      <c r="O18" s="148">
        <f>'2025'!M94</f>
        <v>1382660.8671149078</v>
      </c>
      <c r="P18" s="149">
        <f t="shared" si="6"/>
        <v>321466.47288509225</v>
      </c>
      <c r="Q18" s="151">
        <f t="shared" si="3"/>
        <v>0.23249842425631928</v>
      </c>
      <c r="R18" s="148">
        <f>'2024'!M18</f>
        <v>1409919.08</v>
      </c>
      <c r="S18" s="149">
        <f t="shared" si="4"/>
        <v>294208.26</v>
      </c>
      <c r="T18" s="153">
        <f t="shared" si="5"/>
        <v>0.20867031602976827</v>
      </c>
      <c r="W18" s="470"/>
      <c r="Y18" s="470"/>
    </row>
    <row r="19" spans="1:25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f>'2025'!S19</f>
        <v>219011215.15999997</v>
      </c>
      <c r="H19" s="154">
        <f>SUM('2025'!G95:M95)</f>
        <v>241267075.88172972</v>
      </c>
      <c r="I19" s="155">
        <f t="shared" si="0"/>
        <v>-22255860.721729755</v>
      </c>
      <c r="J19" s="157">
        <f t="shared" si="1"/>
        <v>-9.224574318892842E-2</v>
      </c>
      <c r="K19" s="154">
        <f>SUM('2024'!G19:M19)</f>
        <v>320972394.60000014</v>
      </c>
      <c r="L19" s="155">
        <f t="shared" si="7"/>
        <v>-101961179.44000018</v>
      </c>
      <c r="M19" s="159">
        <f t="shared" si="2"/>
        <v>-0.31766339147971112</v>
      </c>
      <c r="N19" s="154">
        <f>'2025'!M19</f>
        <v>34931492.049999997</v>
      </c>
      <c r="O19" s="154">
        <f>'2025'!M95</f>
        <v>38491145.098489322</v>
      </c>
      <c r="P19" s="155">
        <f t="shared" si="6"/>
        <v>-3559653.0484893247</v>
      </c>
      <c r="Q19" s="157">
        <f t="shared" si="3"/>
        <v>-9.247979085530067E-2</v>
      </c>
      <c r="R19" s="154">
        <f>'2024'!M19</f>
        <v>55016979.530000024</v>
      </c>
      <c r="S19" s="155">
        <f t="shared" si="4"/>
        <v>-20085487.480000027</v>
      </c>
      <c r="T19" s="159">
        <f t="shared" si="5"/>
        <v>-0.365077975046734</v>
      </c>
      <c r="W19" s="470"/>
      <c r="Y19" s="470"/>
    </row>
    <row r="20" spans="1:25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f>'2025'!S20</f>
        <v>184713997.11000001</v>
      </c>
      <c r="H20" s="148">
        <f>SUM('2025'!G96:M96)</f>
        <v>215002103.93630433</v>
      </c>
      <c r="I20" s="149">
        <f t="shared" si="0"/>
        <v>-30288106.826304317</v>
      </c>
      <c r="J20" s="151">
        <f t="shared" si="1"/>
        <v>-0.14087353691793336</v>
      </c>
      <c r="K20" s="148">
        <f>SUM('2024'!G20:M20)</f>
        <v>294484071.41000015</v>
      </c>
      <c r="L20" s="149">
        <f t="shared" si="7"/>
        <v>-109770074.30000013</v>
      </c>
      <c r="M20" s="153">
        <f t="shared" si="2"/>
        <v>-0.37275385990969612</v>
      </c>
      <c r="N20" s="148">
        <f>'2025'!M20</f>
        <v>29314001.120000001</v>
      </c>
      <c r="O20" s="148">
        <f>'2025'!M96</f>
        <v>34400667.245599404</v>
      </c>
      <c r="P20" s="149">
        <f t="shared" si="6"/>
        <v>-5086666.1255994029</v>
      </c>
      <c r="Q20" s="151">
        <f t="shared" si="3"/>
        <v>-0.14786533322984019</v>
      </c>
      <c r="R20" s="148">
        <f>'2024'!M20</f>
        <v>50382564.300000027</v>
      </c>
      <c r="S20" s="149">
        <f t="shared" si="4"/>
        <v>-21068563.180000026</v>
      </c>
      <c r="T20" s="153">
        <f t="shared" si="5"/>
        <v>-0.41817171223259897</v>
      </c>
      <c r="W20" s="470"/>
      <c r="Y20" s="470"/>
    </row>
    <row r="21" spans="1:25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f>'2025'!S21</f>
        <v>4163283.45</v>
      </c>
      <c r="H21" s="148">
        <f>SUM('2025'!G97:M97)</f>
        <v>3399880.6608587559</v>
      </c>
      <c r="I21" s="149">
        <f t="shared" si="0"/>
        <v>763402.78914124426</v>
      </c>
      <c r="J21" s="151">
        <f t="shared" si="1"/>
        <v>0.22453811333143103</v>
      </c>
      <c r="K21" s="148">
        <f>SUM('2024'!G21:M21)</f>
        <v>2826540.9200000004</v>
      </c>
      <c r="L21" s="149">
        <f t="shared" si="7"/>
        <v>1336742.5299999998</v>
      </c>
      <c r="M21" s="153">
        <f t="shared" si="2"/>
        <v>0.47292523541459985</v>
      </c>
      <c r="N21" s="148">
        <f>'2025'!M21</f>
        <v>514025.99</v>
      </c>
      <c r="O21" s="148">
        <f>'2025'!M97</f>
        <v>500023.86869410798</v>
      </c>
      <c r="P21" s="149">
        <f t="shared" si="6"/>
        <v>14002.121305892011</v>
      </c>
      <c r="Q21" s="151">
        <f t="shared" si="3"/>
        <v>2.8002905826197466E-2</v>
      </c>
      <c r="R21" s="148">
        <f>'2024'!M21</f>
        <v>516613.78999999986</v>
      </c>
      <c r="S21" s="149">
        <f t="shared" si="4"/>
        <v>-2587.7999999998719</v>
      </c>
      <c r="T21" s="153">
        <f t="shared" si="5"/>
        <v>-5.0091578081953303E-3</v>
      </c>
      <c r="W21" s="470"/>
      <c r="Y21" s="470"/>
    </row>
    <row r="22" spans="1:25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f>'2025'!S22</f>
        <v>17671471.640000001</v>
      </c>
      <c r="H22" s="148">
        <f>SUM('2025'!G98:M98)</f>
        <v>12475012.169864945</v>
      </c>
      <c r="I22" s="149">
        <f t="shared" si="0"/>
        <v>5196459.4701350555</v>
      </c>
      <c r="J22" s="151">
        <f t="shared" si="1"/>
        <v>0.41654945096468898</v>
      </c>
      <c r="K22" s="148">
        <f>SUM('2024'!G22:M22)</f>
        <v>13763105.1</v>
      </c>
      <c r="L22" s="149">
        <f t="shared" si="7"/>
        <v>3908366.540000001</v>
      </c>
      <c r="M22" s="153">
        <f t="shared" si="2"/>
        <v>0.28397418399427909</v>
      </c>
      <c r="N22" s="148">
        <f>'2025'!M22</f>
        <v>2992596.32</v>
      </c>
      <c r="O22" s="148">
        <f>'2025'!M98</f>
        <v>1921208.7370643199</v>
      </c>
      <c r="P22" s="149">
        <f t="shared" si="6"/>
        <v>1071387.5829356799</v>
      </c>
      <c r="Q22" s="151">
        <f t="shared" si="3"/>
        <v>0.55766328887968775</v>
      </c>
      <c r="R22" s="148">
        <f>'2024'!M22</f>
        <v>2381944.4099999978</v>
      </c>
      <c r="S22" s="149">
        <f t="shared" si="4"/>
        <v>610651.91000000201</v>
      </c>
      <c r="T22" s="153">
        <f t="shared" si="5"/>
        <v>0.25636698633113886</v>
      </c>
      <c r="W22" s="470"/>
      <c r="Y22" s="470"/>
    </row>
    <row r="23" spans="1:25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f>'2025'!S23</f>
        <v>12462462.960000001</v>
      </c>
      <c r="H23" s="148">
        <f>SUM('2025'!G99:M99)</f>
        <v>10390079.11470172</v>
      </c>
      <c r="I23" s="149">
        <f t="shared" si="0"/>
        <v>2072383.8452982809</v>
      </c>
      <c r="J23" s="151">
        <f t="shared" si="1"/>
        <v>0.19945794660657645</v>
      </c>
      <c r="K23" s="148">
        <f>SUM('2024'!G23:M23)</f>
        <v>9898677.1699999999</v>
      </c>
      <c r="L23" s="149">
        <f t="shared" si="7"/>
        <v>2563785.790000001</v>
      </c>
      <c r="M23" s="153">
        <f t="shared" si="2"/>
        <v>0.25900286937027173</v>
      </c>
      <c r="N23" s="148">
        <f>'2025'!M23</f>
        <v>2110868.62</v>
      </c>
      <c r="O23" s="148">
        <f>'2025'!M99</f>
        <v>1669245.2471314899</v>
      </c>
      <c r="P23" s="149">
        <f t="shared" si="6"/>
        <v>441623.3728685102</v>
      </c>
      <c r="Q23" s="151">
        <f t="shared" si="3"/>
        <v>0.26456470289636402</v>
      </c>
      <c r="R23" s="148">
        <f>'2024'!M23</f>
        <v>1735857.0299999998</v>
      </c>
      <c r="S23" s="149">
        <f t="shared" si="4"/>
        <v>375011.59000000032</v>
      </c>
      <c r="T23" s="153">
        <f t="shared" si="5"/>
        <v>0.21603829319975754</v>
      </c>
      <c r="W23" s="470"/>
      <c r="Y23" s="470"/>
    </row>
    <row r="24" spans="1:25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f>'2025'!S24</f>
        <v>8773557.7199999988</v>
      </c>
      <c r="H24" s="160">
        <f>SUM('2025'!G100:M100)</f>
        <v>9266559.6536681168</v>
      </c>
      <c r="I24" s="161">
        <f t="shared" si="0"/>
        <v>-493001.93366811797</v>
      </c>
      <c r="J24" s="163">
        <f t="shared" si="1"/>
        <v>-5.3202261906657666E-2</v>
      </c>
      <c r="K24" s="160">
        <f>SUM('2024'!G24:M24)</f>
        <v>8667058.4699999988</v>
      </c>
      <c r="L24" s="161">
        <f t="shared" si="7"/>
        <v>106499.25</v>
      </c>
      <c r="M24" s="165">
        <f t="shared" si="2"/>
        <v>1.2287819491311192E-2</v>
      </c>
      <c r="N24" s="160">
        <f>'2025'!M24</f>
        <v>1847059.53</v>
      </c>
      <c r="O24" s="160">
        <f>'2025'!M100</f>
        <v>2048665.888410368</v>
      </c>
      <c r="P24" s="161">
        <f t="shared" si="6"/>
        <v>-201606.35841036798</v>
      </c>
      <c r="Q24" s="163">
        <f t="shared" si="3"/>
        <v>-9.8408608036521517E-2</v>
      </c>
      <c r="R24" s="160">
        <f>'2024'!M24</f>
        <v>1842088.0599999998</v>
      </c>
      <c r="S24" s="161">
        <f t="shared" si="4"/>
        <v>4971.4700000002049</v>
      </c>
      <c r="T24" s="165">
        <f t="shared" si="5"/>
        <v>2.6988232039244497E-3</v>
      </c>
      <c r="W24" s="470"/>
      <c r="Y24" s="470"/>
    </row>
    <row r="25" spans="1:25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f>'2025'!S25</f>
        <v>38301746.969999999</v>
      </c>
      <c r="H25" s="160">
        <f>SUM('2025'!G101:M101)</f>
        <v>40306547.566174604</v>
      </c>
      <c r="I25" s="161">
        <f t="shared" si="0"/>
        <v>-2004800.5961746052</v>
      </c>
      <c r="J25" s="163">
        <f t="shared" si="1"/>
        <v>-4.9738831957342855E-2</v>
      </c>
      <c r="K25" s="160">
        <f>SUM('2024'!G25:M25)</f>
        <v>29710067.120000008</v>
      </c>
      <c r="L25" s="161">
        <f t="shared" si="7"/>
        <v>8591679.8499999903</v>
      </c>
      <c r="M25" s="165">
        <f t="shared" si="2"/>
        <v>0.28918412790176107</v>
      </c>
      <c r="N25" s="160">
        <f>'2025'!M25</f>
        <v>6884049.8699999992</v>
      </c>
      <c r="O25" s="160">
        <f>'2025'!M101</f>
        <v>7217262.9527941998</v>
      </c>
      <c r="P25" s="161">
        <f t="shared" si="6"/>
        <v>-333213.08279420063</v>
      </c>
      <c r="Q25" s="163">
        <f t="shared" si="3"/>
        <v>-4.6168898788036428E-2</v>
      </c>
      <c r="R25" s="160">
        <f>'2024'!M25</f>
        <v>6739444.4200000018</v>
      </c>
      <c r="S25" s="161">
        <f t="shared" si="4"/>
        <v>144605.44999999739</v>
      </c>
      <c r="T25" s="165">
        <f t="shared" si="5"/>
        <v>2.1456583211943325E-2</v>
      </c>
      <c r="W25" s="470"/>
      <c r="Y25" s="470"/>
    </row>
    <row r="26" spans="1:25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f>'2025'!S26</f>
        <v>30305675.759999998</v>
      </c>
      <c r="H26" s="160">
        <f>SUM('2025'!G102:M102)</f>
        <v>18021995.205517948</v>
      </c>
      <c r="I26" s="161">
        <f t="shared" si="0"/>
        <v>12283680.55448205</v>
      </c>
      <c r="J26" s="163">
        <f t="shared" si="1"/>
        <v>0.68159381990741252</v>
      </c>
      <c r="K26" s="160">
        <f>SUM('2024'!G26:M26)</f>
        <v>61131454.460000008</v>
      </c>
      <c r="L26" s="161">
        <f t="shared" si="7"/>
        <v>-30825778.70000001</v>
      </c>
      <c r="M26" s="165">
        <f t="shared" si="2"/>
        <v>-0.50425397158135943</v>
      </c>
      <c r="N26" s="160">
        <f>'2025'!M26</f>
        <v>6582939.8899999997</v>
      </c>
      <c r="O26" s="160">
        <f>'2025'!M102</f>
        <v>3425926.7101111747</v>
      </c>
      <c r="P26" s="161">
        <f t="shared" si="6"/>
        <v>3157013.1798888249</v>
      </c>
      <c r="Q26" s="163">
        <f t="shared" si="3"/>
        <v>0.92150633887505928</v>
      </c>
      <c r="R26" s="160">
        <f>'2024'!M26</f>
        <v>20189939.060000002</v>
      </c>
      <c r="S26" s="161">
        <f t="shared" si="4"/>
        <v>-13606999.170000002</v>
      </c>
      <c r="T26" s="165">
        <f t="shared" si="5"/>
        <v>-0.67394949185151232</v>
      </c>
      <c r="W26" s="470"/>
      <c r="Y26" s="470"/>
    </row>
    <row r="27" spans="1:25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f>'2025'!S27</f>
        <v>0</v>
      </c>
      <c r="H27" s="160">
        <f>SUM('2025'!G103:M103)</f>
        <v>0</v>
      </c>
      <c r="I27" s="161">
        <f t="shared" si="0"/>
        <v>0</v>
      </c>
      <c r="J27" s="163" t="str">
        <f t="shared" si="1"/>
        <v>...</v>
      </c>
      <c r="K27" s="160">
        <f>SUM('2024'!G27:M27)</f>
        <v>0</v>
      </c>
      <c r="L27" s="161">
        <f t="shared" si="7"/>
        <v>0</v>
      </c>
      <c r="M27" s="165" t="str">
        <f t="shared" si="2"/>
        <v>...</v>
      </c>
      <c r="N27" s="160">
        <f>'2025'!M27</f>
        <v>0</v>
      </c>
      <c r="O27" s="160">
        <f>'2025'!M103</f>
        <v>0</v>
      </c>
      <c r="P27" s="161">
        <f t="shared" si="6"/>
        <v>0</v>
      </c>
      <c r="Q27" s="163" t="str">
        <f t="shared" si="3"/>
        <v>...</v>
      </c>
      <c r="R27" s="160">
        <f>'2024'!M27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f>'2025'!S28</f>
        <v>8880229.2199999988</v>
      </c>
      <c r="H28" s="160">
        <f>SUM('2025'!G104:M104)</f>
        <v>40664837.591111042</v>
      </c>
      <c r="I28" s="161">
        <f t="shared" si="0"/>
        <v>-31784608.371111043</v>
      </c>
      <c r="J28" s="163">
        <f t="shared" si="1"/>
        <v>-0.78162388574395447</v>
      </c>
      <c r="K28" s="160">
        <f>SUM('2024'!G28:M28)</f>
        <v>16885204.569999997</v>
      </c>
      <c r="L28" s="161">
        <f t="shared" si="7"/>
        <v>-8004975.3499999978</v>
      </c>
      <c r="M28" s="165">
        <f t="shared" si="2"/>
        <v>-0.47408222487410467</v>
      </c>
      <c r="N28" s="160">
        <f>'2025'!M28</f>
        <v>3634260.04</v>
      </c>
      <c r="O28" s="160">
        <f>'2025'!M104</f>
        <v>3703709.39777778</v>
      </c>
      <c r="P28" s="161">
        <f t="shared" si="6"/>
        <v>-69449.357777779922</v>
      </c>
      <c r="Q28" s="163">
        <f t="shared" si="3"/>
        <v>-1.8751297771755326E-2</v>
      </c>
      <c r="R28" s="160">
        <f>'2024'!M28</f>
        <v>3161033.91</v>
      </c>
      <c r="S28" s="161">
        <f t="shared" si="4"/>
        <v>473226.12999999989</v>
      </c>
      <c r="T28" s="165">
        <f t="shared" si="5"/>
        <v>0.14970612257683746</v>
      </c>
      <c r="W28" s="470"/>
      <c r="Y28" s="470"/>
    </row>
    <row r="29" spans="1:25" ht="15.7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'2025'!S29</f>
        <v>1676173092.71</v>
      </c>
      <c r="H29" s="136">
        <f>SUM('2025'!G105:M105)</f>
        <v>1732232888.7599998</v>
      </c>
      <c r="I29" s="137">
        <f t="shared" si="0"/>
        <v>-56059796.049999714</v>
      </c>
      <c r="J29" s="139">
        <f t="shared" si="1"/>
        <v>-3.2362736219683219E-2</v>
      </c>
      <c r="K29" s="136">
        <f>SUM('2024'!G29:M29)</f>
        <v>1529082336.1799998</v>
      </c>
      <c r="L29" s="137">
        <f t="shared" si="7"/>
        <v>147090756.53000021</v>
      </c>
      <c r="M29" s="141">
        <f t="shared" si="2"/>
        <v>9.6195445496719767E-2</v>
      </c>
      <c r="N29" s="136">
        <f>'2025'!M29</f>
        <v>242652626.09999996</v>
      </c>
      <c r="O29" s="136">
        <f>'2025'!M105</f>
        <v>256378355.32999995</v>
      </c>
      <c r="P29" s="137">
        <f t="shared" si="6"/>
        <v>-13725729.229999989</v>
      </c>
      <c r="Q29" s="139">
        <f t="shared" si="3"/>
        <v>-5.3537004761313733E-2</v>
      </c>
      <c r="R29" s="136">
        <f>'2024'!M29</f>
        <v>248827815.75000003</v>
      </c>
      <c r="S29" s="137">
        <f t="shared" si="4"/>
        <v>-6175189.6500000656</v>
      </c>
      <c r="T29" s="141">
        <f t="shared" si="5"/>
        <v>-2.4817119546652111E-2</v>
      </c>
      <c r="W29" s="470"/>
      <c r="Y29" s="470"/>
    </row>
    <row r="30" spans="1:25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294">
        <f>'2025'!S30</f>
        <v>650146304.43000007</v>
      </c>
      <c r="H30" s="294">
        <f>SUM('2025'!G106:M106)</f>
        <v>684421446.03999996</v>
      </c>
      <c r="I30" s="173">
        <f t="shared" si="0"/>
        <v>-34275141.609999895</v>
      </c>
      <c r="J30" s="556">
        <f t="shared" si="1"/>
        <v>-5.0079000020108566E-2</v>
      </c>
      <c r="K30" s="294">
        <f>SUM('2024'!G30:M30)</f>
        <v>601862457.47000003</v>
      </c>
      <c r="L30" s="173">
        <f t="shared" si="7"/>
        <v>48283846.960000038</v>
      </c>
      <c r="M30" s="177">
        <f t="shared" si="2"/>
        <v>8.0224055115460935E-2</v>
      </c>
      <c r="N30" s="294">
        <f>'2025'!M30</f>
        <v>91817462.11999999</v>
      </c>
      <c r="O30" s="294">
        <f>'2025'!M106</f>
        <v>95032056.649999976</v>
      </c>
      <c r="P30" s="173">
        <f t="shared" si="6"/>
        <v>-3214594.5299999863</v>
      </c>
      <c r="Q30" s="175">
        <f t="shared" si="3"/>
        <v>-3.3826422823187263E-2</v>
      </c>
      <c r="R30" s="294">
        <f>'2024'!M30</f>
        <v>88262304.430000037</v>
      </c>
      <c r="S30" s="173">
        <f t="shared" si="4"/>
        <v>3555157.6899999529</v>
      </c>
      <c r="T30" s="177">
        <f t="shared" si="5"/>
        <v>4.0279456931917146E-2</v>
      </c>
      <c r="W30" s="470"/>
      <c r="Y30" s="470"/>
    </row>
    <row r="31" spans="1:25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f>'2025'!S31</f>
        <v>399440423.54000008</v>
      </c>
      <c r="H31" s="148">
        <f>SUM('2025'!G107:M107)</f>
        <v>415733858.96999991</v>
      </c>
      <c r="I31" s="149">
        <f t="shared" si="0"/>
        <v>-16293435.429999828</v>
      </c>
      <c r="J31" s="557">
        <f t="shared" si="1"/>
        <v>-3.9191985638041604E-2</v>
      </c>
      <c r="K31" s="148">
        <f>SUM('2024'!G31:M31)</f>
        <v>391304138.89000005</v>
      </c>
      <c r="L31" s="149">
        <f t="shared" si="7"/>
        <v>8136284.6500000358</v>
      </c>
      <c r="M31" s="153">
        <f t="shared" si="2"/>
        <v>2.0792738541125511E-2</v>
      </c>
      <c r="N31" s="148">
        <f>'2025'!M31</f>
        <v>56105463.139999986</v>
      </c>
      <c r="O31" s="148">
        <f>'2025'!M107</f>
        <v>60506341.469999984</v>
      </c>
      <c r="P31" s="149">
        <f>+N31-O31</f>
        <v>-4400878.3299999982</v>
      </c>
      <c r="Q31" s="151">
        <f>IF(+IF(ISERROR(N31/O31),"…",N31/O31-1)&gt;200%,"...",IF(ISERROR(N31/O31),"…",N31/O31-1))</f>
        <v>-7.2734166751463936E-2</v>
      </c>
      <c r="R31" s="148">
        <f>'2024'!M31</f>
        <v>56265870.18000003</v>
      </c>
      <c r="S31" s="149">
        <f t="shared" si="4"/>
        <v>-160407.04000004381</v>
      </c>
      <c r="T31" s="153">
        <f t="shared" si="5"/>
        <v>-2.8508763747345789E-3</v>
      </c>
      <c r="W31" s="470"/>
      <c r="Y31" s="470"/>
    </row>
    <row r="32" spans="1:25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f>'2025'!S32</f>
        <v>12132974.250000002</v>
      </c>
      <c r="H32" s="148">
        <f>SUM('2025'!G108:M108)</f>
        <v>14234898.489999998</v>
      </c>
      <c r="I32" s="149">
        <f t="shared" si="0"/>
        <v>-2101924.2399999965</v>
      </c>
      <c r="J32" s="557">
        <f t="shared" si="1"/>
        <v>-0.1476599388100025</v>
      </c>
      <c r="K32" s="148">
        <f>SUM('2024'!G32:M32)</f>
        <v>10740767.189999999</v>
      </c>
      <c r="L32" s="149">
        <f t="shared" si="7"/>
        <v>1392207.0600000024</v>
      </c>
      <c r="M32" s="153">
        <f t="shared" si="2"/>
        <v>0.12961895881107943</v>
      </c>
      <c r="N32" s="148">
        <f>'2025'!M32</f>
        <v>1633324.49</v>
      </c>
      <c r="O32" s="148">
        <f>'2025'!M108</f>
        <v>2030489.8499999996</v>
      </c>
      <c r="P32" s="149">
        <f t="shared" si="6"/>
        <v>-397165.35999999964</v>
      </c>
      <c r="Q32" s="151">
        <f t="shared" si="3"/>
        <v>-0.19560076106758162</v>
      </c>
      <c r="R32" s="148">
        <f>'2024'!M32</f>
        <v>1737204.9199999995</v>
      </c>
      <c r="S32" s="149">
        <f t="shared" si="4"/>
        <v>-103880.42999999947</v>
      </c>
      <c r="T32" s="153">
        <f t="shared" si="5"/>
        <v>-5.9797453256118738E-2</v>
      </c>
      <c r="W32" s="470"/>
      <c r="Y32" s="470"/>
    </row>
    <row r="33" spans="1:25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f>'2025'!S33</f>
        <v>18587849.370000001</v>
      </c>
      <c r="H33" s="148">
        <f>SUM('2025'!G109:M109)</f>
        <v>24336060.720000006</v>
      </c>
      <c r="I33" s="149">
        <f t="shared" si="0"/>
        <v>-5748211.3500000052</v>
      </c>
      <c r="J33" s="557">
        <f t="shared" si="1"/>
        <v>-0.23620138921152412</v>
      </c>
      <c r="K33" s="148">
        <f>SUM('2024'!G33:M33)</f>
        <v>18113206.510000002</v>
      </c>
      <c r="L33" s="149">
        <f t="shared" si="7"/>
        <v>474642.8599999994</v>
      </c>
      <c r="M33" s="153">
        <f t="shared" si="2"/>
        <v>2.620424272963251E-2</v>
      </c>
      <c r="N33" s="148">
        <f>'2025'!M33</f>
        <v>3117960.62</v>
      </c>
      <c r="O33" s="148">
        <f>'2025'!M109</f>
        <v>4195178.4600000009</v>
      </c>
      <c r="P33" s="149">
        <f t="shared" si="6"/>
        <v>-1077217.8400000008</v>
      </c>
      <c r="Q33" s="151">
        <f t="shared" si="3"/>
        <v>-0.25677521237082257</v>
      </c>
      <c r="R33" s="148">
        <f>'2024'!M33</f>
        <v>3340983.5300000003</v>
      </c>
      <c r="S33" s="149">
        <f t="shared" si="4"/>
        <v>-223022.91000000015</v>
      </c>
      <c r="T33" s="153">
        <f t="shared" si="5"/>
        <v>-6.6753669390282822E-2</v>
      </c>
      <c r="W33" s="470"/>
      <c r="Y33" s="470"/>
    </row>
    <row r="34" spans="1:25">
      <c r="A34" s="135">
        <v>414</v>
      </c>
      <c r="B34" s="565" t="str">
        <f>+VLOOKUP($A34,Master!$D$30:$G$226,4,FALSE)</f>
        <v>Rashodi za usluge</v>
      </c>
      <c r="C34" s="566"/>
      <c r="D34" s="566"/>
      <c r="E34" s="566"/>
      <c r="F34" s="566"/>
      <c r="G34" s="148">
        <f>'2025'!S34</f>
        <v>40083603.810000002</v>
      </c>
      <c r="H34" s="148">
        <f>SUM('2025'!G110:M110)</f>
        <v>47594477.88000001</v>
      </c>
      <c r="I34" s="149">
        <f t="shared" si="0"/>
        <v>-7510874.0700000077</v>
      </c>
      <c r="J34" s="557">
        <f t="shared" si="1"/>
        <v>-0.15780977971724319</v>
      </c>
      <c r="K34" s="148">
        <f>SUM('2024'!G34:M34)</f>
        <v>33573642.119999997</v>
      </c>
      <c r="L34" s="149">
        <f t="shared" si="7"/>
        <v>6509961.6900000051</v>
      </c>
      <c r="M34" s="153">
        <f t="shared" si="2"/>
        <v>0.19390096751290464</v>
      </c>
      <c r="N34" s="148">
        <f>'2025'!M34</f>
        <v>7220462.919999999</v>
      </c>
      <c r="O34" s="148">
        <f>'2025'!M110</f>
        <v>8272378.2699999996</v>
      </c>
      <c r="P34" s="149">
        <f t="shared" si="6"/>
        <v>-1051915.3500000006</v>
      </c>
      <c r="Q34" s="151">
        <f t="shared" si="3"/>
        <v>-0.12715996726295742</v>
      </c>
      <c r="R34" s="148">
        <f>'2024'!M34</f>
        <v>6877088.6399999997</v>
      </c>
      <c r="S34" s="149">
        <f t="shared" si="4"/>
        <v>343374.27999999933</v>
      </c>
      <c r="T34" s="153">
        <f t="shared" si="5"/>
        <v>4.9930180920279676E-2</v>
      </c>
      <c r="W34" s="470"/>
      <c r="Y34" s="470"/>
    </row>
    <row r="35" spans="1:25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f>'2025'!S35</f>
        <v>14897768.830000002</v>
      </c>
      <c r="H35" s="148">
        <f>SUM('2025'!G111:M111)</f>
        <v>20549057.309999999</v>
      </c>
      <c r="I35" s="149">
        <f t="shared" si="0"/>
        <v>-5651288.4799999967</v>
      </c>
      <c r="J35" s="557">
        <f t="shared" si="1"/>
        <v>-0.27501448824369434</v>
      </c>
      <c r="K35" s="148">
        <f>SUM('2024'!G35:M35)</f>
        <v>13922279.560000001</v>
      </c>
      <c r="L35" s="149">
        <f t="shared" si="7"/>
        <v>975489.27000000142</v>
      </c>
      <c r="M35" s="153">
        <f t="shared" si="2"/>
        <v>7.0066777914923772E-2</v>
      </c>
      <c r="N35" s="148">
        <f>'2025'!M35</f>
        <v>2619371.9699999997</v>
      </c>
      <c r="O35" s="148">
        <f>'2025'!M111</f>
        <v>3150952.77</v>
      </c>
      <c r="P35" s="149">
        <f t="shared" si="6"/>
        <v>-531580.80000000028</v>
      </c>
      <c r="Q35" s="151">
        <f t="shared" si="3"/>
        <v>-0.16870478195076222</v>
      </c>
      <c r="R35" s="148">
        <f>'2024'!M35</f>
        <v>3729643.08</v>
      </c>
      <c r="S35" s="149">
        <f t="shared" si="4"/>
        <v>-1110271.1100000003</v>
      </c>
      <c r="T35" s="153">
        <f t="shared" si="5"/>
        <v>-0.29768830051158679</v>
      </c>
      <c r="W35" s="470"/>
      <c r="Y35" s="470"/>
    </row>
    <row r="36" spans="1:25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f>'2025'!S36</f>
        <v>85546888.620000005</v>
      </c>
      <c r="H36" s="148">
        <f>SUM('2025'!G112:M112)</f>
        <v>79460658.090000004</v>
      </c>
      <c r="I36" s="149">
        <f t="shared" si="0"/>
        <v>6086230.5300000012</v>
      </c>
      <c r="J36" s="557">
        <f t="shared" si="1"/>
        <v>7.6594262825089077E-2</v>
      </c>
      <c r="K36" s="148">
        <f>SUM('2024'!G36:M36)</f>
        <v>64169845.419999994</v>
      </c>
      <c r="L36" s="149">
        <f t="shared" si="7"/>
        <v>21377043.20000001</v>
      </c>
      <c r="M36" s="153">
        <f t="shared" si="2"/>
        <v>0.33313222215332572</v>
      </c>
      <c r="N36" s="148">
        <f>'2025'!M36</f>
        <v>4924646.78</v>
      </c>
      <c r="O36" s="148">
        <f>'2025'!M112</f>
        <v>4625091.8600000013</v>
      </c>
      <c r="P36" s="149">
        <f t="shared" si="6"/>
        <v>299554.91999999899</v>
      </c>
      <c r="Q36" s="151">
        <f t="shared" si="3"/>
        <v>6.4767344966851992E-2</v>
      </c>
      <c r="R36" s="148">
        <f>'2024'!M36</f>
        <v>3738849.7</v>
      </c>
      <c r="S36" s="149">
        <f t="shared" si="4"/>
        <v>1185797.08</v>
      </c>
      <c r="T36" s="153">
        <f t="shared" si="5"/>
        <v>0.317155589324706</v>
      </c>
      <c r="W36" s="470"/>
      <c r="Y36" s="470"/>
    </row>
    <row r="37" spans="1:25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f>'2025'!S37</f>
        <v>6496211.1899999995</v>
      </c>
      <c r="H37" s="148">
        <f>SUM('2025'!G113:M113)</f>
        <v>7789452.4200000018</v>
      </c>
      <c r="I37" s="149">
        <f t="shared" si="0"/>
        <v>-1293241.2300000023</v>
      </c>
      <c r="J37" s="557">
        <f t="shared" si="1"/>
        <v>-0.16602466518435988</v>
      </c>
      <c r="K37" s="148">
        <f>SUM('2024'!G37:M37)</f>
        <v>6383040.4400000013</v>
      </c>
      <c r="L37" s="149">
        <f t="shared" si="7"/>
        <v>113170.74999999814</v>
      </c>
      <c r="M37" s="153">
        <f t="shared" si="2"/>
        <v>1.7729912737322051E-2</v>
      </c>
      <c r="N37" s="148">
        <f>'2025'!M37</f>
        <v>1142860.7000000002</v>
      </c>
      <c r="O37" s="148">
        <f>'2025'!M113</f>
        <v>1104014.9300000002</v>
      </c>
      <c r="P37" s="149">
        <f t="shared" si="6"/>
        <v>38845.770000000019</v>
      </c>
      <c r="Q37" s="151">
        <f t="shared" si="3"/>
        <v>3.5185910031126033E-2</v>
      </c>
      <c r="R37" s="148">
        <f>'2024'!M37</f>
        <v>1022257.5800000002</v>
      </c>
      <c r="S37" s="149">
        <f t="shared" si="4"/>
        <v>120603.12</v>
      </c>
      <c r="T37" s="153">
        <f t="shared" si="5"/>
        <v>0.11797723231360147</v>
      </c>
      <c r="W37" s="470"/>
      <c r="Y37" s="470"/>
    </row>
    <row r="38" spans="1:25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f>'2025'!S38</f>
        <v>33876092.529999986</v>
      </c>
      <c r="H38" s="148">
        <f>SUM('2025'!G114:M114)</f>
        <v>32075544.149999999</v>
      </c>
      <c r="I38" s="149">
        <f t="shared" si="0"/>
        <v>1800548.3799999878</v>
      </c>
      <c r="J38" s="557">
        <f t="shared" si="1"/>
        <v>5.6134616815222138E-2</v>
      </c>
      <c r="K38" s="148">
        <f>SUM('2024'!G38:M38)</f>
        <v>31090798.269999981</v>
      </c>
      <c r="L38" s="149">
        <f t="shared" si="7"/>
        <v>2785294.2600000054</v>
      </c>
      <c r="M38" s="153">
        <f t="shared" si="2"/>
        <v>8.958580721575049E-2</v>
      </c>
      <c r="N38" s="148">
        <f>'2025'!M38</f>
        <v>6248831.4699999951</v>
      </c>
      <c r="O38" s="148">
        <f>'2025'!M114</f>
        <v>4322479.209999999</v>
      </c>
      <c r="P38" s="149">
        <f t="shared" si="6"/>
        <v>1926352.2599999961</v>
      </c>
      <c r="Q38" s="151">
        <f t="shared" si="3"/>
        <v>0.44565911515396195</v>
      </c>
      <c r="R38" s="148">
        <f>'2024'!M38</f>
        <v>6020163.6199999992</v>
      </c>
      <c r="S38" s="149">
        <f t="shared" si="4"/>
        <v>228667.8499999959</v>
      </c>
      <c r="T38" s="153">
        <f t="shared" si="5"/>
        <v>3.7983660317856272E-2</v>
      </c>
      <c r="W38" s="470"/>
      <c r="Y38" s="470"/>
    </row>
    <row r="39" spans="1:25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f>'2025'!S39</f>
        <v>39084492.289999992</v>
      </c>
      <c r="H39" s="148">
        <f>SUM('2025'!G115:M115)</f>
        <v>42647438.010000005</v>
      </c>
      <c r="I39" s="149">
        <f t="shared" si="0"/>
        <v>-3562945.7200000137</v>
      </c>
      <c r="J39" s="557">
        <f t="shared" si="1"/>
        <v>-8.3544191310262805E-2</v>
      </c>
      <c r="K39" s="148">
        <f>SUM('2024'!G39:M39)</f>
        <v>32564739.07</v>
      </c>
      <c r="L39" s="149">
        <f t="shared" si="7"/>
        <v>6519753.2199999914</v>
      </c>
      <c r="M39" s="153">
        <f t="shared" si="2"/>
        <v>0.20020898082387095</v>
      </c>
      <c r="N39" s="148">
        <f>'2025'!M39</f>
        <v>8804540.0299999975</v>
      </c>
      <c r="O39" s="148">
        <f>'2025'!M115</f>
        <v>6825129.8300000019</v>
      </c>
      <c r="P39" s="149">
        <f t="shared" si="6"/>
        <v>1979410.1999999955</v>
      </c>
      <c r="Q39" s="151">
        <f t="shared" si="3"/>
        <v>0.29001795559982702</v>
      </c>
      <c r="R39" s="148">
        <f>'2024'!M39</f>
        <v>5530243.1799999997</v>
      </c>
      <c r="S39" s="149">
        <f t="shared" si="4"/>
        <v>3274296.8499999978</v>
      </c>
      <c r="T39" s="153">
        <f t="shared" si="5"/>
        <v>0.59207104342923267</v>
      </c>
      <c r="W39" s="470"/>
      <c r="Y39" s="470"/>
    </row>
    <row r="40" spans="1:25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'2025'!S40</f>
        <v>636295144.16999996</v>
      </c>
      <c r="H40" s="178">
        <f>SUM('2025'!G116:M116)</f>
        <v>620682489.00000012</v>
      </c>
      <c r="I40" s="179">
        <f t="shared" si="0"/>
        <v>15612655.169999838</v>
      </c>
      <c r="J40" s="181">
        <f t="shared" si="1"/>
        <v>2.5154012633985978E-2</v>
      </c>
      <c r="K40" s="178">
        <f>SUM('2024'!G40:M40)</f>
        <v>571698297.12999988</v>
      </c>
      <c r="L40" s="179">
        <f t="shared" si="7"/>
        <v>64596847.040000081</v>
      </c>
      <c r="M40" s="183">
        <f t="shared" si="2"/>
        <v>0.11299114824074996</v>
      </c>
      <c r="N40" s="178">
        <f>'2025'!M40</f>
        <v>92684341.479999989</v>
      </c>
      <c r="O40" s="178">
        <f>'2025'!M116</f>
        <v>89278533.219999984</v>
      </c>
      <c r="P40" s="179">
        <f t="shared" si="6"/>
        <v>3405808.2600000054</v>
      </c>
      <c r="Q40" s="181">
        <f t="shared" si="3"/>
        <v>3.8148120686609222E-2</v>
      </c>
      <c r="R40" s="178">
        <f>'2024'!M40</f>
        <v>88657241.409999982</v>
      </c>
      <c r="S40" s="179">
        <f t="shared" si="4"/>
        <v>4027100.0700000077</v>
      </c>
      <c r="T40" s="183">
        <f t="shared" si="5"/>
        <v>4.5423250328492371E-2</v>
      </c>
      <c r="W40" s="470"/>
      <c r="Y40" s="470"/>
    </row>
    <row r="41" spans="1:25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f>'2025'!S41</f>
        <v>142897657.39000005</v>
      </c>
      <c r="H41" s="148">
        <f>SUM('2025'!G117:M117)</f>
        <v>129784788.02000001</v>
      </c>
      <c r="I41" s="149">
        <f t="shared" si="0"/>
        <v>13112869.370000035</v>
      </c>
      <c r="J41" s="151">
        <f t="shared" si="1"/>
        <v>0.1010354878260411</v>
      </c>
      <c r="K41" s="148">
        <f>SUM('2024'!G41:M41)</f>
        <v>121145113.60999998</v>
      </c>
      <c r="L41" s="149">
        <f t="shared" si="7"/>
        <v>21752543.780000061</v>
      </c>
      <c r="M41" s="153">
        <f t="shared" si="2"/>
        <v>0.17955774799161595</v>
      </c>
      <c r="N41" s="148">
        <f>'2025'!M41</f>
        <v>20317695.200000003</v>
      </c>
      <c r="O41" s="148">
        <f>'2025'!M117</f>
        <v>18346642.420000002</v>
      </c>
      <c r="P41" s="149">
        <f t="shared" si="6"/>
        <v>1971052.7800000012</v>
      </c>
      <c r="Q41" s="151">
        <f t="shared" si="3"/>
        <v>0.10743397810224509</v>
      </c>
      <c r="R41" s="148">
        <f>'2024'!M41</f>
        <v>16917527.130000003</v>
      </c>
      <c r="S41" s="149">
        <f t="shared" si="4"/>
        <v>3400168.0700000003</v>
      </c>
      <c r="T41" s="153">
        <f t="shared" si="5"/>
        <v>0.2009849337832863</v>
      </c>
      <c r="W41" s="470"/>
      <c r="Y41" s="470"/>
    </row>
    <row r="42" spans="1:25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f>'2025'!S42</f>
        <v>12755105.01</v>
      </c>
      <c r="H42" s="148">
        <f>SUM('2025'!G118:M118)</f>
        <v>15732468.540000003</v>
      </c>
      <c r="I42" s="149">
        <f t="shared" si="0"/>
        <v>-2977363.5300000031</v>
      </c>
      <c r="J42" s="151">
        <f t="shared" si="1"/>
        <v>-0.18924960964835358</v>
      </c>
      <c r="K42" s="148">
        <f>SUM('2024'!G42:M42)</f>
        <v>11484233.49</v>
      </c>
      <c r="L42" s="149">
        <f t="shared" si="7"/>
        <v>1270871.5199999996</v>
      </c>
      <c r="M42" s="153">
        <f t="shared" si="2"/>
        <v>0.1106622850455472</v>
      </c>
      <c r="N42" s="148">
        <f>'2025'!M42</f>
        <v>2074198.53</v>
      </c>
      <c r="O42" s="148">
        <f>'2025'!M118</f>
        <v>2274717.66</v>
      </c>
      <c r="P42" s="149">
        <f t="shared" si="6"/>
        <v>-200519.13000000012</v>
      </c>
      <c r="Q42" s="151">
        <f t="shared" si="3"/>
        <v>-8.8151216973450741E-2</v>
      </c>
      <c r="R42" s="148">
        <f>'2024'!M42</f>
        <v>1906089.0599999998</v>
      </c>
      <c r="S42" s="149">
        <f t="shared" si="4"/>
        <v>168109.4700000002</v>
      </c>
      <c r="T42" s="153">
        <f t="shared" si="5"/>
        <v>8.8196020599373259E-2</v>
      </c>
      <c r="W42" s="470"/>
      <c r="Y42" s="470"/>
    </row>
    <row r="43" spans="1:25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f>'2025'!S43</f>
        <v>458932943.55999988</v>
      </c>
      <c r="H43" s="148">
        <f>SUM('2025'!G119:M119)</f>
        <v>452487510.52999997</v>
      </c>
      <c r="I43" s="149">
        <f t="shared" si="0"/>
        <v>6445433.0299999118</v>
      </c>
      <c r="J43" s="151">
        <f t="shared" si="1"/>
        <v>1.4244444056478622E-2</v>
      </c>
      <c r="K43" s="148">
        <f>SUM('2024'!G43:M43)</f>
        <v>417055101.21999991</v>
      </c>
      <c r="L43" s="149">
        <f t="shared" si="7"/>
        <v>41877842.339999974</v>
      </c>
      <c r="M43" s="153">
        <f t="shared" si="2"/>
        <v>0.10041321210913345</v>
      </c>
      <c r="N43" s="148">
        <f>'2025'!M43</f>
        <v>66789126.959999993</v>
      </c>
      <c r="O43" s="148">
        <f>'2025'!M119</f>
        <v>64943554.629999995</v>
      </c>
      <c r="P43" s="149">
        <f t="shared" si="6"/>
        <v>1845572.3299999982</v>
      </c>
      <c r="Q43" s="151">
        <f t="shared" si="3"/>
        <v>2.8418098462806629E-2</v>
      </c>
      <c r="R43" s="148">
        <f>'2024'!M43</f>
        <v>61550827.919999987</v>
      </c>
      <c r="S43" s="149">
        <f t="shared" si="4"/>
        <v>5238299.0400000066</v>
      </c>
      <c r="T43" s="153">
        <f t="shared" si="5"/>
        <v>8.5105257183679672E-2</v>
      </c>
      <c r="W43" s="470"/>
      <c r="Y43" s="470"/>
    </row>
    <row r="44" spans="1:25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f>'2025'!S44</f>
        <v>12998200.970000001</v>
      </c>
      <c r="H44" s="148">
        <f>SUM('2025'!G120:M120)</f>
        <v>13526490.290000001</v>
      </c>
      <c r="I44" s="149">
        <f t="shared" si="0"/>
        <v>-528289.3200000003</v>
      </c>
      <c r="J44" s="151">
        <f t="shared" si="1"/>
        <v>-3.9055905018507198E-2</v>
      </c>
      <c r="K44" s="148">
        <f>SUM('2024'!G44:M44)</f>
        <v>12895111.269999998</v>
      </c>
      <c r="L44" s="149">
        <f t="shared" si="7"/>
        <v>103089.70000000298</v>
      </c>
      <c r="M44" s="153">
        <f t="shared" si="2"/>
        <v>7.9944792907555851E-3</v>
      </c>
      <c r="N44" s="148">
        <f>'2025'!M44</f>
        <v>2207282.3800000004</v>
      </c>
      <c r="O44" s="148">
        <f>'2025'!M120</f>
        <v>2255237.94</v>
      </c>
      <c r="P44" s="149">
        <f t="shared" si="6"/>
        <v>-47955.55999999959</v>
      </c>
      <c r="Q44" s="151">
        <f t="shared" si="3"/>
        <v>-2.1264080010998554E-2</v>
      </c>
      <c r="R44" s="148">
        <f>'2024'!M44</f>
        <v>6613796.0999999978</v>
      </c>
      <c r="S44" s="149">
        <f t="shared" si="4"/>
        <v>-4406513.7199999969</v>
      </c>
      <c r="T44" s="153">
        <f t="shared" si="5"/>
        <v>-0.66626089667324329</v>
      </c>
      <c r="W44" s="470"/>
      <c r="Y44" s="470"/>
    </row>
    <row r="45" spans="1:25">
      <c r="A45" s="135">
        <v>425</v>
      </c>
      <c r="B45" s="565" t="str">
        <f>+VLOOKUP($A45,Master!$D$30:$G$226,4,FALSE)</f>
        <v>Ostala prava iz zdravstvenog osiguranja</v>
      </c>
      <c r="C45" s="566"/>
      <c r="D45" s="566"/>
      <c r="E45" s="566"/>
      <c r="F45" s="566"/>
      <c r="G45" s="148">
        <f>'2025'!S45</f>
        <v>8711237.2399999984</v>
      </c>
      <c r="H45" s="148">
        <f>SUM('2025'!G121:M121)</f>
        <v>9151231.620000001</v>
      </c>
      <c r="I45" s="149">
        <f t="shared" si="0"/>
        <v>-439994.38000000268</v>
      </c>
      <c r="J45" s="151">
        <f t="shared" si="1"/>
        <v>-4.8080345714165529E-2</v>
      </c>
      <c r="K45" s="148">
        <f>SUM('2024'!G45:M45)</f>
        <v>9118737.5399999991</v>
      </c>
      <c r="L45" s="149">
        <f t="shared" si="7"/>
        <v>-407500.30000000075</v>
      </c>
      <c r="M45" s="153">
        <f t="shared" si="2"/>
        <v>-4.4688236525338265E-2</v>
      </c>
      <c r="N45" s="148">
        <f>'2025'!M45</f>
        <v>1296038.4099999999</v>
      </c>
      <c r="O45" s="148">
        <f>'2025'!M121</f>
        <v>1458380.57</v>
      </c>
      <c r="P45" s="149">
        <f t="shared" si="6"/>
        <v>-162342.16000000015</v>
      </c>
      <c r="Q45" s="151">
        <f t="shared" si="3"/>
        <v>-0.1113167326413298</v>
      </c>
      <c r="R45" s="148">
        <f>'2024'!M45</f>
        <v>1669001.1999999997</v>
      </c>
      <c r="S45" s="149">
        <f t="shared" si="4"/>
        <v>-372962.7899999998</v>
      </c>
      <c r="T45" s="153">
        <f t="shared" si="5"/>
        <v>-0.22346466257783393</v>
      </c>
      <c r="W45" s="470"/>
      <c r="Y45" s="470"/>
    </row>
    <row r="46" spans="1:25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f>'2025'!S46</f>
        <v>236556232.16000003</v>
      </c>
      <c r="H46" s="160">
        <f>SUM('2025'!G122:M122)</f>
        <v>251422385.29000002</v>
      </c>
      <c r="I46" s="161">
        <f t="shared" si="0"/>
        <v>-14866153.129999995</v>
      </c>
      <c r="J46" s="163">
        <f t="shared" si="1"/>
        <v>-5.9128200191294833E-2</v>
      </c>
      <c r="K46" s="160">
        <f>SUM('2024'!G46:M46)</f>
        <v>218436292.71000001</v>
      </c>
      <c r="L46" s="161">
        <f t="shared" si="7"/>
        <v>18119939.450000018</v>
      </c>
      <c r="M46" s="165">
        <f t="shared" si="2"/>
        <v>8.2952970979306873E-2</v>
      </c>
      <c r="N46" s="160">
        <f>'2025'!M46</f>
        <v>33408551.100000001</v>
      </c>
      <c r="O46" s="160">
        <f>'2025'!M122</f>
        <v>39798592.359999999</v>
      </c>
      <c r="P46" s="161">
        <f t="shared" si="6"/>
        <v>-6390041.2599999979</v>
      </c>
      <c r="Q46" s="163">
        <f t="shared" si="3"/>
        <v>-0.16055947914435231</v>
      </c>
      <c r="R46" s="160">
        <f>'2024'!M46</f>
        <v>42177725.590000004</v>
      </c>
      <c r="S46" s="161">
        <f t="shared" si="4"/>
        <v>-8769174.4900000021</v>
      </c>
      <c r="T46" s="165">
        <f t="shared" si="5"/>
        <v>-0.20791008446598414</v>
      </c>
      <c r="W46" s="470"/>
      <c r="Y46" s="470"/>
    </row>
    <row r="47" spans="1:25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f>'2025'!S47</f>
        <v>130692242.68000001</v>
      </c>
      <c r="H47" s="160">
        <f>SUM('2025'!G123:M123)</f>
        <v>124788829.67000002</v>
      </c>
      <c r="I47" s="161">
        <f t="shared" si="0"/>
        <v>5903413.0099999905</v>
      </c>
      <c r="J47" s="163">
        <f t="shared" si="1"/>
        <v>4.730722313536706E-2</v>
      </c>
      <c r="K47" s="160">
        <f>SUM('2024'!G47:M47)</f>
        <v>99725775.129999995</v>
      </c>
      <c r="L47" s="161">
        <f t="shared" si="7"/>
        <v>30966467.550000012</v>
      </c>
      <c r="M47" s="165">
        <f t="shared" si="2"/>
        <v>0.31051618811318238</v>
      </c>
      <c r="N47" s="160">
        <f>'2025'!M47</f>
        <v>21211124.43</v>
      </c>
      <c r="O47" s="160">
        <f>'2025'!M123</f>
        <v>26831930.680000003</v>
      </c>
      <c r="P47" s="161">
        <f t="shared" si="6"/>
        <v>-5620806.2500000037</v>
      </c>
      <c r="Q47" s="163">
        <f t="shared" si="3"/>
        <v>-0.20948199058182726</v>
      </c>
      <c r="R47" s="160">
        <f>'2024'!M47</f>
        <v>21925196.23</v>
      </c>
      <c r="S47" s="161">
        <f t="shared" si="4"/>
        <v>-714071.80000000075</v>
      </c>
      <c r="T47" s="165">
        <f t="shared" si="5"/>
        <v>-3.2568547734270425E-2</v>
      </c>
      <c r="W47" s="470"/>
      <c r="Y47" s="470"/>
    </row>
    <row r="48" spans="1:25">
      <c r="A48" s="135">
        <v>451</v>
      </c>
      <c r="B48" s="583" t="str">
        <f>+VLOOKUP($A48,Master!$D$30:$G$226,4,FALSE)</f>
        <v>Pozajmice i krediti</v>
      </c>
      <c r="C48" s="584"/>
      <c r="D48" s="584"/>
      <c r="E48" s="584"/>
      <c r="F48" s="584"/>
      <c r="G48" s="148">
        <f>'2025'!S48</f>
        <v>0</v>
      </c>
      <c r="H48" s="148">
        <f>SUM('2025'!G124:M124)</f>
        <v>0</v>
      </c>
      <c r="I48" s="149">
        <f>G48-H48</f>
        <v>0</v>
      </c>
      <c r="J48" s="266" t="str">
        <f t="shared" si="1"/>
        <v>...</v>
      </c>
      <c r="K48" s="148">
        <f>SUM('2024'!G48:M48)</f>
        <v>0</v>
      </c>
      <c r="L48" s="263">
        <f t="shared" si="7"/>
        <v>0</v>
      </c>
      <c r="M48" s="475" t="str">
        <f t="shared" si="2"/>
        <v>...</v>
      </c>
      <c r="N48" s="148">
        <f>'2025'!M48</f>
        <v>0</v>
      </c>
      <c r="O48" s="148">
        <f>'2025'!M124</f>
        <v>0</v>
      </c>
      <c r="P48" s="149">
        <f t="shared" si="6"/>
        <v>0</v>
      </c>
      <c r="Q48" s="266" t="str">
        <f t="shared" si="3"/>
        <v>...</v>
      </c>
      <c r="R48" s="148">
        <f>'2024'!M48</f>
        <v>0</v>
      </c>
      <c r="S48" s="263">
        <f>+N48-R48-S58</f>
        <v>-1266816.8499999999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48">
        <f>'2025'!S49</f>
        <v>4616468.26</v>
      </c>
      <c r="H49" s="148">
        <f>SUM('2025'!G125:M125)</f>
        <v>29821000</v>
      </c>
      <c r="I49" s="149">
        <f t="shared" ref="I49:I50" si="8">G49-H49</f>
        <v>-25204531.740000002</v>
      </c>
      <c r="J49" s="267">
        <f t="shared" si="1"/>
        <v>-0.84519404915998797</v>
      </c>
      <c r="K49" s="148">
        <f>SUM('2024'!G49:M49)</f>
        <v>20448605.789999999</v>
      </c>
      <c r="L49" s="264">
        <f t="shared" si="7"/>
        <v>-15832137.529999999</v>
      </c>
      <c r="M49" s="476">
        <f t="shared" si="2"/>
        <v>-0.77424043930380837</v>
      </c>
      <c r="N49" s="148">
        <f>'2025'!M49</f>
        <v>28857.670000000002</v>
      </c>
      <c r="O49" s="148">
        <f>'2025'!M125</f>
        <v>2744200</v>
      </c>
      <c r="P49" s="149">
        <f t="shared" si="6"/>
        <v>-2715342.33</v>
      </c>
      <c r="Q49" s="267">
        <f t="shared" si="3"/>
        <v>-0.98948412287734133</v>
      </c>
      <c r="R49" s="148">
        <f>'2024'!M49</f>
        <v>5528221.54</v>
      </c>
      <c r="S49" s="264">
        <f t="shared" si="4"/>
        <v>-5499363.8700000001</v>
      </c>
      <c r="T49" s="476">
        <f t="shared" si="5"/>
        <v>-0.99477993604431414</v>
      </c>
      <c r="W49" s="470"/>
      <c r="Y49" s="470"/>
    </row>
    <row r="50" spans="1:25" ht="15.7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f>'2025'!S50</f>
        <v>4062322.96</v>
      </c>
      <c r="H50" s="148">
        <f>SUM('2025'!G126:M126)</f>
        <v>4100001.9999999995</v>
      </c>
      <c r="I50" s="149">
        <f t="shared" si="8"/>
        <v>-37679.039999999572</v>
      </c>
      <c r="J50" s="268">
        <f t="shared" si="1"/>
        <v>-9.1900052731680448E-3</v>
      </c>
      <c r="K50" s="148">
        <f>SUM('2024'!G50:M50)</f>
        <v>2301161.16</v>
      </c>
      <c r="L50" s="264">
        <f t="shared" si="7"/>
        <v>1761161.7999999998</v>
      </c>
      <c r="M50" s="477">
        <f t="shared" si="2"/>
        <v>0.76533614012501405</v>
      </c>
      <c r="N50" s="148">
        <f>'2025'!M50</f>
        <v>0</v>
      </c>
      <c r="O50" s="148">
        <f>'2025'!M126</f>
        <v>0.4</v>
      </c>
      <c r="P50" s="149">
        <f t="shared" si="6"/>
        <v>-0.4</v>
      </c>
      <c r="Q50" s="268">
        <f t="shared" si="3"/>
        <v>-1</v>
      </c>
      <c r="R50" s="148">
        <f>'2024'!M50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5" t="str">
        <f>+VLOOKUP($A51,Master!$D$30:$G$226,4,FALSE)</f>
        <v>Otplata obaveza iz prethodnog perioda</v>
      </c>
      <c r="C51" s="586"/>
      <c r="D51" s="586"/>
      <c r="E51" s="586"/>
      <c r="F51" s="586"/>
      <c r="G51" s="295">
        <f>'2025'!S51</f>
        <v>13804378.049999997</v>
      </c>
      <c r="H51" s="295">
        <f>SUM('2025'!G127:M127)</f>
        <v>16996736.759999994</v>
      </c>
      <c r="I51" s="265">
        <f>G51-H51</f>
        <v>-3192358.7099999972</v>
      </c>
      <c r="J51" s="269">
        <f t="shared" si="1"/>
        <v>-0.18782185987094135</v>
      </c>
      <c r="K51" s="295">
        <f>SUM('2024'!G51:M51)</f>
        <v>14609746.789999997</v>
      </c>
      <c r="L51" s="271">
        <f t="shared" si="7"/>
        <v>-805368.74000000022</v>
      </c>
      <c r="M51" s="478">
        <f t="shared" si="2"/>
        <v>-5.512544136297115E-2</v>
      </c>
      <c r="N51" s="295">
        <f>'2025'!M51</f>
        <v>3502289.3</v>
      </c>
      <c r="O51" s="295">
        <f>'2025'!M127</f>
        <v>2693042.0200000005</v>
      </c>
      <c r="P51" s="265">
        <f>N51-O51</f>
        <v>809247.27999999933</v>
      </c>
      <c r="Q51" s="269">
        <f t="shared" si="3"/>
        <v>0.30049560088186045</v>
      </c>
      <c r="R51" s="295">
        <f>'2024'!M51</f>
        <v>2277126.5499999993</v>
      </c>
      <c r="S51" s="271">
        <f>+N51-R51</f>
        <v>1225162.7500000005</v>
      </c>
      <c r="T51" s="478">
        <f t="shared" si="5"/>
        <v>0.53803015471406312</v>
      </c>
      <c r="W51" s="470"/>
      <c r="Y51" s="470"/>
    </row>
    <row r="52" spans="1:25" ht="15.75" thickBot="1">
      <c r="A52" s="129">
        <v>1005</v>
      </c>
      <c r="B52" s="585" t="str">
        <f>+VLOOKUP($A52,Master!$D$30:$G$228,4,FALSE)</f>
        <v>Neto povećanje obaveza</v>
      </c>
      <c r="C52" s="586"/>
      <c r="D52" s="586"/>
      <c r="E52" s="586"/>
      <c r="F52" s="586"/>
      <c r="G52" s="148">
        <f>'2025'!S52</f>
        <v>0</v>
      </c>
      <c r="H52" s="148">
        <f>SUM('2025'!G128:M128)</f>
        <v>0</v>
      </c>
      <c r="I52" s="265">
        <f>G52-H52</f>
        <v>0</v>
      </c>
      <c r="J52" s="269" t="str">
        <f t="shared" si="1"/>
        <v>...</v>
      </c>
      <c r="K52" s="148">
        <f>SUM('2024'!G52:M52)</f>
        <v>0</v>
      </c>
      <c r="L52" s="271">
        <f t="shared" si="7"/>
        <v>0</v>
      </c>
      <c r="M52" s="478" t="str">
        <f t="shared" si="2"/>
        <v>...</v>
      </c>
      <c r="N52" s="148">
        <f>'2025'!M52</f>
        <v>0</v>
      </c>
      <c r="O52" s="148">
        <f>'2025'!M128</f>
        <v>0</v>
      </c>
      <c r="P52" s="265">
        <f>N52-O52</f>
        <v>0</v>
      </c>
      <c r="Q52" s="269" t="str">
        <f t="shared" si="3"/>
        <v>...</v>
      </c>
      <c r="R52" s="148">
        <f>'2024'!M52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>'2025'!S53</f>
        <v>-97213620.810000092</v>
      </c>
      <c r="H53" s="136">
        <f>SUM('2025'!G129:M129)</f>
        <v>-128367090.60236317</v>
      </c>
      <c r="I53" s="299">
        <f>+G53-H53</f>
        <v>31153469.792363077</v>
      </c>
      <c r="J53" s="270">
        <f t="shared" si="1"/>
        <v>-0.24269047188165815</v>
      </c>
      <c r="K53" s="136">
        <f>SUM('2024'!G53:M53)</f>
        <v>43885267.460000098</v>
      </c>
      <c r="L53" s="272">
        <f t="shared" si="7"/>
        <v>-141098888.27000019</v>
      </c>
      <c r="M53" s="479">
        <f t="shared" si="2"/>
        <v>-3.2151766740081267</v>
      </c>
      <c r="N53" s="136">
        <f>'2025'!M53</f>
        <v>13479310.910000026</v>
      </c>
      <c r="O53" s="136">
        <f>'2025'!M129</f>
        <v>-12074440.568551838</v>
      </c>
      <c r="P53" s="299">
        <f>N53-O53</f>
        <v>25553751.478551865</v>
      </c>
      <c r="Q53" s="270">
        <f t="shared" si="3"/>
        <v>-2.1163507603911027</v>
      </c>
      <c r="R53" s="136">
        <f>'2024'!M53</f>
        <v>14409119.099999994</v>
      </c>
      <c r="S53" s="272">
        <f t="shared" si="4"/>
        <v>-929808.18999996781</v>
      </c>
      <c r="T53" s="479">
        <f t="shared" si="5"/>
        <v>-6.4529148766628519E-2</v>
      </c>
      <c r="W53" s="470"/>
      <c r="Y53" s="470"/>
    </row>
    <row r="54" spans="1:25" ht="15.7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36">
        <f>'2025'!S54</f>
        <v>-11666732.190000083</v>
      </c>
      <c r="H54" s="136">
        <f>SUM('2025'!G130:M130)</f>
        <v>-48906432.512363166</v>
      </c>
      <c r="I54" s="191">
        <f t="shared" si="0"/>
        <v>37239700.322363079</v>
      </c>
      <c r="J54" s="193">
        <f t="shared" si="1"/>
        <v>-0.76144789978187788</v>
      </c>
      <c r="K54" s="136">
        <f>SUM('2024'!G54:M54)</f>
        <v>108055112.8800001</v>
      </c>
      <c r="L54" s="191">
        <f t="shared" si="7"/>
        <v>-119721845.07000019</v>
      </c>
      <c r="M54" s="195">
        <f t="shared" si="2"/>
        <v>-1.1079702003824334</v>
      </c>
      <c r="N54" s="136">
        <f>'2025'!M54</f>
        <v>18403957.690000027</v>
      </c>
      <c r="O54" s="136">
        <f>'2025'!M130</f>
        <v>-7449348.7085518371</v>
      </c>
      <c r="P54" s="191">
        <f t="shared" si="6"/>
        <v>25853306.398551866</v>
      </c>
      <c r="Q54" s="193">
        <f t="shared" si="3"/>
        <v>-3.4705458705231935</v>
      </c>
      <c r="R54" s="136">
        <f>'2024'!M54</f>
        <v>18147968.799999993</v>
      </c>
      <c r="S54" s="191">
        <f t="shared" si="4"/>
        <v>255988.89000003412</v>
      </c>
      <c r="T54" s="195">
        <f t="shared" si="5"/>
        <v>1.4105649663671116E-2</v>
      </c>
      <c r="W54" s="470"/>
      <c r="Y54" s="470"/>
    </row>
    <row r="55" spans="1:25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460">
        <f>'2025'!S55</f>
        <v>708124721.62000012</v>
      </c>
      <c r="H55" s="460">
        <f>SUM('2025'!G131:M131)</f>
        <v>715087564.43999994</v>
      </c>
      <c r="I55" s="461">
        <f t="shared" si="0"/>
        <v>-6962842.819999814</v>
      </c>
      <c r="J55" s="462">
        <f t="shared" si="1"/>
        <v>-9.7370492317994106E-3</v>
      </c>
      <c r="K55" s="460">
        <f>SUM('2024'!G55:M55)</f>
        <v>342937575.07000005</v>
      </c>
      <c r="L55" s="461">
        <f t="shared" si="7"/>
        <v>365187146.55000007</v>
      </c>
      <c r="M55" s="480">
        <f t="shared" si="2"/>
        <v>1.0648793631769817</v>
      </c>
      <c r="N55" s="460">
        <f>'2025'!M55</f>
        <v>34467856.200000003</v>
      </c>
      <c r="O55" s="460">
        <f>'2025'!M131</f>
        <v>34464831.550000004</v>
      </c>
      <c r="P55" s="461">
        <f t="shared" si="6"/>
        <v>3024.6499999985099</v>
      </c>
      <c r="Q55" s="462">
        <f t="shared" si="3"/>
        <v>8.7760475359077716E-5</v>
      </c>
      <c r="R55" s="460">
        <f>'2024'!M55</f>
        <v>35337295.060000002</v>
      </c>
      <c r="S55" s="461">
        <f t="shared" si="4"/>
        <v>-869438.8599999994</v>
      </c>
      <c r="T55" s="480">
        <f t="shared" si="5"/>
        <v>-2.4604001481261073E-2</v>
      </c>
      <c r="W55" s="470"/>
      <c r="Y55" s="470"/>
    </row>
    <row r="56" spans="1:25">
      <c r="A56" s="129">
        <v>4611</v>
      </c>
      <c r="B56" s="583" t="str">
        <f>+VLOOKUP($A56,Master!$D$30:$G$226,4,FALSE)</f>
        <v>Otplata hartija od vrijednosti i kredita rezidentima</v>
      </c>
      <c r="C56" s="584"/>
      <c r="D56" s="584"/>
      <c r="E56" s="584"/>
      <c r="F56" s="584"/>
      <c r="G56" s="148">
        <f>'2025'!S56</f>
        <v>30112035.390000004</v>
      </c>
      <c r="H56" s="148">
        <f>SUM('2025'!G132:M132)</f>
        <v>30096223.869999997</v>
      </c>
      <c r="I56" s="197">
        <f t="shared" si="0"/>
        <v>15811.520000007004</v>
      </c>
      <c r="J56" s="199">
        <f t="shared" si="1"/>
        <v>5.2536557636950754E-4</v>
      </c>
      <c r="K56" s="148">
        <f>SUM('2024'!G56:M56)</f>
        <v>164267271.25</v>
      </c>
      <c r="L56" s="197">
        <f t="shared" si="7"/>
        <v>-134155235.86</v>
      </c>
      <c r="M56" s="201">
        <f t="shared" si="2"/>
        <v>-0.81668877092277137</v>
      </c>
      <c r="N56" s="148">
        <f>'2025'!M56</f>
        <v>1723907.95</v>
      </c>
      <c r="O56" s="148">
        <f>'2025'!M132</f>
        <v>1717903.2899999998</v>
      </c>
      <c r="P56" s="197">
        <f t="shared" si="6"/>
        <v>6004.660000000149</v>
      </c>
      <c r="Q56" s="199">
        <f t="shared" si="3"/>
        <v>3.4953422785517496E-3</v>
      </c>
      <c r="R56" s="148">
        <f>'2024'!M56</f>
        <v>2591103.59</v>
      </c>
      <c r="S56" s="197">
        <f t="shared" si="4"/>
        <v>-867195.6399999999</v>
      </c>
      <c r="T56" s="201">
        <f t="shared" si="5"/>
        <v>-0.33468196460644017</v>
      </c>
      <c r="W56" s="470"/>
      <c r="Y56" s="470"/>
    </row>
    <row r="57" spans="1:25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48">
        <f>'2025'!S57</f>
        <v>678012686.23000002</v>
      </c>
      <c r="H57" s="148">
        <f>SUM('2025'!G133:M133)</f>
        <v>684991340.56999993</v>
      </c>
      <c r="I57" s="197">
        <f t="shared" si="0"/>
        <v>-6978654.3399999142</v>
      </c>
      <c r="J57" s="199">
        <f t="shared" si="1"/>
        <v>-1.0187945345692673E-2</v>
      </c>
      <c r="K57" s="148">
        <f>SUM('2024'!G57:M57)</f>
        <v>178670303.81999999</v>
      </c>
      <c r="L57" s="197">
        <f t="shared" si="7"/>
        <v>499342382.41000003</v>
      </c>
      <c r="M57" s="201" t="str">
        <f t="shared" si="2"/>
        <v>...</v>
      </c>
      <c r="N57" s="148">
        <f>'2025'!M57</f>
        <v>32743948.25</v>
      </c>
      <c r="O57" s="148">
        <f>'2025'!M133</f>
        <v>32746928.260000002</v>
      </c>
      <c r="P57" s="197">
        <f t="shared" si="6"/>
        <v>-2980.0100000016391</v>
      </c>
      <c r="Q57" s="199">
        <f t="shared" si="3"/>
        <v>-9.1001207085494862E-5</v>
      </c>
      <c r="R57" s="148">
        <f>'2024'!M57</f>
        <v>32746191.469999999</v>
      </c>
      <c r="S57" s="197">
        <f t="shared" si="4"/>
        <v>-2243.2199999988079</v>
      </c>
      <c r="T57" s="201">
        <f t="shared" si="5"/>
        <v>-6.8503233484507042E-5</v>
      </c>
      <c r="W57" s="470"/>
      <c r="Y57" s="470"/>
    </row>
    <row r="58" spans="1:25" ht="15.75" thickBot="1">
      <c r="A58" s="129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13">
        <f>'2025'!S58</f>
        <v>2669683.2699999996</v>
      </c>
      <c r="H58" s="313">
        <f>SUM('2025'!G134:M134)</f>
        <v>17105001.800000001</v>
      </c>
      <c r="I58" s="314">
        <f t="shared" ref="I58:I66" si="9">+G58-H58</f>
        <v>-14435318.530000001</v>
      </c>
      <c r="J58" s="315">
        <f t="shared" si="1"/>
        <v>-0.84392382408284816</v>
      </c>
      <c r="K58" s="313">
        <f>SUM('2024'!G58:M58)</f>
        <v>3266458.45</v>
      </c>
      <c r="L58" s="314">
        <f t="shared" ref="L58:L66" si="10">+G58-K58</f>
        <v>-596775.18000000063</v>
      </c>
      <c r="M58" s="481">
        <f t="shared" si="2"/>
        <v>-0.18269792472027335</v>
      </c>
      <c r="N58" s="313">
        <f>'2025'!M58</f>
        <v>1266816.8499999999</v>
      </c>
      <c r="O58" s="313">
        <f>'2025'!M134</f>
        <v>3420000.36</v>
      </c>
      <c r="P58" s="314">
        <f t="shared" ref="P58:P66" si="11">+N58-O58</f>
        <v>-2153183.5099999998</v>
      </c>
      <c r="Q58" s="315">
        <f t="shared" si="3"/>
        <v>-0.62958575536524219</v>
      </c>
      <c r="R58" s="313">
        <f>'2024'!M58</f>
        <v>0</v>
      </c>
      <c r="S58" s="314">
        <f t="shared" ref="S58:S66" si="12">+N58-R58</f>
        <v>1266816.8499999999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313">
        <f>'2025'!S59</f>
        <v>5560979.2999999998</v>
      </c>
      <c r="H59" s="313">
        <f>SUM('2025'!G135:M135)</f>
        <v>4800002.9999999981</v>
      </c>
      <c r="I59" s="314">
        <f t="shared" si="9"/>
        <v>760976.30000000168</v>
      </c>
      <c r="J59" s="315">
        <f t="shared" si="1"/>
        <v>0.15853663008127317</v>
      </c>
      <c r="K59" s="313">
        <f>SUM('2024'!G59:M59)</f>
        <v>4923726.2</v>
      </c>
      <c r="L59" s="314">
        <f t="shared" si="10"/>
        <v>637253.09999999963</v>
      </c>
      <c r="M59" s="481">
        <f t="shared" si="2"/>
        <v>0.12942496680664317</v>
      </c>
      <c r="N59" s="313">
        <f>'2025'!M59</f>
        <v>287960.95</v>
      </c>
      <c r="O59" s="313">
        <f>'2025'!M135</f>
        <v>180000.6</v>
      </c>
      <c r="P59" s="314">
        <f t="shared" si="11"/>
        <v>107960.35</v>
      </c>
      <c r="Q59" s="315">
        <f t="shared" si="3"/>
        <v>0.5997777229631458</v>
      </c>
      <c r="R59" s="313">
        <f>'2024'!M59</f>
        <v>136349.23000000001</v>
      </c>
      <c r="S59" s="314">
        <f t="shared" si="12"/>
        <v>151611.72</v>
      </c>
      <c r="T59" s="481">
        <f t="shared" si="5"/>
        <v>1.1119367524114363</v>
      </c>
      <c r="W59" s="470"/>
      <c r="Y59" s="470"/>
    </row>
    <row r="60" spans="1:25" ht="15.7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98">
        <f>'2025'!S60</f>
        <v>-813569005.00000012</v>
      </c>
      <c r="H60" s="298">
        <f>SUM('2025'!G136:M136)</f>
        <v>-865359659.84236336</v>
      </c>
      <c r="I60" s="300">
        <f t="shared" si="9"/>
        <v>51790654.842363238</v>
      </c>
      <c r="J60" s="301">
        <f t="shared" si="1"/>
        <v>-5.9848704816905407E-2</v>
      </c>
      <c r="K60" s="298">
        <f>SUM('2024'!G60:M60)</f>
        <v>-307242492.25999993</v>
      </c>
      <c r="L60" s="300">
        <f>+G60-K60</f>
        <v>-506326512.74000019</v>
      </c>
      <c r="M60" s="482">
        <f t="shared" si="2"/>
        <v>1.647970334492431</v>
      </c>
      <c r="N60" s="298">
        <f>'2025'!M60</f>
        <v>-22543323.089999977</v>
      </c>
      <c r="O60" s="298">
        <f>'2025'!M136</f>
        <v>-50139273.078551844</v>
      </c>
      <c r="P60" s="300">
        <f t="shared" si="11"/>
        <v>27595949.988551866</v>
      </c>
      <c r="Q60" s="301">
        <f t="shared" si="3"/>
        <v>-0.55038592093902194</v>
      </c>
      <c r="R60" s="298">
        <f>'2024'!M60</f>
        <v>-21064525.190000009</v>
      </c>
      <c r="S60" s="300">
        <f t="shared" si="12"/>
        <v>-1478797.8999999687</v>
      </c>
      <c r="T60" s="482">
        <f t="shared" si="5"/>
        <v>7.0203239173983301E-2</v>
      </c>
      <c r="W60" s="470"/>
      <c r="Y60" s="470"/>
    </row>
    <row r="61" spans="1:25" ht="15.7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'2025'!S61</f>
        <v>813569005.00000036</v>
      </c>
      <c r="H61" s="136">
        <f>SUM('2025'!G137:M137)</f>
        <v>865359659.84236336</v>
      </c>
      <c r="I61" s="299">
        <f t="shared" si="9"/>
        <v>-51790654.842363</v>
      </c>
      <c r="J61" s="302">
        <f t="shared" si="1"/>
        <v>-5.9848704816905074E-2</v>
      </c>
      <c r="K61" s="136">
        <f>SUM('2024'!G61:M61)</f>
        <v>307242492.25999993</v>
      </c>
      <c r="L61" s="299">
        <f t="shared" si="10"/>
        <v>506326512.74000043</v>
      </c>
      <c r="M61" s="483">
        <f t="shared" si="2"/>
        <v>1.6479703344924315</v>
      </c>
      <c r="N61" s="136">
        <f>'2025'!M61</f>
        <v>22543323.089999977</v>
      </c>
      <c r="O61" s="136">
        <f>'2025'!M137</f>
        <v>50139273.078551844</v>
      </c>
      <c r="P61" s="300">
        <f t="shared" si="11"/>
        <v>-27595949.988551866</v>
      </c>
      <c r="Q61" s="302">
        <f t="shared" si="3"/>
        <v>-0.55038592093902194</v>
      </c>
      <c r="R61" s="136">
        <f>'2024'!M61</f>
        <v>21064525.190000009</v>
      </c>
      <c r="S61" s="299">
        <f t="shared" si="12"/>
        <v>1478797.8999999687</v>
      </c>
      <c r="T61" s="483">
        <f t="shared" si="5"/>
        <v>7.0203239173983301E-2</v>
      </c>
      <c r="W61" s="470"/>
      <c r="Y61" s="470"/>
    </row>
    <row r="62" spans="1:25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48">
        <f>'2025'!S62</f>
        <v>6127675</v>
      </c>
      <c r="H62" s="148">
        <f>SUM('2025'!G138:M138)</f>
        <v>35014118.590000004</v>
      </c>
      <c r="I62" s="197">
        <f t="shared" si="9"/>
        <v>-28886443.590000004</v>
      </c>
      <c r="J62" s="199">
        <f t="shared" si="1"/>
        <v>-0.82499416673164361</v>
      </c>
      <c r="K62" s="148">
        <f>SUM('2024'!G62:M62)</f>
        <v>0</v>
      </c>
      <c r="L62" s="197">
        <f t="shared" si="10"/>
        <v>6127675</v>
      </c>
      <c r="M62" s="201" t="str">
        <f t="shared" si="2"/>
        <v>...</v>
      </c>
      <c r="N62" s="148">
        <f>'2025'!M62</f>
        <v>0</v>
      </c>
      <c r="O62" s="148">
        <f>'2025'!M138</f>
        <v>0</v>
      </c>
      <c r="P62" s="197">
        <f t="shared" si="11"/>
        <v>0</v>
      </c>
      <c r="Q62" s="199" t="str">
        <f t="shared" si="3"/>
        <v>...</v>
      </c>
      <c r="R62" s="148">
        <f>'2024'!M62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148">
        <f>'2025'!S63</f>
        <v>919244901.9000001</v>
      </c>
      <c r="H63" s="148">
        <f>SUM('2025'!G139:M139)</f>
        <v>850000000</v>
      </c>
      <c r="I63" s="197">
        <f t="shared" si="9"/>
        <v>69244901.900000095</v>
      </c>
      <c r="J63" s="199">
        <f t="shared" si="1"/>
        <v>8.1464590470588405E-2</v>
      </c>
      <c r="K63" s="148">
        <f>SUM('2024'!G63:M63)</f>
        <v>709417824.3499999</v>
      </c>
      <c r="L63" s="197">
        <f t="shared" si="10"/>
        <v>209827077.55000019</v>
      </c>
      <c r="M63" s="201">
        <f t="shared" si="2"/>
        <v>0.29577361936493918</v>
      </c>
      <c r="N63" s="148">
        <f>'2025'!M63</f>
        <v>1155170.92</v>
      </c>
      <c r="O63" s="148">
        <f>'2025'!M139</f>
        <v>0</v>
      </c>
      <c r="P63" s="197">
        <f t="shared" si="11"/>
        <v>1155170.92</v>
      </c>
      <c r="Q63" s="199" t="str">
        <f t="shared" si="3"/>
        <v>...</v>
      </c>
      <c r="R63" s="148">
        <f>'2024'!M63</f>
        <v>7067114.0599999996</v>
      </c>
      <c r="S63" s="197">
        <f t="shared" si="12"/>
        <v>-5911943.1399999997</v>
      </c>
      <c r="T63" s="201">
        <f t="shared" si="5"/>
        <v>-0.83654276552032902</v>
      </c>
      <c r="W63" s="470"/>
      <c r="Y63" s="470"/>
    </row>
    <row r="64" spans="1:25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48">
        <f>'2025'!S64</f>
        <v>1088415.21</v>
      </c>
      <c r="H64" s="148">
        <f>SUM('2025'!G140:M140)</f>
        <v>3500000</v>
      </c>
      <c r="I64" s="197">
        <f t="shared" si="9"/>
        <v>-2411584.79</v>
      </c>
      <c r="J64" s="199">
        <f t="shared" si="1"/>
        <v>-0.68902422571428579</v>
      </c>
      <c r="K64" s="148">
        <f>SUM('2024'!G64:M64)</f>
        <v>1437252.1400000001</v>
      </c>
      <c r="L64" s="197">
        <f t="shared" si="10"/>
        <v>-348836.93000000017</v>
      </c>
      <c r="M64" s="201">
        <f t="shared" si="2"/>
        <v>-0.24271101798463846</v>
      </c>
      <c r="N64" s="148">
        <f>'2025'!M64</f>
        <v>164141.29999999999</v>
      </c>
      <c r="O64" s="148">
        <f>'2025'!M140</f>
        <v>500000</v>
      </c>
      <c r="P64" s="197">
        <f t="shared" si="11"/>
        <v>-335858.7</v>
      </c>
      <c r="Q64" s="199">
        <f t="shared" si="3"/>
        <v>-0.67171740000000002</v>
      </c>
      <c r="R64" s="148">
        <f>'2024'!M64</f>
        <v>369935.11</v>
      </c>
      <c r="S64" s="197">
        <f t="shared" si="12"/>
        <v>-205793.81</v>
      </c>
      <c r="T64" s="201">
        <f t="shared" si="5"/>
        <v>-0.55629704896082988</v>
      </c>
      <c r="W64" s="470"/>
      <c r="Y64" s="470"/>
    </row>
    <row r="65" spans="1:25">
      <c r="A65" s="129">
        <v>73</v>
      </c>
      <c r="B65" s="583" t="str">
        <f>+VLOOKUP($A65,Master!$D$30:$G$226,4,FALSE)</f>
        <v>Primici od otplate kredita i sredstva prenesena iz prethodne godine</v>
      </c>
      <c r="C65" s="584"/>
      <c r="D65" s="584"/>
      <c r="E65" s="584"/>
      <c r="F65" s="584"/>
      <c r="G65" s="148">
        <f>'2025'!S65</f>
        <v>12671489.130000001</v>
      </c>
      <c r="H65" s="148">
        <f>SUM('2025'!G141:M141)</f>
        <v>3885183.5179814929</v>
      </c>
      <c r="I65" s="197">
        <f t="shared" si="9"/>
        <v>8786305.612018507</v>
      </c>
      <c r="J65" s="199" t="str">
        <f t="shared" si="1"/>
        <v>...</v>
      </c>
      <c r="K65" s="148">
        <f>SUM('2024'!G65:M65)</f>
        <v>13279895</v>
      </c>
      <c r="L65" s="197">
        <f t="shared" si="10"/>
        <v>-608405.86999999918</v>
      </c>
      <c r="M65" s="201">
        <f t="shared" si="2"/>
        <v>-4.5814057264759955E-2</v>
      </c>
      <c r="N65" s="148">
        <f>'2025'!M65</f>
        <v>3116777.48</v>
      </c>
      <c r="O65" s="148">
        <f>'2025'!M141</f>
        <v>158719.86425742233</v>
      </c>
      <c r="P65" s="197">
        <f t="shared" si="11"/>
        <v>2958057.6157425777</v>
      </c>
      <c r="Q65" s="199" t="str">
        <f t="shared" si="3"/>
        <v>...</v>
      </c>
      <c r="R65" s="148">
        <f>'2024'!M65</f>
        <v>3057323.5199999996</v>
      </c>
      <c r="S65" s="197">
        <f t="shared" si="12"/>
        <v>59453.960000000428</v>
      </c>
      <c r="T65" s="201">
        <f t="shared" si="5"/>
        <v>1.9446407817514944E-2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-125563476.24000001</v>
      </c>
      <c r="H66" s="296">
        <f>SUM('2025'!G142:M142)</f>
        <v>-27039642.265618309</v>
      </c>
      <c r="I66" s="211">
        <f t="shared" si="9"/>
        <v>-98523833.9743817</v>
      </c>
      <c r="J66" s="213" t="str">
        <f t="shared" si="1"/>
        <v>...</v>
      </c>
      <c r="K66" s="296">
        <f>SUM('2024'!G66:M66)</f>
        <v>-416892479.23000008</v>
      </c>
      <c r="L66" s="211">
        <f t="shared" si="10"/>
        <v>291329002.99000007</v>
      </c>
      <c r="M66" s="215">
        <f t="shared" si="2"/>
        <v>-0.6988108865098368</v>
      </c>
      <c r="N66" s="296">
        <f>'2025'!M66</f>
        <v>18107233.389999978</v>
      </c>
      <c r="O66" s="296">
        <f>'2025'!M142</f>
        <v>49480553.214294419</v>
      </c>
      <c r="P66" s="211">
        <f t="shared" si="11"/>
        <v>-31373319.82429444</v>
      </c>
      <c r="Q66" s="213">
        <f t="shared" si="3"/>
        <v>-0.63405353793075647</v>
      </c>
      <c r="R66" s="296">
        <f>'2024'!M66</f>
        <v>10570152.500000009</v>
      </c>
      <c r="S66" s="211">
        <f t="shared" si="12"/>
        <v>7537080.8899999689</v>
      </c>
      <c r="T66" s="215">
        <f t="shared" si="5"/>
        <v>0.71305318348055646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kgNfBCVnqMXQbgPZoK05cX4sBdyx8sdbgvB8w4/Cgn5+2PJgObi5lNHLRLl6Ob86y3ZVxiGfD6pK+VTU7rI5fw==" saltValue="PLx7O3UFaXdy6muqnsZeWg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2024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7459213000</v>
      </c>
    </row>
    <row r="8" spans="1:24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4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7" t="str">
        <f>+VLOOKUP($A28,Master!$D$30:$G$226,4,FALSE)</f>
        <v>Donacije i transferi</v>
      </c>
      <c r="C28" s="568"/>
      <c r="D28" s="568"/>
      <c r="E28" s="568"/>
      <c r="F28" s="568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67" t="s">
        <v>101</v>
      </c>
      <c r="C65" s="568"/>
      <c r="D65" s="568"/>
      <c r="E65" s="568"/>
      <c r="F65" s="568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2024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7279700000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80" zoomScaleNormal="80" workbookViewId="0">
      <pane ySplit="1" topLeftCell="A2" activePane="bottomLeft" state="frozen"/>
      <selection pane="bottomLeft" activeCell="E5" sqref="E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2025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7918500000</v>
      </c>
    </row>
    <row r="8" spans="1:23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3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513">
        <f>G11+G19+G24+G25+G26+G27+G28</f>
        <v>156750672.07999998</v>
      </c>
      <c r="H10" s="513">
        <f t="shared" ref="H10:L10" si="1">+H11+H19+SUM(H24:H28)</f>
        <v>178348802.93000001</v>
      </c>
      <c r="I10" s="513">
        <f t="shared" si="1"/>
        <v>245354774.28999996</v>
      </c>
      <c r="J10" s="513">
        <f t="shared" si="1"/>
        <v>317073738.62000006</v>
      </c>
      <c r="K10" s="513">
        <f t="shared" si="1"/>
        <v>199483690.82999998</v>
      </c>
      <c r="L10" s="513">
        <f t="shared" si="1"/>
        <v>225815856.13999999</v>
      </c>
      <c r="M10" s="513">
        <f t="shared" ref="M10:R10" si="2">+M11+M19+SUM(M24:M28)</f>
        <v>256131937.00999999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1578959471.8999999</v>
      </c>
      <c r="T10" s="515">
        <f>+S10/$T$7*100</f>
        <v>19.940133508871625</v>
      </c>
    </row>
    <row r="11" spans="1:23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1273687047.0700002</v>
      </c>
      <c r="T11" s="519">
        <f t="shared" ref="T11:T66" si="5">+S11/$T$7*100</f>
        <v>16.084953552693062</v>
      </c>
    </row>
    <row r="12" spans="1:23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/>
      <c r="O12" s="148"/>
      <c r="P12" s="148"/>
      <c r="Q12" s="148"/>
      <c r="R12" s="148"/>
      <c r="S12" s="227">
        <f>+SUM(G12:R12)</f>
        <v>56485728.240000002</v>
      </c>
      <c r="T12" s="436">
        <f t="shared" si="5"/>
        <v>0.71333874142830089</v>
      </c>
    </row>
    <row r="13" spans="1:23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/>
      <c r="O13" s="148"/>
      <c r="P13" s="148"/>
      <c r="Q13" s="148"/>
      <c r="R13" s="148"/>
      <c r="S13" s="227">
        <f t="shared" ref="S13:S65" si="6">+SUM(G13:R13)</f>
        <v>215888158.62</v>
      </c>
      <c r="T13" s="436">
        <f t="shared" si="5"/>
        <v>2.7263769479068003</v>
      </c>
      <c r="V13" s="276"/>
      <c r="W13" s="494"/>
    </row>
    <row r="14" spans="1:23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/>
      <c r="O15" s="148"/>
      <c r="P15" s="148"/>
      <c r="Q15" s="148"/>
      <c r="R15" s="148"/>
      <c r="S15" s="227">
        <f t="shared" si="6"/>
        <v>738073912.9000001</v>
      </c>
      <c r="T15" s="436">
        <f t="shared" si="5"/>
        <v>9.3208803801224995</v>
      </c>
      <c r="V15" s="276"/>
      <c r="W15" s="494"/>
    </row>
    <row r="16" spans="1:23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/>
      <c r="O16" s="148"/>
      <c r="P16" s="148"/>
      <c r="Q16" s="148"/>
      <c r="R16" s="148"/>
      <c r="S16" s="227">
        <f t="shared" si="6"/>
        <v>214330673.03</v>
      </c>
      <c r="T16" s="436">
        <f t="shared" si="5"/>
        <v>2.7067080006314326</v>
      </c>
      <c r="V16" s="276"/>
      <c r="W16" s="494"/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/>
      <c r="O17" s="148"/>
      <c r="P17" s="148"/>
      <c r="Q17" s="148"/>
      <c r="R17" s="148"/>
      <c r="S17" s="227">
        <f t="shared" si="6"/>
        <v>39697710.400000006</v>
      </c>
      <c r="T17" s="436">
        <f t="shared" si="5"/>
        <v>0.501328665782661</v>
      </c>
      <c r="V17" s="276"/>
      <c r="W17" s="494"/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/>
      <c r="O18" s="148"/>
      <c r="P18" s="148"/>
      <c r="Q18" s="148"/>
      <c r="R18" s="148"/>
      <c r="S18" s="227">
        <f t="shared" si="6"/>
        <v>9210863.8800000008</v>
      </c>
      <c r="T18" s="436">
        <f t="shared" si="5"/>
        <v>0.11632081682136769</v>
      </c>
      <c r="V18" s="276"/>
      <c r="W18" s="494"/>
    </row>
    <row r="19" spans="1:23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219011215.15999997</v>
      </c>
      <c r="T19" s="522">
        <f t="shared" si="5"/>
        <v>2.7658169496748117</v>
      </c>
      <c r="V19" s="276"/>
      <c r="W19" s="494"/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/>
      <c r="O20" s="148"/>
      <c r="P20" s="148"/>
      <c r="Q20" s="148"/>
      <c r="R20" s="148"/>
      <c r="S20" s="227">
        <f>+SUM(G20:R20)</f>
        <v>184713997.11000001</v>
      </c>
      <c r="T20" s="436">
        <f t="shared" si="5"/>
        <v>2.3326892354612618</v>
      </c>
      <c r="V20" s="276"/>
      <c r="W20" s="494"/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/>
      <c r="O21" s="148"/>
      <c r="P21" s="148"/>
      <c r="Q21" s="148"/>
      <c r="R21" s="148"/>
      <c r="S21" s="227">
        <f t="shared" si="6"/>
        <v>4163283.45</v>
      </c>
      <c r="T21" s="436">
        <f t="shared" si="5"/>
        <v>5.2576667929532118E-2</v>
      </c>
      <c r="V21" s="276"/>
      <c r="W21" s="494"/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/>
      <c r="O22" s="148"/>
      <c r="P22" s="148"/>
      <c r="Q22" s="148"/>
      <c r="R22" s="148"/>
      <c r="S22" s="227">
        <f t="shared" si="6"/>
        <v>17671471.640000001</v>
      </c>
      <c r="T22" s="436">
        <f t="shared" si="5"/>
        <v>0.22316690837911218</v>
      </c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/>
      <c r="O23" s="148"/>
      <c r="P23" s="148"/>
      <c r="Q23" s="148"/>
      <c r="R23" s="148"/>
      <c r="S23" s="227">
        <f t="shared" si="6"/>
        <v>12462462.960000001</v>
      </c>
      <c r="T23" s="436">
        <f t="shared" si="5"/>
        <v>0.15738413790490624</v>
      </c>
      <c r="V23" s="495"/>
      <c r="W23" s="494"/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876568.74</v>
      </c>
      <c r="H24" s="160">
        <v>1052557.3699999999</v>
      </c>
      <c r="I24" s="160">
        <v>1107384.3999999999</v>
      </c>
      <c r="J24" s="160">
        <v>1237358.1299999999</v>
      </c>
      <c r="K24" s="160">
        <v>1223227.82</v>
      </c>
      <c r="L24" s="523">
        <v>1429401.73</v>
      </c>
      <c r="M24" s="523">
        <v>1847059.53</v>
      </c>
      <c r="N24" s="523"/>
      <c r="O24" s="523"/>
      <c r="P24" s="523"/>
      <c r="Q24" s="523"/>
      <c r="R24" s="523"/>
      <c r="S24" s="521">
        <f t="shared" si="6"/>
        <v>8773557.7199999988</v>
      </c>
      <c r="T24" s="522">
        <f t="shared" si="5"/>
        <v>0.1107982284523584</v>
      </c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>
        <v>6884049.8699999992</v>
      </c>
      <c r="N25" s="523"/>
      <c r="O25" s="523"/>
      <c r="P25" s="523"/>
      <c r="Q25" s="523"/>
      <c r="R25" s="523"/>
      <c r="S25" s="521">
        <f t="shared" si="6"/>
        <v>38301746.969999999</v>
      </c>
      <c r="T25" s="522">
        <f t="shared" si="5"/>
        <v>0.48369952604659971</v>
      </c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2284728</v>
      </c>
      <c r="H26" s="160">
        <v>2935178.32</v>
      </c>
      <c r="I26" s="160">
        <v>2894676.9999999995</v>
      </c>
      <c r="J26" s="160">
        <v>8456379.870000001</v>
      </c>
      <c r="K26" s="160">
        <v>3043205.3499999996</v>
      </c>
      <c r="L26" s="523">
        <v>4108567.33</v>
      </c>
      <c r="M26" s="523">
        <v>6582939.8899999997</v>
      </c>
      <c r="N26" s="523"/>
      <c r="O26" s="523"/>
      <c r="P26" s="523"/>
      <c r="Q26" s="523"/>
      <c r="R26" s="523"/>
      <c r="S26" s="521">
        <f t="shared" si="6"/>
        <v>30305675.759999998</v>
      </c>
      <c r="T26" s="522">
        <f t="shared" si="5"/>
        <v>0.38271990604281114</v>
      </c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67" t="str">
        <f>+VLOOKUP($A28,Master!$D$30:$G$226,4,FALSE)</f>
        <v>Donacije i transferi</v>
      </c>
      <c r="C28" s="568"/>
      <c r="D28" s="568"/>
      <c r="E28" s="568"/>
      <c r="F28" s="568"/>
      <c r="G28" s="160">
        <v>0</v>
      </c>
      <c r="H28" s="160">
        <v>852850.11</v>
      </c>
      <c r="I28" s="160">
        <v>2017857.46</v>
      </c>
      <c r="J28" s="160">
        <v>603018.02</v>
      </c>
      <c r="K28" s="160">
        <v>723468.79</v>
      </c>
      <c r="L28" s="523">
        <v>1048774.8</v>
      </c>
      <c r="M28" s="523">
        <v>3634260.04</v>
      </c>
      <c r="N28" s="523"/>
      <c r="O28" s="523"/>
      <c r="P28" s="523"/>
      <c r="Q28" s="523"/>
      <c r="R28" s="523"/>
      <c r="S28" s="521">
        <f t="shared" si="6"/>
        <v>8880229.2199999988</v>
      </c>
      <c r="T28" s="524">
        <f t="shared" si="5"/>
        <v>0.11214534596198775</v>
      </c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154390488.06999993</v>
      </c>
      <c r="H29" s="136">
        <f t="shared" ref="H29:L29" si="8">+H30+H40+H46+SUM(H47:H51)</f>
        <v>212758826.39000002</v>
      </c>
      <c r="I29" s="136">
        <f t="shared" si="8"/>
        <v>278522892.41000003</v>
      </c>
      <c r="J29" s="136">
        <f t="shared" si="8"/>
        <v>284500380.84000009</v>
      </c>
      <c r="K29" s="136">
        <f t="shared" si="8"/>
        <v>236034871.40000001</v>
      </c>
      <c r="L29" s="136">
        <f t="shared" si="8"/>
        <v>267313007.50000003</v>
      </c>
      <c r="M29" s="136">
        <f t="shared" ref="M29:R29" si="9">+M30+M40+M46+SUM(M47:M51)</f>
        <v>242652626.09999996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1676173092.71</v>
      </c>
      <c r="T29" s="526">
        <f t="shared" si="5"/>
        <v>21.167810730693944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" si="10">+SUM(G31:G39)</f>
        <v>62043543.54999999</v>
      </c>
      <c r="H30" s="172">
        <f t="shared" ref="H30:L30" si="11">+SUM(H31:H39)</f>
        <v>75176540.300000042</v>
      </c>
      <c r="I30" s="172">
        <f t="shared" si="11"/>
        <v>110899642.14000003</v>
      </c>
      <c r="J30" s="172">
        <f t="shared" si="11"/>
        <v>122539029.20000005</v>
      </c>
      <c r="K30" s="172">
        <f t="shared" si="11"/>
        <v>91193014.469999984</v>
      </c>
      <c r="L30" s="172">
        <f t="shared" si="11"/>
        <v>96477072.650000006</v>
      </c>
      <c r="M30" s="172">
        <f t="shared" ref="M30:R30" si="12">+SUM(M31:M39)</f>
        <v>91817462.11999999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650146304.43000007</v>
      </c>
      <c r="T30" s="519">
        <f t="shared" si="5"/>
        <v>8.2104729990528522</v>
      </c>
      <c r="U30" s="472"/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499">
        <v>55836509.87999998</v>
      </c>
      <c r="H31" s="499">
        <v>57530041.020000033</v>
      </c>
      <c r="I31" s="499">
        <v>56241192.140000015</v>
      </c>
      <c r="J31" s="499">
        <v>57955580.230000041</v>
      </c>
      <c r="K31" s="499">
        <v>57929792.420000002</v>
      </c>
      <c r="L31" s="499">
        <v>57841844.710000008</v>
      </c>
      <c r="M31" s="499">
        <v>56105463.139999986</v>
      </c>
      <c r="N31" s="499"/>
      <c r="O31" s="499"/>
      <c r="P31" s="499"/>
      <c r="Q31" s="499"/>
      <c r="R31" s="148"/>
      <c r="S31" s="227">
        <f t="shared" si="6"/>
        <v>399440423.54000008</v>
      </c>
      <c r="T31" s="436">
        <f t="shared" si="5"/>
        <v>5.0443950690155974</v>
      </c>
      <c r="U31" s="472"/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/>
      <c r="O32" s="499"/>
      <c r="P32" s="499"/>
      <c r="Q32" s="499"/>
      <c r="R32" s="148"/>
      <c r="S32" s="227">
        <f t="shared" si="6"/>
        <v>12132974.250000002</v>
      </c>
      <c r="T32" s="436">
        <f t="shared" si="5"/>
        <v>0.15322313885205535</v>
      </c>
      <c r="U32" s="472"/>
    </row>
    <row r="33" spans="1:23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499">
        <v>39625.339999999997</v>
      </c>
      <c r="H33" s="499">
        <v>1487088.8500000003</v>
      </c>
      <c r="I33" s="499">
        <v>4592010.7299999995</v>
      </c>
      <c r="J33" s="499">
        <v>3866754.5999999996</v>
      </c>
      <c r="K33" s="499">
        <v>2644436.0699999998</v>
      </c>
      <c r="L33" s="499">
        <v>2839973.1600000006</v>
      </c>
      <c r="M33" s="499">
        <v>3117960.62</v>
      </c>
      <c r="N33" s="499"/>
      <c r="O33" s="499"/>
      <c r="P33" s="499"/>
      <c r="Q33" s="499"/>
      <c r="R33" s="148"/>
      <c r="S33" s="227">
        <f t="shared" si="6"/>
        <v>18587849.370000001</v>
      </c>
      <c r="T33" s="436">
        <f t="shared" si="5"/>
        <v>0.23473952604659976</v>
      </c>
      <c r="U33" s="472"/>
    </row>
    <row r="34" spans="1:23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499">
        <v>1245697.8400000001</v>
      </c>
      <c r="H34" s="499">
        <v>3160849.0199999996</v>
      </c>
      <c r="I34" s="499">
        <v>5714884.3200000012</v>
      </c>
      <c r="J34" s="499">
        <v>8513698.9799999986</v>
      </c>
      <c r="K34" s="499">
        <v>6665322.2000000011</v>
      </c>
      <c r="L34" s="499">
        <v>7562688.5300000003</v>
      </c>
      <c r="M34" s="499">
        <v>7220462.919999999</v>
      </c>
      <c r="N34" s="499"/>
      <c r="O34" s="499"/>
      <c r="P34" s="499"/>
      <c r="Q34" s="499"/>
      <c r="R34" s="148"/>
      <c r="S34" s="227">
        <f t="shared" si="6"/>
        <v>40083603.810000002</v>
      </c>
      <c r="T34" s="436">
        <f t="shared" si="5"/>
        <v>0.50620198029929919</v>
      </c>
      <c r="U34" s="472"/>
    </row>
    <row r="35" spans="1:23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499">
        <v>1721.01</v>
      </c>
      <c r="H35" s="499">
        <v>948846.46</v>
      </c>
      <c r="I35" s="499">
        <v>3236889.07</v>
      </c>
      <c r="J35" s="499">
        <v>2562919.08</v>
      </c>
      <c r="K35" s="499">
        <v>2313041.1300000004</v>
      </c>
      <c r="L35" s="499">
        <v>3214980.1100000008</v>
      </c>
      <c r="M35" s="499">
        <v>2619371.9699999997</v>
      </c>
      <c r="N35" s="499"/>
      <c r="O35" s="499"/>
      <c r="P35" s="499"/>
      <c r="Q35" s="499"/>
      <c r="R35" s="148"/>
      <c r="S35" s="227">
        <f t="shared" si="6"/>
        <v>14897768.830000002</v>
      </c>
      <c r="T35" s="436">
        <f t="shared" si="5"/>
        <v>0.18813877413651578</v>
      </c>
      <c r="U35" s="472"/>
    </row>
    <row r="36" spans="1:23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499">
        <v>3788619.5500000003</v>
      </c>
      <c r="H36" s="499">
        <v>3320549.13</v>
      </c>
      <c r="I36" s="499">
        <v>24471807.800000004</v>
      </c>
      <c r="J36" s="499">
        <v>33272514.920000002</v>
      </c>
      <c r="K36" s="499">
        <v>10340576.27</v>
      </c>
      <c r="L36" s="499">
        <v>5428174.1699999999</v>
      </c>
      <c r="M36" s="499">
        <v>4924646.78</v>
      </c>
      <c r="N36" s="499"/>
      <c r="O36" s="499"/>
      <c r="P36" s="499"/>
      <c r="Q36" s="499"/>
      <c r="R36" s="148"/>
      <c r="S36" s="227">
        <f>+SUM(G36:R36)</f>
        <v>85546888.620000005</v>
      </c>
      <c r="T36" s="436">
        <f t="shared" si="5"/>
        <v>1.08034209282061</v>
      </c>
      <c r="U36" s="472"/>
    </row>
    <row r="37" spans="1:23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499">
        <v>17739.240000000002</v>
      </c>
      <c r="H37" s="499">
        <v>658913.61</v>
      </c>
      <c r="I37" s="499">
        <v>1423673.45</v>
      </c>
      <c r="J37" s="499">
        <v>1026043.0900000001</v>
      </c>
      <c r="K37" s="499">
        <v>804963.72</v>
      </c>
      <c r="L37" s="499">
        <v>1422017.38</v>
      </c>
      <c r="M37" s="499">
        <v>1142860.7000000002</v>
      </c>
      <c r="N37" s="499"/>
      <c r="O37" s="499"/>
      <c r="P37" s="499"/>
      <c r="Q37" s="499"/>
      <c r="R37" s="148"/>
      <c r="S37" s="227">
        <f t="shared" si="6"/>
        <v>6496211.1899999995</v>
      </c>
      <c r="T37" s="436">
        <f t="shared" si="5"/>
        <v>8.203840613752604E-2</v>
      </c>
      <c r="U37" s="472"/>
    </row>
    <row r="38" spans="1:23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499">
        <v>651862.93000000028</v>
      </c>
      <c r="H38" s="499">
        <v>4133251.8899999955</v>
      </c>
      <c r="I38" s="499">
        <v>6084455.6400000043</v>
      </c>
      <c r="J38" s="499">
        <v>6925339.3099999968</v>
      </c>
      <c r="K38" s="499">
        <v>4645561.2300000014</v>
      </c>
      <c r="L38" s="499">
        <v>5186790.0599999968</v>
      </c>
      <c r="M38" s="499">
        <v>6248831.4699999951</v>
      </c>
      <c r="N38" s="499"/>
      <c r="O38" s="499"/>
      <c r="P38" s="499"/>
      <c r="Q38" s="499"/>
      <c r="R38" s="148"/>
      <c r="S38" s="227">
        <f t="shared" si="6"/>
        <v>33876092.529999986</v>
      </c>
      <c r="T38" s="436">
        <f t="shared" si="5"/>
        <v>0.42780946555534488</v>
      </c>
      <c r="U38" s="472"/>
    </row>
    <row r="39" spans="1:23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499">
        <v>430001.24</v>
      </c>
      <c r="H39" s="499">
        <v>2094834.1499999992</v>
      </c>
      <c r="I39" s="499">
        <v>7275150.3600000003</v>
      </c>
      <c r="J39" s="499">
        <v>5903186.0800000001</v>
      </c>
      <c r="K39" s="499">
        <v>4254741.9099999992</v>
      </c>
      <c r="L39" s="499">
        <v>10322038.519999998</v>
      </c>
      <c r="M39" s="499">
        <v>8804540.0299999975</v>
      </c>
      <c r="N39" s="499"/>
      <c r="O39" s="499"/>
      <c r="P39" s="499"/>
      <c r="Q39" s="499"/>
      <c r="R39" s="148"/>
      <c r="S39" s="227">
        <f t="shared" si="6"/>
        <v>39084492.289999992</v>
      </c>
      <c r="T39" s="436">
        <f t="shared" si="5"/>
        <v>0.49358454618930347</v>
      </c>
      <c r="U39" s="472"/>
    </row>
    <row r="40" spans="1:23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82168714.539999962</v>
      </c>
      <c r="H40" s="178">
        <f t="shared" ref="H40:L40" si="13">+SUM(H41:H45)</f>
        <v>94353481.819999963</v>
      </c>
      <c r="I40" s="178">
        <f t="shared" si="13"/>
        <v>92708075.590000004</v>
      </c>
      <c r="J40" s="178">
        <f t="shared" si="13"/>
        <v>90295472.180000007</v>
      </c>
      <c r="K40" s="178">
        <f t="shared" si="13"/>
        <v>90668144.410000026</v>
      </c>
      <c r="L40" s="178">
        <f t="shared" si="13"/>
        <v>93416914.150000006</v>
      </c>
      <c r="M40" s="178">
        <f t="shared" ref="M40:R40" si="14">+SUM(M41:M45)</f>
        <v>92684341.479999989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636295144.16999996</v>
      </c>
      <c r="T40" s="529">
        <f t="shared" si="5"/>
        <v>8.0355514828566008</v>
      </c>
      <c r="U40" s="472"/>
    </row>
    <row r="41" spans="1:23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499">
        <v>19200151.200000003</v>
      </c>
      <c r="H41" s="499">
        <v>22395140.600000005</v>
      </c>
      <c r="I41" s="499">
        <v>21236495.860000007</v>
      </c>
      <c r="J41" s="499">
        <v>19874612.220000003</v>
      </c>
      <c r="K41" s="499">
        <v>19545034.68</v>
      </c>
      <c r="L41" s="499">
        <v>20328527.629999995</v>
      </c>
      <c r="M41" s="499">
        <v>20317695.200000003</v>
      </c>
      <c r="N41" s="499"/>
      <c r="O41" s="499"/>
      <c r="P41" s="499"/>
      <c r="Q41" s="499"/>
      <c r="R41" s="148"/>
      <c r="S41" s="227">
        <f t="shared" si="6"/>
        <v>142897657.39000005</v>
      </c>
      <c r="T41" s="436">
        <f t="shared" si="5"/>
        <v>1.804605132158869</v>
      </c>
      <c r="U41" s="472"/>
    </row>
    <row r="42" spans="1:23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499">
        <v>37260</v>
      </c>
      <c r="H42" s="499">
        <v>2149155.9300000002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/>
      <c r="O42" s="499"/>
      <c r="P42" s="499"/>
      <c r="Q42" s="499"/>
      <c r="R42" s="148"/>
      <c r="S42" s="227">
        <f t="shared" si="6"/>
        <v>12755105.01</v>
      </c>
      <c r="T42" s="436">
        <f t="shared" si="5"/>
        <v>0.16107981322220116</v>
      </c>
      <c r="U42" s="472"/>
    </row>
    <row r="43" spans="1:23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499">
        <v>62931303.339999951</v>
      </c>
      <c r="H43" s="499">
        <v>65497529.849999964</v>
      </c>
      <c r="I43" s="499">
        <v>65458140.899999991</v>
      </c>
      <c r="J43" s="499">
        <v>65623487.379999995</v>
      </c>
      <c r="K43" s="499">
        <v>65646943.670000017</v>
      </c>
      <c r="L43" s="499">
        <v>66986411.460000008</v>
      </c>
      <c r="M43" s="499">
        <v>66789126.959999993</v>
      </c>
      <c r="N43" s="499"/>
      <c r="O43" s="499"/>
      <c r="P43" s="499"/>
      <c r="Q43" s="499"/>
      <c r="R43" s="148"/>
      <c r="S43" s="227">
        <f t="shared" si="6"/>
        <v>458932943.55999988</v>
      </c>
      <c r="T43" s="436">
        <f t="shared" si="5"/>
        <v>5.7957055447370065</v>
      </c>
      <c r="U43" s="472"/>
    </row>
    <row r="44" spans="1:23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499">
        <v>0</v>
      </c>
      <c r="H44" s="499">
        <v>2943314.7199999993</v>
      </c>
      <c r="I44" s="499">
        <v>1831981</v>
      </c>
      <c r="J44" s="499">
        <v>1453855.4</v>
      </c>
      <c r="K44" s="499">
        <v>1873268.4400000002</v>
      </c>
      <c r="L44" s="499">
        <v>2688499.0300000003</v>
      </c>
      <c r="M44" s="499">
        <v>2207282.3800000004</v>
      </c>
      <c r="N44" s="499"/>
      <c r="O44" s="499"/>
      <c r="P44" s="499"/>
      <c r="Q44" s="499"/>
      <c r="R44" s="148"/>
      <c r="S44" s="227">
        <f t="shared" si="6"/>
        <v>12998200.970000001</v>
      </c>
      <c r="T44" s="436">
        <f t="shared" si="5"/>
        <v>0.16414978809117889</v>
      </c>
      <c r="U44" s="472"/>
    </row>
    <row r="45" spans="1:23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499">
        <v>0</v>
      </c>
      <c r="H45" s="499">
        <v>1368340.72</v>
      </c>
      <c r="I45" s="499">
        <v>2013570.3699999987</v>
      </c>
      <c r="J45" s="499">
        <v>1200730.3399999999</v>
      </c>
      <c r="K45" s="499">
        <v>1511614.4000000004</v>
      </c>
      <c r="L45" s="499">
        <v>1320942.9999999998</v>
      </c>
      <c r="M45" s="499">
        <v>1296038.4099999999</v>
      </c>
      <c r="N45" s="499"/>
      <c r="O45" s="499"/>
      <c r="P45" s="499"/>
      <c r="Q45" s="499"/>
      <c r="R45" s="148"/>
      <c r="S45" s="227">
        <f t="shared" si="6"/>
        <v>8711237.2399999984</v>
      </c>
      <c r="T45" s="436">
        <f t="shared" si="5"/>
        <v>0.1100112046473448</v>
      </c>
      <c r="U45" s="472"/>
    </row>
    <row r="46" spans="1:23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4939745.53</v>
      </c>
      <c r="H46" s="160">
        <v>29118491.300000001</v>
      </c>
      <c r="I46" s="160">
        <v>48389791.06000001</v>
      </c>
      <c r="J46" s="160">
        <v>36213748.170000002</v>
      </c>
      <c r="K46" s="160">
        <v>42197619.030000001</v>
      </c>
      <c r="L46" s="160">
        <v>42288285.969999999</v>
      </c>
      <c r="M46" s="160">
        <v>33408551.100000001</v>
      </c>
      <c r="N46" s="160"/>
      <c r="O46" s="160"/>
      <c r="P46" s="160"/>
      <c r="Q46" s="160"/>
      <c r="R46" s="160"/>
      <c r="S46" s="521">
        <f t="shared" si="6"/>
        <v>236556232.16000003</v>
      </c>
      <c r="T46" s="522">
        <f t="shared" si="5"/>
        <v>2.9873869061059546</v>
      </c>
      <c r="U46" s="472"/>
    </row>
    <row r="47" spans="1:23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125800.66000000002</v>
      </c>
      <c r="H47" s="160">
        <v>11702685.83</v>
      </c>
      <c r="I47" s="160">
        <v>20240491.23</v>
      </c>
      <c r="J47" s="160">
        <v>33567503.510000005</v>
      </c>
      <c r="K47" s="160">
        <v>10208587.779999999</v>
      </c>
      <c r="L47" s="160">
        <v>33636049.24000001</v>
      </c>
      <c r="M47" s="160">
        <v>21211124.43</v>
      </c>
      <c r="N47" s="160"/>
      <c r="O47" s="160"/>
      <c r="P47" s="160"/>
      <c r="Q47" s="160"/>
      <c r="R47" s="160"/>
      <c r="S47" s="521">
        <f t="shared" si="6"/>
        <v>130692242.68000001</v>
      </c>
      <c r="T47" s="522">
        <f t="shared" si="5"/>
        <v>1.6504671677716738</v>
      </c>
      <c r="U47" s="472"/>
      <c r="V47" s="292"/>
      <c r="W47" s="292"/>
    </row>
    <row r="48" spans="1:23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499">
        <v>0</v>
      </c>
      <c r="H49" s="499">
        <v>209850</v>
      </c>
      <c r="I49" s="499">
        <v>4097639.84</v>
      </c>
      <c r="J49" s="499">
        <v>60894.41</v>
      </c>
      <c r="K49" s="499">
        <v>22681.05</v>
      </c>
      <c r="L49" s="499">
        <v>196545.28999999998</v>
      </c>
      <c r="M49" s="499">
        <v>28857.670000000002</v>
      </c>
      <c r="N49" s="499"/>
      <c r="O49" s="499"/>
      <c r="P49" s="499"/>
      <c r="Q49" s="499"/>
      <c r="R49" s="148"/>
      <c r="S49" s="227">
        <f t="shared" si="6"/>
        <v>4616468.26</v>
      </c>
      <c r="T49" s="436">
        <f t="shared" si="5"/>
        <v>5.829978228199785E-2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5.1301672791564057E-2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1050360.83</v>
      </c>
      <c r="H51" s="430">
        <v>2197777.1399999997</v>
      </c>
      <c r="I51" s="430">
        <v>2187252.5500000003</v>
      </c>
      <c r="J51" s="430">
        <v>1823733.3700000003</v>
      </c>
      <c r="K51" s="430">
        <v>1744824.6599999997</v>
      </c>
      <c r="L51" s="430">
        <v>1298140.2</v>
      </c>
      <c r="M51" s="430">
        <v>3502289.3</v>
      </c>
      <c r="N51" s="430"/>
      <c r="O51" s="430"/>
      <c r="P51" s="430"/>
      <c r="Q51" s="430"/>
      <c r="R51" s="430"/>
      <c r="S51" s="398">
        <f>+SUM(G51:R51)</f>
        <v>13804378.049999997</v>
      </c>
      <c r="T51" s="440">
        <f t="shared" si="5"/>
        <v>0.17433071983330173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15">+G10-G29</f>
        <v>2360184.0100000501</v>
      </c>
      <c r="H53" s="136">
        <f t="shared" si="15"/>
        <v>-34410023.460000008</v>
      </c>
      <c r="I53" s="136">
        <f t="shared" si="15"/>
        <v>-33168118.120000064</v>
      </c>
      <c r="J53" s="136">
        <f t="shared" si="15"/>
        <v>32573357.779999971</v>
      </c>
      <c r="K53" s="136">
        <f t="shared" si="15"/>
        <v>-36551180.570000023</v>
      </c>
      <c r="L53" s="136">
        <f t="shared" si="15"/>
        <v>-41497151.360000044</v>
      </c>
      <c r="M53" s="136">
        <f t="shared" si="15"/>
        <v>13479310.910000026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-97213620.810000092</v>
      </c>
      <c r="T53" s="531">
        <f t="shared" si="5"/>
        <v>-1.227677221822316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6">+G53+G36</f>
        <v>6148803.5600000508</v>
      </c>
      <c r="H54" s="190">
        <f t="shared" si="16"/>
        <v>-31089474.330000009</v>
      </c>
      <c r="I54" s="190">
        <f t="shared" si="16"/>
        <v>-8696310.3200000599</v>
      </c>
      <c r="J54" s="190">
        <f t="shared" si="16"/>
        <v>65845872.699999973</v>
      </c>
      <c r="K54" s="190">
        <f t="shared" si="16"/>
        <v>-26210604.300000023</v>
      </c>
      <c r="L54" s="190">
        <f t="shared" si="16"/>
        <v>-36068977.190000042</v>
      </c>
      <c r="M54" s="190">
        <f t="shared" si="16"/>
        <v>18403957.690000027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-11666732.190000083</v>
      </c>
      <c r="T54" s="531">
        <f t="shared" si="5"/>
        <v>-0.14733512900170592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49335423.139999986</v>
      </c>
      <c r="L55" s="178">
        <f t="shared" si="18"/>
        <v>38233496.119999997</v>
      </c>
      <c r="M55" s="178">
        <f t="shared" ref="M55:R55" si="19">+SUM(M56:M57)</f>
        <v>34467856.200000003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708124721.62000012</v>
      </c>
      <c r="T55" s="533">
        <f t="shared" si="5"/>
        <v>8.9426623933825855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554">
        <v>1984895.29</v>
      </c>
      <c r="H56" s="554">
        <v>1705490.1300000001</v>
      </c>
      <c r="I56" s="554">
        <v>4420486.6500000004</v>
      </c>
      <c r="J56" s="554">
        <v>2049822.2300000002</v>
      </c>
      <c r="K56" s="554">
        <v>2795674.8899999997</v>
      </c>
      <c r="L56" s="554">
        <v>15431758.250000002</v>
      </c>
      <c r="M56" s="554">
        <v>1723907.95</v>
      </c>
      <c r="N56" s="554"/>
      <c r="O56" s="554"/>
      <c r="P56" s="554"/>
      <c r="Q56" s="554"/>
      <c r="R56" s="196"/>
      <c r="S56" s="235">
        <f t="shared" si="6"/>
        <v>30112035.390000004</v>
      </c>
      <c r="T56" s="444">
        <f t="shared" si="5"/>
        <v>0.380274488728926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554">
        <v>32635767.399999999</v>
      </c>
      <c r="H57" s="554">
        <v>6574864.2100000009</v>
      </c>
      <c r="I57" s="554">
        <v>31402266.420000002</v>
      </c>
      <c r="J57" s="554">
        <v>505314353.83000004</v>
      </c>
      <c r="K57" s="554">
        <v>46539748.249999985</v>
      </c>
      <c r="L57" s="554">
        <v>22801737.869999997</v>
      </c>
      <c r="M57" s="554">
        <v>32743948.25</v>
      </c>
      <c r="N57" s="554"/>
      <c r="O57" s="554"/>
      <c r="P57" s="554"/>
      <c r="Q57" s="554"/>
      <c r="R57" s="196"/>
      <c r="S57" s="235">
        <f t="shared" si="6"/>
        <v>678012686.23000002</v>
      </c>
      <c r="T57" s="444">
        <f t="shared" si="5"/>
        <v>8.5623879046536597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1266816.8499999999</v>
      </c>
      <c r="N58" s="432"/>
      <c r="O58" s="432"/>
      <c r="P58" s="432"/>
      <c r="Q58" s="432"/>
      <c r="R58" s="432"/>
      <c r="S58" s="532">
        <f>SUM(G58:R58)</f>
        <v>2669683.2699999996</v>
      </c>
      <c r="T58" s="534">
        <f t="shared" si="5"/>
        <v>3.3714507419334461E-2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/>
      <c r="O59" s="499"/>
      <c r="P59" s="499"/>
      <c r="Q59" s="499"/>
      <c r="R59" s="432"/>
      <c r="S59" s="532">
        <f>SUM(G59:R59)</f>
        <v>5560979.2999999998</v>
      </c>
      <c r="T59" s="534">
        <f t="shared" si="5"/>
        <v>7.0227685799078107E-2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-32260478.679999948</v>
      </c>
      <c r="H60" s="202">
        <f t="shared" ref="H60:S60" si="20">+H53-H55-H58-H59</f>
        <v>-44168599.800000012</v>
      </c>
      <c r="I60" s="202">
        <f t="shared" si="20"/>
        <v>-71489767.730000064</v>
      </c>
      <c r="J60" s="202">
        <f t="shared" si="20"/>
        <v>-475583370.5800001</v>
      </c>
      <c r="K60" s="202">
        <f t="shared" si="20"/>
        <v>-86655137.580000013</v>
      </c>
      <c r="L60" s="202">
        <f t="shared" si="20"/>
        <v>-80868327.540000051</v>
      </c>
      <c r="M60" s="202">
        <f t="shared" si="20"/>
        <v>-22543323.089999977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-813569005.00000012</v>
      </c>
      <c r="T60" s="535">
        <f t="shared" si="5"/>
        <v>-10.274281808423314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32260478.679999948</v>
      </c>
      <c r="H61" s="136">
        <f t="shared" ref="H61:L61" si="21">+SUM(H62:H66)</f>
        <v>44168599.800000012</v>
      </c>
      <c r="I61" s="136">
        <f t="shared" si="21"/>
        <v>71489767.730000064</v>
      </c>
      <c r="J61" s="136">
        <f t="shared" si="21"/>
        <v>475583370.5800001</v>
      </c>
      <c r="K61" s="136">
        <f t="shared" si="21"/>
        <v>86655137.580000013</v>
      </c>
      <c r="L61" s="136">
        <f t="shared" si="21"/>
        <v>80868327.540000051</v>
      </c>
      <c r="M61" s="136">
        <f t="shared" ref="M61:R61" si="22">+SUM(M62:M66)</f>
        <v>22543323.089999977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813569005.00000036</v>
      </c>
      <c r="T61" s="537">
        <f t="shared" si="5"/>
        <v>10.274281808423318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/>
      <c r="O62" s="554"/>
      <c r="P62" s="554"/>
      <c r="Q62" s="554"/>
      <c r="R62" s="196"/>
      <c r="S62" s="235">
        <f t="shared" si="6"/>
        <v>6127675</v>
      </c>
      <c r="T62" s="444">
        <f t="shared" si="5"/>
        <v>7.7384289953905408E-2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554">
        <v>1824723.8699999999</v>
      </c>
      <c r="H63" s="554">
        <v>12400327.83</v>
      </c>
      <c r="I63" s="554">
        <v>2228432.89</v>
      </c>
      <c r="J63" s="554">
        <v>871882214.53000009</v>
      </c>
      <c r="K63" s="554">
        <v>12938616.979999999</v>
      </c>
      <c r="L63" s="554">
        <v>16815414.879999999</v>
      </c>
      <c r="M63" s="555">
        <v>1155170.92</v>
      </c>
      <c r="N63" s="554"/>
      <c r="O63" s="554"/>
      <c r="P63" s="554"/>
      <c r="Q63" s="554"/>
      <c r="R63" s="196"/>
      <c r="S63" s="235">
        <f t="shared" si="6"/>
        <v>919244901.9000001</v>
      </c>
      <c r="T63" s="444">
        <f t="shared" si="5"/>
        <v>11.608826190566395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/>
      <c r="O64" s="554"/>
      <c r="P64" s="554"/>
      <c r="Q64" s="554"/>
      <c r="R64" s="196"/>
      <c r="S64" s="235">
        <f t="shared" si="6"/>
        <v>1088415.21</v>
      </c>
      <c r="T64" s="444">
        <f t="shared" si="5"/>
        <v>1.3745219549157037E-2</v>
      </c>
    </row>
    <row r="65" spans="1:20">
      <c r="A65" s="129">
        <v>73</v>
      </c>
      <c r="B65" s="567" t="s">
        <v>101</v>
      </c>
      <c r="C65" s="568"/>
      <c r="D65" s="568"/>
      <c r="E65" s="568"/>
      <c r="F65" s="568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>
        <v>3116777.48</v>
      </c>
      <c r="N65" s="160"/>
      <c r="O65" s="160"/>
      <c r="P65" s="160"/>
      <c r="Q65" s="160"/>
      <c r="R65" s="160"/>
      <c r="S65" s="228">
        <f t="shared" si="6"/>
        <v>12671489.130000001</v>
      </c>
      <c r="T65" s="437">
        <f t="shared" si="5"/>
        <v>0.16002385716991854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27395423.659999948</v>
      </c>
      <c r="H66" s="210">
        <f t="shared" ref="H66:L66" si="23">-H60-SUM(H62:H65)</f>
        <v>30656654.930000011</v>
      </c>
      <c r="I66" s="210">
        <f t="shared" si="23"/>
        <v>68581223.150000066</v>
      </c>
      <c r="J66" s="210">
        <f t="shared" si="23"/>
        <v>-398353874.00000006</v>
      </c>
      <c r="K66" s="210">
        <f t="shared" si="23"/>
        <v>72685226.24000001</v>
      </c>
      <c r="L66" s="210">
        <f t="shared" si="23"/>
        <v>55364636.390000053</v>
      </c>
      <c r="M66" s="210">
        <f t="shared" ref="M66:S66" si="24">-M60-SUM(M62:M65)</f>
        <v>18107233.389999978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-125563476.24000001</v>
      </c>
      <c r="T66" s="448">
        <f t="shared" si="5"/>
        <v>-1.5856977488160637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2025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221">
        <v>7918500000</v>
      </c>
    </row>
    <row r="84" spans="1:25" ht="15.75" customHeight="1">
      <c r="B84" s="641"/>
      <c r="C84" s="642"/>
      <c r="D84" s="642"/>
      <c r="E84" s="642"/>
      <c r="F84" s="643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47" t="str">
        <f>+Master!G247</f>
        <v>Jan - Dec</v>
      </c>
      <c r="T84" s="649">
        <f>+T8</f>
        <v>0</v>
      </c>
    </row>
    <row r="85" spans="1:25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36.447218539874711</v>
      </c>
      <c r="U86" s="243"/>
    </row>
    <row r="87" spans="1:25">
      <c r="A87" s="105" t="str">
        <f t="shared" si="27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27.575664702036285</v>
      </c>
    </row>
    <row r="88" spans="1:25">
      <c r="A88" s="105" t="str">
        <f t="shared" si="27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1.3679799683486709</v>
      </c>
    </row>
    <row r="89" spans="1:25">
      <c r="A89" s="105" t="str">
        <f t="shared" si="27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4758743.22</v>
      </c>
      <c r="H89" s="77">
        <v>4914823.2626296896</v>
      </c>
      <c r="I89" s="77">
        <v>72553471.511286497</v>
      </c>
      <c r="J89" s="77">
        <v>106836454.224443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219862849.24098608</v>
      </c>
      <c r="T89" s="436">
        <f t="shared" si="29"/>
        <v>2.7765719421732156</v>
      </c>
    </row>
    <row r="90" spans="1:25">
      <c r="A90" s="105" t="str">
        <f t="shared" si="27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17.334002651964806</v>
      </c>
    </row>
    <row r="92" spans="1:25">
      <c r="A92" s="105" t="str">
        <f t="shared" si="27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5.0956620572078046</v>
      </c>
      <c r="W92" s="242"/>
      <c r="X92" s="242"/>
      <c r="Y92" s="242"/>
    </row>
    <row r="93" spans="1:25">
      <c r="A93" s="105" t="str">
        <f t="shared" si="27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0.80814533836165103</v>
      </c>
    </row>
    <row r="94" spans="1:25">
      <c r="A94" s="105" t="str">
        <f t="shared" si="27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0.19330274398013358</v>
      </c>
    </row>
    <row r="95" spans="1:25">
      <c r="A95" s="105" t="str">
        <f t="shared" si="27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5.6709139593001661</v>
      </c>
    </row>
    <row r="96" spans="1:25">
      <c r="A96" s="105" t="str">
        <f t="shared" si="27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5.0178559997651213</v>
      </c>
      <c r="V96" s="292"/>
    </row>
    <row r="97" spans="1:22">
      <c r="A97" s="105" t="str">
        <f t="shared" si="27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7.5771926555904465E-2</v>
      </c>
    </row>
    <row r="98" spans="1:22">
      <c r="A98" s="105" t="str">
        <f t="shared" si="27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0.32834501488566575</v>
      </c>
    </row>
    <row r="99" spans="1:22">
      <c r="A99" s="105" t="str">
        <f t="shared" si="27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0.24894101809347469</v>
      </c>
    </row>
    <row r="100" spans="1:22">
      <c r="A100" s="105" t="str">
        <f t="shared" si="27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0.22466337087069907</v>
      </c>
    </row>
    <row r="101" spans="1:22">
      <c r="A101" s="105" t="str">
        <f t="shared" si="27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0.93683282857156391</v>
      </c>
    </row>
    <row r="102" spans="1:22">
      <c r="A102" s="105" t="str">
        <f t="shared" si="27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0.6600946167735966</v>
      </c>
    </row>
    <row r="103" spans="1:22">
      <c r="A103" s="105" t="str">
        <f t="shared" si="27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1.379049062322409</v>
      </c>
    </row>
    <row r="105" spans="1:22" ht="13.5" thickBot="1">
      <c r="A105" s="105" t="str">
        <f t="shared" si="27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505">
        <f t="shared" ref="G105:R105" si="30">+G106+G116+G122+SUM(G123:G127)</f>
        <v>211236224.61000001</v>
      </c>
      <c r="H105" s="505">
        <f t="shared" si="30"/>
        <v>234904209.56</v>
      </c>
      <c r="I105" s="505">
        <f t="shared" si="30"/>
        <v>268084271.89999998</v>
      </c>
      <c r="J105" s="505">
        <f t="shared" si="30"/>
        <v>271983159.92000002</v>
      </c>
      <c r="K105" s="505">
        <f t="shared" si="30"/>
        <v>239166268.83999997</v>
      </c>
      <c r="L105" s="505">
        <f t="shared" si="30"/>
        <v>250480398.60000002</v>
      </c>
      <c r="M105" s="505">
        <f t="shared" si="30"/>
        <v>256378355.32999995</v>
      </c>
      <c r="N105" s="505">
        <f t="shared" si="30"/>
        <v>220819261.00000003</v>
      </c>
      <c r="O105" s="505">
        <f t="shared" si="30"/>
        <v>270591517.11999995</v>
      </c>
      <c r="P105" s="505">
        <f t="shared" si="30"/>
        <v>265743558.72</v>
      </c>
      <c r="Q105" s="505">
        <f t="shared" si="30"/>
        <v>262012238.51999995</v>
      </c>
      <c r="R105" s="505">
        <f t="shared" si="30"/>
        <v>412818902.18499994</v>
      </c>
      <c r="S105" s="548">
        <f>+SUM(G105:R105)</f>
        <v>3164218366.3049994</v>
      </c>
      <c r="T105" s="549">
        <f t="shared" si="29"/>
        <v>39.959820247584759</v>
      </c>
    </row>
    <row r="106" spans="1:22">
      <c r="A106" s="105" t="str">
        <f t="shared" si="2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511">
        <f t="shared" ref="G106" si="31">+SUM(G107:G115)</f>
        <v>80179073.160000026</v>
      </c>
      <c r="H106" s="511">
        <f t="shared" ref="H106:R106" si="32">+SUM(H107:H115)</f>
        <v>85369477.120000005</v>
      </c>
      <c r="I106" s="511">
        <f t="shared" si="32"/>
        <v>117430024.57999998</v>
      </c>
      <c r="J106" s="511">
        <f t="shared" si="32"/>
        <v>111771454.75</v>
      </c>
      <c r="K106" s="511">
        <f t="shared" si="32"/>
        <v>100285882.77999999</v>
      </c>
      <c r="L106" s="511">
        <f t="shared" si="32"/>
        <v>94353477</v>
      </c>
      <c r="M106" s="511">
        <f t="shared" si="32"/>
        <v>95032056.649999976</v>
      </c>
      <c r="N106" s="511">
        <f t="shared" si="32"/>
        <v>89599157.060000002</v>
      </c>
      <c r="O106" s="511">
        <f t="shared" si="32"/>
        <v>110989694.22999999</v>
      </c>
      <c r="P106" s="511">
        <f t="shared" si="32"/>
        <v>107501724.17999998</v>
      </c>
      <c r="Q106" s="511">
        <f t="shared" si="32"/>
        <v>106933053.46999997</v>
      </c>
      <c r="R106" s="512">
        <f t="shared" si="32"/>
        <v>156280296.685</v>
      </c>
      <c r="S106" s="542">
        <f t="shared" si="28"/>
        <v>1255725371.6649997</v>
      </c>
      <c r="T106" s="519">
        <f t="shared" si="29"/>
        <v>15.858121761255283</v>
      </c>
      <c r="V106" s="275"/>
    </row>
    <row r="107" spans="1:22">
      <c r="A107" s="105" t="str">
        <f t="shared" si="27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56135492.740000024</v>
      </c>
      <c r="H107" s="77">
        <v>59047491.199999981</v>
      </c>
      <c r="I107" s="77">
        <v>58514884.909999982</v>
      </c>
      <c r="J107" s="77">
        <v>60497556.229999982</v>
      </c>
      <c r="K107" s="77">
        <v>60514987.979999982</v>
      </c>
      <c r="L107" s="77">
        <v>60517104.439999983</v>
      </c>
      <c r="M107" s="77">
        <v>60506341.469999984</v>
      </c>
      <c r="N107" s="77">
        <v>60512263.949999988</v>
      </c>
      <c r="O107" s="77">
        <v>60506331.229999974</v>
      </c>
      <c r="P107" s="77">
        <v>60505659.619999975</v>
      </c>
      <c r="Q107" s="77">
        <v>60504946.429999985</v>
      </c>
      <c r="R107" s="77">
        <v>60212707.489999995</v>
      </c>
      <c r="S107" s="101">
        <f t="shared" si="28"/>
        <v>717975767.68999982</v>
      </c>
      <c r="T107" s="436">
        <f t="shared" si="29"/>
        <v>9.0670678498452961</v>
      </c>
    </row>
    <row r="108" spans="1:22">
      <c r="A108" s="105" t="str">
        <f t="shared" si="27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1756735.0200000005</v>
      </c>
      <c r="H108" s="77">
        <v>2007086.4100000001</v>
      </c>
      <c r="I108" s="77">
        <v>2263809.8699999992</v>
      </c>
      <c r="J108" s="77">
        <v>2111717.46</v>
      </c>
      <c r="K108" s="77">
        <v>2015158.8899999994</v>
      </c>
      <c r="L108" s="77">
        <v>2049900.9899999998</v>
      </c>
      <c r="M108" s="77">
        <v>2030489.8499999996</v>
      </c>
      <c r="N108" s="77">
        <v>1929225.4199999995</v>
      </c>
      <c r="O108" s="77">
        <v>2070793.0899999996</v>
      </c>
      <c r="P108" s="77">
        <v>2032613.7699999996</v>
      </c>
      <c r="Q108" s="77">
        <v>1988655.0999999994</v>
      </c>
      <c r="R108" s="77">
        <v>2093300.905</v>
      </c>
      <c r="S108" s="101">
        <f t="shared" si="28"/>
        <v>24349486.774999995</v>
      </c>
      <c r="T108" s="436">
        <f t="shared" si="29"/>
        <v>0.30750125370966719</v>
      </c>
    </row>
    <row r="109" spans="1:22">
      <c r="A109" s="105" t="str">
        <f t="shared" si="27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1797331.5399999998</v>
      </c>
      <c r="H109" s="77">
        <v>2059853.9899999995</v>
      </c>
      <c r="I109" s="77">
        <v>4747994.3400000026</v>
      </c>
      <c r="J109" s="77">
        <v>4363693.88</v>
      </c>
      <c r="K109" s="77">
        <v>3402748.160000002</v>
      </c>
      <c r="L109" s="77">
        <v>3769260.350000002</v>
      </c>
      <c r="M109" s="77">
        <v>4195178.4600000009</v>
      </c>
      <c r="N109" s="77">
        <v>3497789.4099999997</v>
      </c>
      <c r="O109" s="77">
        <v>5208631.060000008</v>
      </c>
      <c r="P109" s="77">
        <v>4231104.8699999982</v>
      </c>
      <c r="Q109" s="77">
        <v>3945556.2200000007</v>
      </c>
      <c r="R109" s="77">
        <v>8767787.660000002</v>
      </c>
      <c r="S109" s="101">
        <f t="shared" si="28"/>
        <v>49986929.940000013</v>
      </c>
      <c r="T109" s="436">
        <f t="shared" si="29"/>
        <v>0.63126766357264652</v>
      </c>
    </row>
    <row r="110" spans="1:22">
      <c r="A110" s="105" t="str">
        <f t="shared" si="27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4142017.4700000025</v>
      </c>
      <c r="H110" s="77">
        <v>3949104.120000002</v>
      </c>
      <c r="I110" s="77">
        <v>8807965.9300000016</v>
      </c>
      <c r="J110" s="77">
        <v>8593058.2600000054</v>
      </c>
      <c r="K110" s="77">
        <v>6014081.8800000027</v>
      </c>
      <c r="L110" s="77">
        <v>7815871.950000003</v>
      </c>
      <c r="M110" s="77">
        <v>8272378.2699999996</v>
      </c>
      <c r="N110" s="77">
        <v>5190892.16</v>
      </c>
      <c r="O110" s="77">
        <v>5516441.8700000029</v>
      </c>
      <c r="P110" s="77">
        <v>8096417.4600000018</v>
      </c>
      <c r="Q110" s="77">
        <v>9806407.3699999973</v>
      </c>
      <c r="R110" s="77">
        <v>24688851.140999999</v>
      </c>
      <c r="S110" s="101">
        <f t="shared" si="28"/>
        <v>100893487.88100001</v>
      </c>
      <c r="T110" s="436">
        <f t="shared" si="29"/>
        <v>1.2741489913620005</v>
      </c>
    </row>
    <row r="111" spans="1:22">
      <c r="A111" s="105" t="str">
        <f t="shared" si="27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2424675.0799999996</v>
      </c>
      <c r="H111" s="77">
        <v>3033187.83</v>
      </c>
      <c r="I111" s="77">
        <v>2717633.6299999994</v>
      </c>
      <c r="J111" s="77">
        <v>3285284.4000000004</v>
      </c>
      <c r="K111" s="77">
        <v>2743194.66</v>
      </c>
      <c r="L111" s="77">
        <v>3194128.9400000004</v>
      </c>
      <c r="M111" s="77">
        <v>3150952.77</v>
      </c>
      <c r="N111" s="77">
        <v>3743091.37</v>
      </c>
      <c r="O111" s="77">
        <v>3253060.6399999997</v>
      </c>
      <c r="P111" s="77">
        <v>3772905.1399999992</v>
      </c>
      <c r="Q111" s="77">
        <v>3713343.8</v>
      </c>
      <c r="R111" s="77">
        <v>7908265.3499999987</v>
      </c>
      <c r="S111" s="101">
        <f t="shared" si="28"/>
        <v>42939723.609999999</v>
      </c>
      <c r="T111" s="436">
        <f t="shared" si="29"/>
        <v>0.54227093022668427</v>
      </c>
    </row>
    <row r="112" spans="1:22">
      <c r="A112" s="105" t="str">
        <f t="shared" si="27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3805233.67</v>
      </c>
      <c r="H112" s="77">
        <v>3578253.08</v>
      </c>
      <c r="I112" s="77">
        <v>25813966.890000001</v>
      </c>
      <c r="J112" s="77">
        <v>21694612.899999999</v>
      </c>
      <c r="K112" s="77">
        <v>12888618.540000001</v>
      </c>
      <c r="L112" s="77">
        <v>7054881.1500000022</v>
      </c>
      <c r="M112" s="77">
        <v>4625091.8600000013</v>
      </c>
      <c r="N112" s="77">
        <v>5331542.2600000007</v>
      </c>
      <c r="O112" s="77">
        <v>23589775.02</v>
      </c>
      <c r="P112" s="77">
        <v>14779701.98</v>
      </c>
      <c r="Q112" s="77">
        <v>10334631.460000001</v>
      </c>
      <c r="R112" s="77">
        <v>26025668.690000001</v>
      </c>
      <c r="S112" s="101">
        <f t="shared" si="28"/>
        <v>159521977.5</v>
      </c>
      <c r="T112" s="436">
        <f t="shared" si="29"/>
        <v>2.0145479257435119</v>
      </c>
    </row>
    <row r="113" spans="1:21">
      <c r="A113" s="105" t="str">
        <f t="shared" si="27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1094967.51</v>
      </c>
      <c r="H113" s="77">
        <v>1081221.8299999994</v>
      </c>
      <c r="I113" s="77">
        <v>1169208.6800000006</v>
      </c>
      <c r="J113" s="77">
        <v>1104523.2700000005</v>
      </c>
      <c r="K113" s="77">
        <v>1131023.2700000007</v>
      </c>
      <c r="L113" s="77">
        <v>1104492.9300000002</v>
      </c>
      <c r="M113" s="77">
        <v>1104014.9300000002</v>
      </c>
      <c r="N113" s="77">
        <v>1094491.8900000001</v>
      </c>
      <c r="O113" s="77">
        <v>1096302.6800000002</v>
      </c>
      <c r="P113" s="77">
        <v>1093543.2100000002</v>
      </c>
      <c r="Q113" s="77">
        <v>1094459.8800000001</v>
      </c>
      <c r="R113" s="77">
        <v>1090003.1400000011</v>
      </c>
      <c r="S113" s="101">
        <f t="shared" si="28"/>
        <v>13258253.220000004</v>
      </c>
      <c r="T113" s="436">
        <f t="shared" si="29"/>
        <v>0.1674338980867589</v>
      </c>
    </row>
    <row r="114" spans="1:21">
      <c r="A114" s="105" t="str">
        <f t="shared" si="27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5746355.0200000005</v>
      </c>
      <c r="H114" s="77">
        <v>6000915.620000001</v>
      </c>
      <c r="I114" s="77">
        <v>4378900.540000001</v>
      </c>
      <c r="J114" s="77">
        <v>3866824.29</v>
      </c>
      <c r="K114" s="77">
        <v>3645748.38</v>
      </c>
      <c r="L114" s="77">
        <v>4114321.09</v>
      </c>
      <c r="M114" s="77">
        <v>4322479.209999999</v>
      </c>
      <c r="N114" s="77">
        <v>4473690.01</v>
      </c>
      <c r="O114" s="77">
        <v>5432451.6199999992</v>
      </c>
      <c r="P114" s="77">
        <v>7094172.6400000015</v>
      </c>
      <c r="Q114" s="77">
        <v>9152045.2799999975</v>
      </c>
      <c r="R114" s="77">
        <v>10728356.800000004</v>
      </c>
      <c r="S114" s="101">
        <f t="shared" si="28"/>
        <v>68956260.5</v>
      </c>
      <c r="T114" s="436">
        <f t="shared" si="29"/>
        <v>0.87082478373429317</v>
      </c>
    </row>
    <row r="115" spans="1:21">
      <c r="A115" s="105" t="str">
        <f t="shared" si="27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3276265.1100000013</v>
      </c>
      <c r="H115" s="77">
        <v>4612363.0400000019</v>
      </c>
      <c r="I115" s="77">
        <v>9015659.7899999991</v>
      </c>
      <c r="J115" s="77">
        <v>6254184.0600000015</v>
      </c>
      <c r="K115" s="77">
        <v>7930321.0199999996</v>
      </c>
      <c r="L115" s="77">
        <v>4733515.16</v>
      </c>
      <c r="M115" s="77">
        <v>6825129.8300000019</v>
      </c>
      <c r="N115" s="77">
        <v>3826170.5899999994</v>
      </c>
      <c r="O115" s="77">
        <v>4315907.0200000005</v>
      </c>
      <c r="P115" s="77">
        <v>5895605.4900000067</v>
      </c>
      <c r="Q115" s="77">
        <v>6393007.9300000006</v>
      </c>
      <c r="R115" s="77">
        <v>14765355.509</v>
      </c>
      <c r="S115" s="101">
        <f t="shared" si="28"/>
        <v>77843484.54900001</v>
      </c>
      <c r="T115" s="436">
        <f t="shared" si="29"/>
        <v>0.98305846497442706</v>
      </c>
    </row>
    <row r="116" spans="1:21">
      <c r="A116" s="105" t="str">
        <f t="shared" si="27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507">
        <f t="shared" ref="G116:R116" si="33">+SUM(G117:G121)</f>
        <v>86392001.569999993</v>
      </c>
      <c r="H116" s="507">
        <f t="shared" si="33"/>
        <v>94581114.409999996</v>
      </c>
      <c r="I116" s="507">
        <f t="shared" si="33"/>
        <v>84307968.950000018</v>
      </c>
      <c r="J116" s="507">
        <f t="shared" si="33"/>
        <v>88892587.659999996</v>
      </c>
      <c r="K116" s="507">
        <f t="shared" si="33"/>
        <v>88384140.230000004</v>
      </c>
      <c r="L116" s="507">
        <f t="shared" si="33"/>
        <v>88846142.960000008</v>
      </c>
      <c r="M116" s="507">
        <f t="shared" si="33"/>
        <v>89278533.219999984</v>
      </c>
      <c r="N116" s="507">
        <f t="shared" si="33"/>
        <v>89238627.989999995</v>
      </c>
      <c r="O116" s="507">
        <f t="shared" si="33"/>
        <v>89137761.069999993</v>
      </c>
      <c r="P116" s="507">
        <f t="shared" si="33"/>
        <v>89363805.640000001</v>
      </c>
      <c r="Q116" s="507">
        <f t="shared" si="33"/>
        <v>89298590.510000005</v>
      </c>
      <c r="R116" s="507">
        <f t="shared" si="33"/>
        <v>90280310.429999992</v>
      </c>
      <c r="S116" s="546">
        <f t="shared" si="28"/>
        <v>1068001584.6400001</v>
      </c>
      <c r="T116" s="522">
        <f t="shared" si="29"/>
        <v>13.487422929090107</v>
      </c>
    </row>
    <row r="117" spans="1:21">
      <c r="A117" s="105" t="str">
        <f t="shared" si="27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499">
        <v>19200151.200000003</v>
      </c>
      <c r="H117" s="499">
        <v>22628380.109999999</v>
      </c>
      <c r="I117" s="499">
        <v>14565687.030000001</v>
      </c>
      <c r="J117" s="499">
        <v>18346642.420000002</v>
      </c>
      <c r="K117" s="499">
        <v>18346642.420000002</v>
      </c>
      <c r="L117" s="499">
        <v>18350642.420000002</v>
      </c>
      <c r="M117" s="499">
        <v>18346642.420000002</v>
      </c>
      <c r="N117" s="499">
        <v>18346642.420000002</v>
      </c>
      <c r="O117" s="499">
        <v>18346642.420000002</v>
      </c>
      <c r="P117" s="499">
        <v>18346642.420000002</v>
      </c>
      <c r="Q117" s="499">
        <v>18346642.420000002</v>
      </c>
      <c r="R117" s="499">
        <v>18368642.299999997</v>
      </c>
      <c r="S117" s="101">
        <f t="shared" si="28"/>
        <v>221540000.00000006</v>
      </c>
      <c r="T117" s="436">
        <f t="shared" si="29"/>
        <v>2.7977520995137972</v>
      </c>
    </row>
    <row r="118" spans="1:21">
      <c r="A118" s="105" t="str">
        <f t="shared" si="27"/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499">
        <v>2213718.67</v>
      </c>
      <c r="H118" s="499">
        <v>2230218.67</v>
      </c>
      <c r="I118" s="499">
        <v>2253586.37</v>
      </c>
      <c r="J118" s="499">
        <v>2274717.66</v>
      </c>
      <c r="K118" s="499">
        <v>2239410.62</v>
      </c>
      <c r="L118" s="499">
        <v>2246098.89</v>
      </c>
      <c r="M118" s="499">
        <v>2274717.66</v>
      </c>
      <c r="N118" s="499">
        <v>2237086.37</v>
      </c>
      <c r="O118" s="499">
        <v>2240348.58</v>
      </c>
      <c r="P118" s="499">
        <v>2255442.8600000003</v>
      </c>
      <c r="Q118" s="499">
        <v>2264704.7000000002</v>
      </c>
      <c r="R118" s="499">
        <v>2266249.9500000002</v>
      </c>
      <c r="S118" s="101">
        <f t="shared" si="28"/>
        <v>26996301</v>
      </c>
      <c r="T118" s="436">
        <f t="shared" si="29"/>
        <v>0.34092695586285282</v>
      </c>
    </row>
    <row r="119" spans="1:21">
      <c r="A119" s="105" t="str">
        <f t="shared" si="27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9.8150569380564505</v>
      </c>
    </row>
    <row r="120" spans="1:21">
      <c r="A120" s="105" t="str">
        <f t="shared" si="27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499">
        <v>1296116.4099999999</v>
      </c>
      <c r="H120" s="499">
        <v>2492958.5700000003</v>
      </c>
      <c r="I120" s="499">
        <v>1988435.53</v>
      </c>
      <c r="J120" s="499">
        <v>1904853.6400000001</v>
      </c>
      <c r="K120" s="499">
        <v>1750586.83</v>
      </c>
      <c r="L120" s="499">
        <v>1838301.37</v>
      </c>
      <c r="M120" s="499">
        <v>2255237.94</v>
      </c>
      <c r="N120" s="499">
        <v>2476077.38</v>
      </c>
      <c r="O120" s="499">
        <v>2017779.69</v>
      </c>
      <c r="P120" s="499">
        <v>2411631.87</v>
      </c>
      <c r="Q120" s="499">
        <v>2067622.5</v>
      </c>
      <c r="R120" s="499">
        <v>3060398.27</v>
      </c>
      <c r="S120" s="101">
        <f t="shared" si="28"/>
        <v>25560000.000000004</v>
      </c>
      <c r="T120" s="436">
        <f t="shared" si="29"/>
        <v>0.32278840689524535</v>
      </c>
      <c r="U120" s="243"/>
    </row>
    <row r="121" spans="1:21">
      <c r="A121" s="105" t="str">
        <f t="shared" si="27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1103945.73</v>
      </c>
      <c r="L121" s="499">
        <v>1467545.6500000001</v>
      </c>
      <c r="M121" s="499">
        <v>1458380.57</v>
      </c>
      <c r="N121" s="499">
        <v>1235267.19</v>
      </c>
      <c r="O121" s="499">
        <v>1589435.75</v>
      </c>
      <c r="P121" s="499">
        <v>1406533.8599999999</v>
      </c>
      <c r="Q121" s="499">
        <v>1676066.2599999998</v>
      </c>
      <c r="R121" s="499">
        <v>1641465.3199999998</v>
      </c>
      <c r="S121" s="101">
        <f t="shared" si="28"/>
        <v>16700000</v>
      </c>
      <c r="T121" s="436">
        <f t="shared" si="29"/>
        <v>0.21089852876176046</v>
      </c>
      <c r="U121" s="243"/>
    </row>
    <row r="122" spans="1:21">
      <c r="A122" s="105" t="str">
        <f t="shared" si="2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510">
        <v>24931013.689999998</v>
      </c>
      <c r="H122" s="510">
        <v>31180928.069999997</v>
      </c>
      <c r="I122" s="510">
        <v>39918580.100000001</v>
      </c>
      <c r="J122" s="510">
        <v>40676903.800000004</v>
      </c>
      <c r="K122" s="510">
        <v>29994454.979999997</v>
      </c>
      <c r="L122" s="510">
        <v>44921912.290000007</v>
      </c>
      <c r="M122" s="510">
        <v>39798592.359999999</v>
      </c>
      <c r="N122" s="510">
        <v>25912246.900000006</v>
      </c>
      <c r="O122" s="510">
        <v>35907613.540000007</v>
      </c>
      <c r="P122" s="510">
        <v>33699136.390000001</v>
      </c>
      <c r="Q122" s="510">
        <v>32226924.029999997</v>
      </c>
      <c r="R122" s="510">
        <v>67235988.709999993</v>
      </c>
      <c r="S122" s="546">
        <f>+SUM(G122:R122)</f>
        <v>446404294.86000001</v>
      </c>
      <c r="T122" s="522">
        <f t="shared" si="29"/>
        <v>5.6374855699943174</v>
      </c>
      <c r="U122" s="243"/>
    </row>
    <row r="123" spans="1:21">
      <c r="A123" s="105" t="str">
        <f t="shared" si="2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510">
        <v>5501947.6000000006</v>
      </c>
      <c r="H123" s="510">
        <v>13559201.519999998</v>
      </c>
      <c r="I123" s="510">
        <v>20399713.319999993</v>
      </c>
      <c r="J123" s="510">
        <v>25745571.160000011</v>
      </c>
      <c r="K123" s="510">
        <v>15614229.359999996</v>
      </c>
      <c r="L123" s="510">
        <v>17136236.030000009</v>
      </c>
      <c r="M123" s="510">
        <v>26831930.680000003</v>
      </c>
      <c r="N123" s="510">
        <v>12551879.530000005</v>
      </c>
      <c r="O123" s="510">
        <v>30540650.899999999</v>
      </c>
      <c r="P123" s="510">
        <v>31370855.230000012</v>
      </c>
      <c r="Q123" s="510">
        <v>29504258.710000005</v>
      </c>
      <c r="R123" s="510">
        <v>94133149.759999976</v>
      </c>
      <c r="S123" s="546">
        <f>+SUM(G123:R123)</f>
        <v>322889623.80000001</v>
      </c>
      <c r="T123" s="522">
        <f t="shared" si="29"/>
        <v>4.0776614737639711</v>
      </c>
      <c r="U123" s="243"/>
    </row>
    <row r="124" spans="1:21">
      <c r="A124" s="105" t="str">
        <f t="shared" si="27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0.54987687061943546</v>
      </c>
      <c r="U125" s="243"/>
    </row>
    <row r="126" spans="1:21">
      <c r="A126" s="105" t="str">
        <f t="shared" si="27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5.1777533623792373E-2</v>
      </c>
      <c r="U126" s="243"/>
    </row>
    <row r="127" spans="1:21">
      <c r="A127" s="106" t="str">
        <f t="shared" si="27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502">
        <v>2082188.5899999999</v>
      </c>
      <c r="H127" s="501">
        <v>2163488.44</v>
      </c>
      <c r="I127" s="501">
        <v>3283784.5499999984</v>
      </c>
      <c r="J127" s="501">
        <v>2152442.1499999985</v>
      </c>
      <c r="K127" s="501">
        <v>2143361.0899999985</v>
      </c>
      <c r="L127" s="501">
        <v>2478429.92</v>
      </c>
      <c r="M127" s="501">
        <v>2693042.0200000005</v>
      </c>
      <c r="N127" s="501">
        <v>773149.11999999965</v>
      </c>
      <c r="O127" s="501">
        <v>1271596.98</v>
      </c>
      <c r="P127" s="501">
        <v>1063836.8799999992</v>
      </c>
      <c r="Q127" s="501">
        <v>1305211.3999999999</v>
      </c>
      <c r="R127" s="501">
        <v>2144956.1999999997</v>
      </c>
      <c r="S127" s="92">
        <f>+SUM(G127:R127)</f>
        <v>23555487.339999992</v>
      </c>
      <c r="T127" s="444">
        <f t="shared" si="29"/>
        <v>0.29747410923786061</v>
      </c>
      <c r="U127" s="243"/>
    </row>
    <row r="128" spans="1:21" ht="13.5" thickBot="1">
      <c r="A128" s="105" t="str">
        <f t="shared" si="27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504">
        <f t="shared" ref="G129:R129" si="34">+G86-G105</f>
        <v>-55070863.040000051</v>
      </c>
      <c r="H129" s="505">
        <f t="shared" si="34"/>
        <v>-48438434.947298497</v>
      </c>
      <c r="I129" s="504">
        <f t="shared" si="34"/>
        <v>-17303118.139224499</v>
      </c>
      <c r="J129" s="504">
        <f t="shared" si="34"/>
        <v>45151774.289589822</v>
      </c>
      <c r="K129" s="504">
        <f t="shared" si="34"/>
        <v>-30469294.758635521</v>
      </c>
      <c r="L129" s="504">
        <f t="shared" si="34"/>
        <v>-10162713.438242584</v>
      </c>
      <c r="M129" s="504">
        <f t="shared" si="34"/>
        <v>-12074440.568551838</v>
      </c>
      <c r="N129" s="504">
        <f t="shared" si="34"/>
        <v>42018300.073196143</v>
      </c>
      <c r="O129" s="504">
        <f t="shared" si="34"/>
        <v>-17166538.36333555</v>
      </c>
      <c r="P129" s="504">
        <f t="shared" si="34"/>
        <v>-3575779.3739515245</v>
      </c>
      <c r="Q129" s="504">
        <f t="shared" si="34"/>
        <v>-21305603.359269947</v>
      </c>
      <c r="R129" s="504">
        <f t="shared" si="34"/>
        <v>-149748654.59929624</v>
      </c>
      <c r="S129" s="550">
        <f t="shared" si="28"/>
        <v>-278145366.22502029</v>
      </c>
      <c r="T129" s="531">
        <f t="shared" si="29"/>
        <v>-3.5126017077100493</v>
      </c>
      <c r="U129" s="243"/>
    </row>
    <row r="130" spans="1:21" ht="13.5" thickBot="1">
      <c r="A130" s="106" t="str">
        <f t="shared" si="27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506">
        <f>+G129+G112</f>
        <v>-51265629.370000049</v>
      </c>
      <c r="H130" s="506">
        <f t="shared" ref="H130:R130" si="35">+H129+H112</f>
        <v>-44860181.867298499</v>
      </c>
      <c r="I130" s="506">
        <f t="shared" si="35"/>
        <v>8510848.7507755011</v>
      </c>
      <c r="J130" s="506">
        <f t="shared" si="35"/>
        <v>66846387.189589821</v>
      </c>
      <c r="K130" s="506">
        <f t="shared" si="35"/>
        <v>-17580676.218635522</v>
      </c>
      <c r="L130" s="506">
        <f t="shared" si="35"/>
        <v>-3107832.2882425822</v>
      </c>
      <c r="M130" s="506">
        <f t="shared" si="35"/>
        <v>-7449348.7085518371</v>
      </c>
      <c r="N130" s="506">
        <f t="shared" si="35"/>
        <v>47349842.333196141</v>
      </c>
      <c r="O130" s="506">
        <f t="shared" si="35"/>
        <v>6423236.6566644497</v>
      </c>
      <c r="P130" s="506">
        <f t="shared" si="35"/>
        <v>11203922.606048476</v>
      </c>
      <c r="Q130" s="506">
        <f t="shared" si="35"/>
        <v>-10970971.899269946</v>
      </c>
      <c r="R130" s="506">
        <f t="shared" si="35"/>
        <v>-123722985.90929624</v>
      </c>
      <c r="S130" s="550">
        <f t="shared" si="28"/>
        <v>-118623388.72502029</v>
      </c>
      <c r="T130" s="531">
        <f t="shared" si="29"/>
        <v>-1.4980537819665378</v>
      </c>
      <c r="U130" s="243"/>
    </row>
    <row r="131" spans="1:21">
      <c r="A131" s="106" t="str">
        <f t="shared" si="27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507">
        <f>+SUM(G132:G133)</f>
        <v>34629783.640000001</v>
      </c>
      <c r="H131" s="507">
        <f t="shared" ref="H131:R131" si="36">+SUM(H132:H133)</f>
        <v>9258152.0600000005</v>
      </c>
      <c r="I131" s="507">
        <f t="shared" si="36"/>
        <v>37277725.75</v>
      </c>
      <c r="J131" s="507">
        <f t="shared" si="36"/>
        <v>509032718.42000002</v>
      </c>
      <c r="K131" s="507">
        <f t="shared" si="36"/>
        <v>51424972.890000001</v>
      </c>
      <c r="L131" s="507">
        <f t="shared" si="36"/>
        <v>38999380.129999995</v>
      </c>
      <c r="M131" s="508">
        <f t="shared" si="36"/>
        <v>34464831.550000004</v>
      </c>
      <c r="N131" s="507">
        <f t="shared" si="36"/>
        <v>12238304.779999999</v>
      </c>
      <c r="O131" s="507">
        <f t="shared" si="36"/>
        <v>26363598.969999999</v>
      </c>
      <c r="P131" s="507">
        <f t="shared" si="36"/>
        <v>15223291.52</v>
      </c>
      <c r="Q131" s="507">
        <f t="shared" si="36"/>
        <v>24879249.909999996</v>
      </c>
      <c r="R131" s="507">
        <f t="shared" si="36"/>
        <v>27119636.140000001</v>
      </c>
      <c r="S131" s="551">
        <f t="shared" si="28"/>
        <v>820911645.75999987</v>
      </c>
      <c r="T131" s="533">
        <f t="shared" si="29"/>
        <v>10.367009481088589</v>
      </c>
      <c r="U131" s="243"/>
    </row>
    <row r="132" spans="1:21">
      <c r="A132" s="106" t="str">
        <f t="shared" si="27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0.71707576889562419</v>
      </c>
      <c r="U132" s="243"/>
    </row>
    <row r="133" spans="1:21" ht="13.5" thickBot="1">
      <c r="A133" s="106" t="str">
        <f t="shared" si="27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502">
        <v>32635767.399999999</v>
      </c>
      <c r="H133" s="502">
        <v>7549940.29</v>
      </c>
      <c r="I133" s="502">
        <v>32857062.23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9.6499337121929631</v>
      </c>
      <c r="U133" s="243"/>
    </row>
    <row r="134" spans="1:21" ht="13.5" thickBot="1">
      <c r="A134" s="106" t="str">
        <f t="shared" si="27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0.43196318242091308</v>
      </c>
      <c r="U134" s="243"/>
    </row>
    <row r="135" spans="1:21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500">
        <v>0</v>
      </c>
      <c r="H135" s="500">
        <v>1500000</v>
      </c>
      <c r="I135" s="500">
        <v>780000.59999999986</v>
      </c>
      <c r="J135" s="500">
        <v>780000.59999999986</v>
      </c>
      <c r="K135" s="500">
        <v>780000.59999999986</v>
      </c>
      <c r="L135" s="500">
        <v>780000.59999999986</v>
      </c>
      <c r="M135" s="500">
        <v>180000.6</v>
      </c>
      <c r="N135" s="500">
        <v>180000.6</v>
      </c>
      <c r="O135" s="500">
        <v>780000.59999999986</v>
      </c>
      <c r="P135" s="500">
        <v>780000.59999999986</v>
      </c>
      <c r="Q135" s="500">
        <v>480000.60000000003</v>
      </c>
      <c r="R135" s="500">
        <v>480000.60000000003</v>
      </c>
      <c r="S135" s="550">
        <f t="shared" si="28"/>
        <v>7500005.9999999963</v>
      </c>
      <c r="T135" s="531">
        <f t="shared" si="29"/>
        <v>9.4714983898465568E-2</v>
      </c>
      <c r="U135" s="243"/>
    </row>
    <row r="136" spans="1:21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509">
        <f>+G129-G131-G134-G135</f>
        <v>-89700646.680000052</v>
      </c>
      <c r="H136" s="509">
        <f t="shared" ref="H136:R136" si="37">+H129-H131-H134-H135</f>
        <v>-59201587.007298499</v>
      </c>
      <c r="I136" s="509">
        <f t="shared" si="37"/>
        <v>-58780844.8492245</v>
      </c>
      <c r="J136" s="509">
        <f t="shared" si="37"/>
        <v>-468080945.09041023</v>
      </c>
      <c r="K136" s="509">
        <f t="shared" si="37"/>
        <v>-86094268.608635515</v>
      </c>
      <c r="L136" s="509">
        <f t="shared" si="37"/>
        <v>-53362094.528242581</v>
      </c>
      <c r="M136" s="509">
        <f t="shared" si="37"/>
        <v>-50139273.078551844</v>
      </c>
      <c r="N136" s="509">
        <f t="shared" si="37"/>
        <v>26179994.333196141</v>
      </c>
      <c r="O136" s="509">
        <f t="shared" si="37"/>
        <v>-47730138.29333555</v>
      </c>
      <c r="P136" s="509">
        <f t="shared" si="37"/>
        <v>-22999071.853951525</v>
      </c>
      <c r="Q136" s="509">
        <f t="shared" si="37"/>
        <v>-50084854.229269944</v>
      </c>
      <c r="R136" s="509">
        <f t="shared" si="37"/>
        <v>-180768292.69929627</v>
      </c>
      <c r="S136" s="552">
        <f t="shared" si="28"/>
        <v>-1140762022.5850205</v>
      </c>
      <c r="T136" s="535">
        <f t="shared" si="29"/>
        <v>-14.406289355118021</v>
      </c>
      <c r="U136" s="243"/>
    </row>
    <row r="137" spans="1:21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504">
        <f t="shared" ref="G137" si="38">+SUM(G138:G142)</f>
        <v>89700646.680000052</v>
      </c>
      <c r="H137" s="504">
        <f t="shared" ref="H137:R137" si="39">+SUM(H138:H142)</f>
        <v>59201587.007298499</v>
      </c>
      <c r="I137" s="504">
        <f t="shared" si="39"/>
        <v>58780844.8492245</v>
      </c>
      <c r="J137" s="504">
        <f t="shared" si="39"/>
        <v>468080945.09041023</v>
      </c>
      <c r="K137" s="504">
        <f t="shared" si="39"/>
        <v>86094268.608635515</v>
      </c>
      <c r="L137" s="504">
        <f t="shared" si="39"/>
        <v>53362094.528242581</v>
      </c>
      <c r="M137" s="504">
        <f t="shared" si="39"/>
        <v>50139273.078551844</v>
      </c>
      <c r="N137" s="504">
        <f t="shared" si="39"/>
        <v>-26179994.333196141</v>
      </c>
      <c r="O137" s="504">
        <f t="shared" si="39"/>
        <v>47730138.29333555</v>
      </c>
      <c r="P137" s="504">
        <f t="shared" si="39"/>
        <v>22999071.853951525</v>
      </c>
      <c r="Q137" s="504">
        <f t="shared" si="39"/>
        <v>50084854.229269944</v>
      </c>
      <c r="R137" s="504">
        <f t="shared" si="39"/>
        <v>180768292.69929627</v>
      </c>
      <c r="S137" s="553">
        <f t="shared" si="28"/>
        <v>1140762022.5850205</v>
      </c>
      <c r="T137" s="537">
        <f t="shared" si="29"/>
        <v>14.406289355118021</v>
      </c>
      <c r="U137" s="243"/>
    </row>
    <row r="138" spans="1:21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35014118.590000004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28"/>
        <v>35014118.590000004</v>
      </c>
      <c r="T138" s="444">
        <f t="shared" si="29"/>
        <v>0.44218120338447942</v>
      </c>
      <c r="U138" s="243"/>
    </row>
    <row r="139" spans="1:21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502">
        <v>0</v>
      </c>
      <c r="H139" s="502">
        <v>0</v>
      </c>
      <c r="I139" s="502">
        <v>0</v>
      </c>
      <c r="J139" s="502">
        <v>850000000</v>
      </c>
      <c r="K139" s="502">
        <v>0</v>
      </c>
      <c r="L139" s="502">
        <v>0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850000000</v>
      </c>
      <c r="T139" s="444">
        <f t="shared" si="29"/>
        <v>10.734356254341099</v>
      </c>
      <c r="U139" s="243"/>
    </row>
    <row r="140" spans="1:21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7.5771926501231296E-2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0.12310291090484309</v>
      </c>
      <c r="U141" s="243"/>
    </row>
    <row r="142" spans="1:21" ht="13.5" thickBot="1">
      <c r="A142" s="106" t="str">
        <f t="shared" ref="A142" si="4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89119124.34348534</v>
      </c>
      <c r="H142" s="86">
        <f t="shared" ref="H142:R142" si="41">-H136-SUM(H138:H141)</f>
        <v>58255613.894182786</v>
      </c>
      <c r="I142" s="86">
        <f t="shared" si="41"/>
        <v>57977697.339923441</v>
      </c>
      <c r="J142" s="86">
        <f t="shared" si="41"/>
        <v>-382830726.20150948</v>
      </c>
      <c r="K142" s="86">
        <f t="shared" si="41"/>
        <v>84641049.798458472</v>
      </c>
      <c r="L142" s="86">
        <f t="shared" si="41"/>
        <v>16317045.345546715</v>
      </c>
      <c r="M142" s="86">
        <f t="shared" si="41"/>
        <v>49480553.214294419</v>
      </c>
      <c r="N142" s="86">
        <f>-N136-SUM(N138:N141)</f>
        <v>-28207447.298324399</v>
      </c>
      <c r="O142" s="86">
        <f>-O136-SUM(O138:O141)</f>
        <v>47013701.483625539</v>
      </c>
      <c r="P142" s="86">
        <f t="shared" si="41"/>
        <v>22235885.1641916</v>
      </c>
      <c r="Q142" s="86">
        <f t="shared" si="41"/>
        <v>47881261.753553711</v>
      </c>
      <c r="R142" s="86">
        <f t="shared" si="41"/>
        <v>178116241.15759218</v>
      </c>
      <c r="S142" s="94">
        <f>+SUM(G142:R142)</f>
        <v>239999999.99502033</v>
      </c>
      <c r="T142" s="448">
        <f t="shared" si="29"/>
        <v>3.030877059986365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0jjPLTIfGJigTMQDDNw2/eJ0aoi1xjIKkPf5BxDm8PyqvRRFq+UpZ/vMwFb4RVLWAyP1oczQoNrkVk17prbQOA==" saltValue="wtTklIPMA+2nszTBFp9BKQ==" spinCount="100000" sheet="1" objects="1" scenarios="1"/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2023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6963615000</v>
      </c>
    </row>
    <row r="8" spans="1:24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4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83" t="s">
        <v>101</v>
      </c>
      <c r="C65" s="584"/>
      <c r="D65" s="584"/>
      <c r="E65" s="584"/>
      <c r="F65" s="584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2023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6624340418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2022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5796761000</v>
      </c>
    </row>
    <row r="8" spans="1:23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3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7" t="str">
        <f>+VLOOKUP($A28,Master!$D$30:$G$226,4,FALSE)</f>
        <v>Donacije i transferi</v>
      </c>
      <c r="C28" s="568"/>
      <c r="D28" s="568"/>
      <c r="E28" s="568"/>
      <c r="F28" s="568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7" t="str">
        <f>+VLOOKUP($A63,Master!$D$30:$G$226,4,FALSE)</f>
        <v>Pozajmice i krediti od inostranih izvora</v>
      </c>
      <c r="C63" s="608"/>
      <c r="D63" s="608"/>
      <c r="E63" s="608"/>
      <c r="F63" s="608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3" t="s">
        <v>101</v>
      </c>
      <c r="C65" s="584"/>
      <c r="D65" s="584"/>
      <c r="E65" s="584"/>
      <c r="F65" s="584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2022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5700400000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5" t="str">
        <f>+VLOOKUP(LEFT($A135,LEN(A135)-1)*1,Master!$D$30:$G$226,4,FALSE)</f>
        <v>Nedostajuća sredstva</v>
      </c>
      <c r="C135" s="616"/>
      <c r="D135" s="616"/>
      <c r="E135" s="616"/>
      <c r="F135" s="616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3" t="str">
        <f>+VLOOKUP(LEFT($A136,LEN(A136)-1)*1,Master!$D$30:$G$226,4,FALSE)</f>
        <v>Finansiranje</v>
      </c>
      <c r="C136" s="614"/>
      <c r="D136" s="614"/>
      <c r="E136" s="614"/>
      <c r="F136" s="61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7" t="str">
        <f>+VLOOKUP(LEFT($A137,LEN(A137)-1)*1,Master!$D$30:$G$226,4,FALSE)</f>
        <v>Pozajmice i krediti od domaćih izvora</v>
      </c>
      <c r="C137" s="618"/>
      <c r="D137" s="618"/>
      <c r="E137" s="618"/>
      <c r="F137" s="618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9" t="str">
        <f>+VLOOKUP(LEFT($A138,LEN(A138)-1)*1,Master!$D$30:$G$226,4,FALSE)</f>
        <v>Pozajmice i krediti od inostranih izvora</v>
      </c>
      <c r="C138" s="620"/>
      <c r="D138" s="620"/>
      <c r="E138" s="620"/>
      <c r="F138" s="62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9" t="str">
        <f>+VLOOKUP(LEFT($A139,LEN(A139)-1)*1,Master!$D$30:$G$226,4,FALSE)</f>
        <v>Primici od prodaje imovine</v>
      </c>
      <c r="C139" s="620"/>
      <c r="D139" s="620"/>
      <c r="E139" s="620"/>
      <c r="F139" s="62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2021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4955116000</v>
      </c>
    </row>
    <row r="8" spans="1:22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2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9" t="str">
        <f>+VLOOKUP($A19,Master!$D$30:$G$226,4,FALSE)</f>
        <v>Doprinosi</v>
      </c>
      <c r="C19" s="570"/>
      <c r="D19" s="570"/>
      <c r="E19" s="570"/>
      <c r="F19" s="57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60" t="str">
        <f>+VLOOKUP($A39,Master!$D$30:$G$226,4,FALSE)</f>
        <v>Ostali izdaci</v>
      </c>
      <c r="C39" s="661"/>
      <c r="D39" s="661"/>
      <c r="E39" s="661"/>
      <c r="F39" s="661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9" t="str">
        <f>+VLOOKUP($A59,Master!$D$30:$G$226,4,FALSE)</f>
        <v>Nedostajuća sredstva</v>
      </c>
      <c r="C59" s="610"/>
      <c r="D59" s="610"/>
      <c r="E59" s="610"/>
      <c r="F59" s="610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3" t="str">
        <f>+VLOOKUP($A60,Master!$D$30:$G$226,4,FALSE)</f>
        <v>Finansiranje</v>
      </c>
      <c r="C60" s="574"/>
      <c r="D60" s="574"/>
      <c r="E60" s="574"/>
      <c r="F60" s="574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7" t="str">
        <f>+VLOOKUP($A61,Master!$D$30:$G$226,4,FALSE)</f>
        <v>Pozajmice i krediti od domaćih izvora</v>
      </c>
      <c r="C61" s="608"/>
      <c r="D61" s="608"/>
      <c r="E61" s="608"/>
      <c r="F61" s="608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3" t="str">
        <f>+VLOOKUP($A62,Master!$D$30:$G$226,4,FALSE)</f>
        <v>Pozajmice i krediti od inostranih izvora</v>
      </c>
      <c r="C62" s="584"/>
      <c r="D62" s="584"/>
      <c r="E62" s="584"/>
      <c r="F62" s="584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3" t="str">
        <f>+VLOOKUP($A63,Master!$D$30:$G$226,4,FALSE)</f>
        <v>Primici od prodaje imovine</v>
      </c>
      <c r="C63" s="584"/>
      <c r="D63" s="584"/>
      <c r="E63" s="584"/>
      <c r="F63" s="584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9" t="str">
        <f>+Master!G253</f>
        <v>Plan ostvarenja budžeta</v>
      </c>
      <c r="C81" s="640"/>
      <c r="D81" s="640"/>
      <c r="E81" s="640"/>
      <c r="F81" s="640"/>
      <c r="G81" s="647">
        <v>2021</v>
      </c>
      <c r="H81" s="648"/>
      <c r="I81" s="648"/>
      <c r="J81" s="648"/>
      <c r="K81" s="648"/>
      <c r="L81" s="648"/>
      <c r="M81" s="648"/>
      <c r="N81" s="648"/>
      <c r="O81" s="648"/>
      <c r="P81" s="648"/>
      <c r="Q81" s="648"/>
      <c r="R81" s="649"/>
      <c r="S81" s="96" t="str">
        <f>+S7</f>
        <v>BDP</v>
      </c>
      <c r="T81" s="97">
        <v>4636600000</v>
      </c>
    </row>
    <row r="82" spans="1:21" ht="15.75" customHeight="1">
      <c r="B82" s="641"/>
      <c r="C82" s="642"/>
      <c r="D82" s="642"/>
      <c r="E82" s="642"/>
      <c r="F82" s="64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7" t="str">
        <f>+Master!G247</f>
        <v>Jan - Dec</v>
      </c>
      <c r="T82" s="649">
        <f>+T8</f>
        <v>0</v>
      </c>
    </row>
    <row r="83" spans="1:21" ht="13.5" thickBot="1">
      <c r="B83" s="644"/>
      <c r="C83" s="645"/>
      <c r="D83" s="645"/>
      <c r="E83" s="645"/>
      <c r="F83" s="64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2" t="str">
        <f>+VLOOKUP(LEFT($A84,LEN(A84)-1)*1,Master!$D$30:$G$226,4,FALSE)</f>
        <v>Prihodi budžeta</v>
      </c>
      <c r="C84" s="663"/>
      <c r="D84" s="663"/>
      <c r="E84" s="663"/>
      <c r="F84" s="663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7" t="str">
        <f>+VLOOKUP(LEFT($A85,LEN(A85)-1)*1,Master!$D$30:$G$226,4,FALSE)</f>
        <v>Porezi</v>
      </c>
      <c r="C85" s="638"/>
      <c r="D85" s="638"/>
      <c r="E85" s="638"/>
      <c r="F85" s="638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9" t="str">
        <f>+VLOOKUP(LEFT($A86,LEN(A86)-1)*1,Master!$D$30:$G$229,4,FALSE)</f>
        <v>Porez na dohodak fizičkih lica</v>
      </c>
      <c r="C86" s="630"/>
      <c r="D86" s="630"/>
      <c r="E86" s="630"/>
      <c r="F86" s="630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9" t="str">
        <f>+VLOOKUP(LEFT($A87,LEN(A87)-1)*1,Master!$D$30:$G$229,4,FALSE)</f>
        <v>Porez na dobit pravnih lica</v>
      </c>
      <c r="C87" s="630"/>
      <c r="D87" s="630"/>
      <c r="E87" s="630"/>
      <c r="F87" s="630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9" t="str">
        <f>+VLOOKUP(LEFT($A88,LEN(A88)-1)*1,Master!$D$30:$G$229,4,FALSE)</f>
        <v>Porez na promet nepokretnosti</v>
      </c>
      <c r="C88" s="630"/>
      <c r="D88" s="630"/>
      <c r="E88" s="630"/>
      <c r="F88" s="630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9" t="str">
        <f>+VLOOKUP(LEFT($A89,LEN(A89)-1)*1,Master!$D$30:$G$229,4,FALSE)</f>
        <v>Porez na dodatu vrijednost</v>
      </c>
      <c r="C89" s="630"/>
      <c r="D89" s="630"/>
      <c r="E89" s="630"/>
      <c r="F89" s="630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9" t="str">
        <f>+VLOOKUP(LEFT($A90,LEN(A90)-1)*1,Master!$D$30:$G$229,4,FALSE)</f>
        <v>Akcize</v>
      </c>
      <c r="C90" s="630"/>
      <c r="D90" s="630"/>
      <c r="E90" s="630"/>
      <c r="F90" s="630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9" t="str">
        <f>+VLOOKUP(LEFT($A91,LEN(A91)-1)*1,Master!$D$30:$G$229,4,FALSE)</f>
        <v>Porez na međunarodnu trgovinu i transakcije</v>
      </c>
      <c r="C91" s="630"/>
      <c r="D91" s="630"/>
      <c r="E91" s="630"/>
      <c r="F91" s="630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9" t="str">
        <f>+VLOOKUP(LEFT($A92,LEN(A92)-1)*1,Master!$D$30:$G$229,4,FALSE)</f>
        <v>Ostali državni porezi</v>
      </c>
      <c r="C92" s="630"/>
      <c r="D92" s="630"/>
      <c r="E92" s="630"/>
      <c r="F92" s="630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4" t="str">
        <f>+VLOOKUP(LEFT($A93,LEN(A93)-1)*1,Master!$D$30:$G$229,4,FALSE)</f>
        <v>Doprinosi</v>
      </c>
      <c r="C93" s="665"/>
      <c r="D93" s="665"/>
      <c r="E93" s="665"/>
      <c r="F93" s="665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9" t="str">
        <f>+VLOOKUP(LEFT($A94,LEN(A94)-1)*1,Master!$D$30:$G$229,4,FALSE)</f>
        <v>Doprinosi za penzijsko i invalidsko osiguranje</v>
      </c>
      <c r="C94" s="630"/>
      <c r="D94" s="630"/>
      <c r="E94" s="630"/>
      <c r="F94" s="630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9" t="str">
        <f>+VLOOKUP(LEFT($A95,LEN(A95)-1)*1,Master!$D$30:$G$229,4,FALSE)</f>
        <v>Doprinosi za zdravstveno osiguranje</v>
      </c>
      <c r="C95" s="630"/>
      <c r="D95" s="630"/>
      <c r="E95" s="630"/>
      <c r="F95" s="630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9" t="str">
        <f>+VLOOKUP(LEFT($A96,LEN(A96)-1)*1,Master!$D$30:$G$229,4,FALSE)</f>
        <v>Doprinosi za osiguranje od nezaposlenosti</v>
      </c>
      <c r="C96" s="630"/>
      <c r="D96" s="630"/>
      <c r="E96" s="630"/>
      <c r="F96" s="630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9" t="str">
        <f>+VLOOKUP(LEFT($A97,LEN(A97)-1)*1,Master!$D$30:$G$229,4,FALSE)</f>
        <v>Ostali doprinosi</v>
      </c>
      <c r="C97" s="630"/>
      <c r="D97" s="630"/>
      <c r="E97" s="630"/>
      <c r="F97" s="630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5" t="str">
        <f>+VLOOKUP(LEFT($A98,LEN(A98)-1)*1,Master!$D$30:$G$229,4,FALSE)</f>
        <v>Takse</v>
      </c>
      <c r="C98" s="636"/>
      <c r="D98" s="636"/>
      <c r="E98" s="636"/>
      <c r="F98" s="636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5" t="str">
        <f>+VLOOKUP(LEFT($A99,LEN(A99)-1)*1,Master!$D$30:$G$229,4,FALSE)</f>
        <v>Naknade</v>
      </c>
      <c r="C99" s="636"/>
      <c r="D99" s="636"/>
      <c r="E99" s="636"/>
      <c r="F99" s="636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5" t="str">
        <f>+VLOOKUP(LEFT($A100,LEN(A100)-1)*1,Master!$D$30:$G$229,4,FALSE)</f>
        <v>Ostali prihodi</v>
      </c>
      <c r="C100" s="636"/>
      <c r="D100" s="636"/>
      <c r="E100" s="636"/>
      <c r="F100" s="636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5" t="str">
        <f>+VLOOKUP(LEFT($A101,LEN(A101)-1)*1,Master!$D$30:$G$229,4,FALSE)</f>
        <v>Primici od otplate kredita i sredstva prenesena iz prethodne godine</v>
      </c>
      <c r="C101" s="636"/>
      <c r="D101" s="636"/>
      <c r="E101" s="636"/>
      <c r="F101" s="636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1" t="str">
        <f>+VLOOKUP(LEFT($A102,LEN(A102)-1)*1,Master!$D$30:$G$229,4,FALSE)</f>
        <v>Donacije i transferi</v>
      </c>
      <c r="C102" s="632"/>
      <c r="D102" s="632"/>
      <c r="E102" s="632"/>
      <c r="F102" s="632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3" t="str">
        <f>+VLOOKUP(LEFT($A103,LEN(A103)-1)*1,Master!$D$30:$G$229,4,FALSE)</f>
        <v>Izdaci budžeta</v>
      </c>
      <c r="C103" s="614"/>
      <c r="D103" s="614"/>
      <c r="E103" s="614"/>
      <c r="F103" s="61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3" t="str">
        <f>+VLOOKUP(LEFT($A104,LEN(A104)-1)*1,Master!$D$30:$G$229,4,FALSE)</f>
        <v>Tekući izdaci</v>
      </c>
      <c r="C104" s="634"/>
      <c r="D104" s="634"/>
      <c r="E104" s="634"/>
      <c r="F104" s="634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9" t="str">
        <f>+VLOOKUP(LEFT($A105,LEN(A105)-1)*1,Master!$D$30:$G$229,4,FALSE)</f>
        <v>Bruto zarade i doprinosi na teret poslodavca</v>
      </c>
      <c r="C105" s="630"/>
      <c r="D105" s="630"/>
      <c r="E105" s="630"/>
      <c r="F105" s="630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9" t="str">
        <f>+VLOOKUP(LEFT($A106,LEN(A106)-1)*1,Master!$D$30:$G$229,4,FALSE)</f>
        <v>Ostala lična primanja</v>
      </c>
      <c r="C106" s="630"/>
      <c r="D106" s="630"/>
      <c r="E106" s="630"/>
      <c r="F106" s="630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9" t="str">
        <f>+VLOOKUP(LEFT($A107,LEN(A107)-1)*1,Master!$D$30:$G$229,4,FALSE)</f>
        <v>Rashodi za materijal</v>
      </c>
      <c r="C107" s="630"/>
      <c r="D107" s="630"/>
      <c r="E107" s="630"/>
      <c r="F107" s="630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9" t="str">
        <f>+VLOOKUP(LEFT($A108,LEN(A108)-1)*1,Master!$D$30:$G$229,4,FALSE)</f>
        <v>Rashodi za usluge</v>
      </c>
      <c r="C108" s="630"/>
      <c r="D108" s="630"/>
      <c r="E108" s="630"/>
      <c r="F108" s="630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9" t="str">
        <f>+VLOOKUP(LEFT($A109,LEN(A109)-1)*1,Master!$D$30:$G$229,4,FALSE)</f>
        <v>Rashodi za tekuće održavanje</v>
      </c>
      <c r="C109" s="630"/>
      <c r="D109" s="630"/>
      <c r="E109" s="630"/>
      <c r="F109" s="630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9" t="str">
        <f>+VLOOKUP(LEFT($A110,LEN(A110)-1)*1,Master!$D$30:$G$229,4,FALSE)</f>
        <v>Kamate</v>
      </c>
      <c r="C110" s="630"/>
      <c r="D110" s="630"/>
      <c r="E110" s="630"/>
      <c r="F110" s="630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9" t="str">
        <f>+VLOOKUP(LEFT($A111,LEN(A111)-1)*1,Master!$D$30:$G$229,4,FALSE)</f>
        <v>Renta</v>
      </c>
      <c r="C111" s="630"/>
      <c r="D111" s="630"/>
      <c r="E111" s="630"/>
      <c r="F111" s="630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9" t="str">
        <f>+VLOOKUP(LEFT($A112,LEN(A112)-1)*1,Master!$D$30:$G$229,4,FALSE)</f>
        <v>Subvencije</v>
      </c>
      <c r="C112" s="630"/>
      <c r="D112" s="630"/>
      <c r="E112" s="630"/>
      <c r="F112" s="630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9" t="str">
        <f>+VLOOKUP(LEFT($A113,LEN(A113)-1)*1,Master!$D$30:$G$229,4,FALSE)</f>
        <v>Ostali izdaci</v>
      </c>
      <c r="C113" s="630"/>
      <c r="D113" s="630"/>
      <c r="E113" s="630"/>
      <c r="F113" s="630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5" t="str">
        <f>+VLOOKUP(LEFT($A114,LEN(A114)-1)*1,Master!$D$30:$G$229,4,FALSE)</f>
        <v>Transferi za socijalnu zaštitu</v>
      </c>
      <c r="C114" s="626"/>
      <c r="D114" s="626"/>
      <c r="E114" s="626"/>
      <c r="F114" s="626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9" t="str">
        <f>+VLOOKUP(LEFT($A115,LEN(A115)-1)*1,Master!$D$30:$G$229,4,FALSE)</f>
        <v>Prava iz oblasti socijalne zaštite</v>
      </c>
      <c r="C115" s="630"/>
      <c r="D115" s="630"/>
      <c r="E115" s="630"/>
      <c r="F115" s="630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9" t="str">
        <f>+VLOOKUP(LEFT($A116,LEN(A116)-1)*1,Master!$D$30:$G$229,4,FALSE)</f>
        <v>Sredstva za tehnološke viškove</v>
      </c>
      <c r="C116" s="630"/>
      <c r="D116" s="630"/>
      <c r="E116" s="630"/>
      <c r="F116" s="630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9" t="str">
        <f>+VLOOKUP(LEFT($A117,LEN(A117)-1)*1,Master!$D$30:$G$229,4,FALSE)</f>
        <v>Prava iz oblasti penzijskog i invalidskog osiguranja</v>
      </c>
      <c r="C117" s="630"/>
      <c r="D117" s="630"/>
      <c r="E117" s="630"/>
      <c r="F117" s="630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9" t="str">
        <f>+VLOOKUP(LEFT($A118,LEN(A118)-1)*1,Master!$D$30:$G$229,4,FALSE)</f>
        <v>Ostala prava iz oblasti zdravstvene zaštite</v>
      </c>
      <c r="C118" s="630"/>
      <c r="D118" s="630"/>
      <c r="E118" s="630"/>
      <c r="F118" s="630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9" t="str">
        <f>+VLOOKUP(LEFT($A119,LEN(A119)-1)*1,Master!$D$30:$G$229,4,FALSE)</f>
        <v>Ostala prava iz zdravstvenog osiguranja</v>
      </c>
      <c r="C119" s="630"/>
      <c r="D119" s="630"/>
      <c r="E119" s="630"/>
      <c r="F119" s="630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7" t="str">
        <f>+VLOOKUP(LEFT($A120,LEN(A120)-1)*1,Master!$D$30:$G$229,4,FALSE)</f>
        <v xml:space="preserve">Transferi institucijama, pojedincima, nevladinom i javnom sektoru </v>
      </c>
      <c r="C120" s="628"/>
      <c r="D120" s="628"/>
      <c r="E120" s="628"/>
      <c r="F120" s="62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7" t="str">
        <f>+VLOOKUP(LEFT($A121,LEN(A121)-1)*1,Master!$D$30:$G$229,4,FALSE)</f>
        <v>Kapitalni izdaci</v>
      </c>
      <c r="C121" s="628"/>
      <c r="D121" s="628"/>
      <c r="E121" s="628"/>
      <c r="F121" s="62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9" t="str">
        <f>+VLOOKUP(LEFT($A122,LEN(A122)-1)*1,Master!$D$30:$G$229,4,FALSE)</f>
        <v>Pozajmice i krediti</v>
      </c>
      <c r="C122" s="620"/>
      <c r="D122" s="620"/>
      <c r="E122" s="620"/>
      <c r="F122" s="62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9" t="str">
        <f>+VLOOKUP(LEFT($A123,LEN(A123)-1)*1,Master!$D$30:$G$229,4,FALSE)</f>
        <v>Rezerve</v>
      </c>
      <c r="C123" s="620"/>
      <c r="D123" s="620"/>
      <c r="E123" s="620"/>
      <c r="F123" s="62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9" t="str">
        <f>+VLOOKUP(LEFT($A124,LEN(A124)-1)*1,Master!$D$30:$G$229,4,FALSE)</f>
        <v>Otplata garancija</v>
      </c>
      <c r="C124" s="620"/>
      <c r="D124" s="620"/>
      <c r="E124" s="620"/>
      <c r="F124" s="62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9" t="str">
        <f>+VLOOKUP(LEFT($A125,LEN(A125)-1)*1,Master!$D$30:$G$229,4,FALSE)</f>
        <v>Otplata obaveza iz prethodnog perioda</v>
      </c>
      <c r="C125" s="620"/>
      <c r="D125" s="620"/>
      <c r="E125" s="620"/>
      <c r="F125" s="62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9" t="str">
        <f>+VLOOKUP(LEFT($A126,LEN(A126)-1)*1,Master!$D$30:$G$229,4,FALSE)</f>
        <v>Neto povećanje obaveza</v>
      </c>
      <c r="C126" s="620"/>
      <c r="D126" s="620"/>
      <c r="E126" s="620"/>
      <c r="F126" s="62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1" t="str">
        <f>+VLOOKUP(LEFT($A127,LEN(A127)-1)*1,Master!$D$30:$G$226,4,FALSE)</f>
        <v>Suficit / deficit</v>
      </c>
      <c r="C127" s="622"/>
      <c r="D127" s="622"/>
      <c r="E127" s="622"/>
      <c r="F127" s="622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3" t="str">
        <f>+VLOOKUP(LEFT($A128,LEN(A128)-1)*1,Master!$D$30:$G$226,4,FALSE)</f>
        <v>Primarni suficit/deficit</v>
      </c>
      <c r="C128" s="624"/>
      <c r="D128" s="624"/>
      <c r="E128" s="624"/>
      <c r="F128" s="624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5" t="str">
        <f>+VLOOKUP(LEFT($A129,LEN(A129)-1)*1,Master!$D$30:$G$226,4,FALSE)</f>
        <v>Otplata dugova</v>
      </c>
      <c r="C129" s="626"/>
      <c r="D129" s="626"/>
      <c r="E129" s="626"/>
      <c r="F129" s="626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7" t="str">
        <f>+VLOOKUP(LEFT($A130,LEN(A130)-1)*1,Master!$D$30:$G$226,4,FALSE)</f>
        <v>Otplata hartija od vrijednosti i kredita rezidentima</v>
      </c>
      <c r="C130" s="618"/>
      <c r="D130" s="618"/>
      <c r="E130" s="618"/>
      <c r="F130" s="618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9" t="str">
        <f>+VLOOKUP(LEFT($A131,LEN(A131)-1)*1,Master!$D$30:$G$226,4,FALSE)</f>
        <v>Otplata hartija od vrijednosti i kredita nerezidentima</v>
      </c>
      <c r="C131" s="620"/>
      <c r="D131" s="620"/>
      <c r="E131" s="620"/>
      <c r="F131" s="62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3" t="str">
        <f>+VLOOKUP(LEFT($A132,LEN(A132)-1)*1,Master!$D$30:$G$226,4,FALSE)</f>
        <v>Izdaci za kupovinu hartija od vrijednosti</v>
      </c>
      <c r="C132" s="614"/>
      <c r="D132" s="614"/>
      <c r="E132" s="614"/>
      <c r="F132" s="61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5" t="str">
        <f>+VLOOKUP(LEFT($A133,LEN(A133)-1)*1,Master!$D$30:$G$226,4,FALSE)</f>
        <v>Nedostajuća sredstva</v>
      </c>
      <c r="C133" s="616"/>
      <c r="D133" s="616"/>
      <c r="E133" s="616"/>
      <c r="F133" s="616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3" t="str">
        <f>+VLOOKUP(LEFT($A134,LEN(A134)-1)*1,Master!$D$30:$G$226,4,FALSE)</f>
        <v>Finansiranje</v>
      </c>
      <c r="C134" s="614"/>
      <c r="D134" s="614"/>
      <c r="E134" s="614"/>
      <c r="F134" s="61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7" t="str">
        <f>+VLOOKUP(LEFT($A135,LEN(A135)-1)*1,Master!$D$30:$G$226,4,FALSE)</f>
        <v>Pozajmice i krediti od domaćih izvora</v>
      </c>
      <c r="C135" s="618"/>
      <c r="D135" s="618"/>
      <c r="E135" s="618"/>
      <c r="F135" s="618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9" t="str">
        <f>+VLOOKUP(LEFT($A136,LEN(A136)-1)*1,Master!$D$30:$G$226,4,FALSE)</f>
        <v>Pozajmice i krediti od inostranih izvora</v>
      </c>
      <c r="C136" s="620"/>
      <c r="D136" s="620"/>
      <c r="E136" s="620"/>
      <c r="F136" s="62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9" t="str">
        <f>+VLOOKUP(LEFT($A137,LEN(A137)-1)*1,Master!$D$30:$G$226,4,FALSE)</f>
        <v>Primici od prodaje imovine</v>
      </c>
      <c r="C137" s="620"/>
      <c r="D137" s="620"/>
      <c r="E137" s="620"/>
      <c r="F137" s="62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2020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4185600000</v>
      </c>
    </row>
    <row r="8" spans="1:20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9" t="str">
        <f>+VLOOKUP($A19,Master!$D$30:$G$226,4,FALSE)</f>
        <v>Doprinosi</v>
      </c>
      <c r="C19" s="570"/>
      <c r="D19" s="570"/>
      <c r="E19" s="570"/>
      <c r="F19" s="57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60" t="str">
        <f>+VLOOKUP($A39,Master!$D$30:$G$226,4,FALSE)</f>
        <v>Ostali izdaci</v>
      </c>
      <c r="C39" s="661"/>
      <c r="D39" s="661"/>
      <c r="E39" s="661"/>
      <c r="F39" s="661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9" t="str">
        <f>+VLOOKUP($A59,Master!$D$30:$G$226,4,FALSE)</f>
        <v>Nedostajuća sredstva</v>
      </c>
      <c r="C59" s="610"/>
      <c r="D59" s="610"/>
      <c r="E59" s="610"/>
      <c r="F59" s="610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3" t="str">
        <f>+VLOOKUP($A60,Master!$D$30:$G$226,4,FALSE)</f>
        <v>Finansiranje</v>
      </c>
      <c r="C60" s="574"/>
      <c r="D60" s="574"/>
      <c r="E60" s="574"/>
      <c r="F60" s="574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7" t="str">
        <f>+VLOOKUP($A61,Master!$D$30:$G$226,4,FALSE)</f>
        <v>Pozajmice i krediti od domaćih izvora</v>
      </c>
      <c r="C61" s="608"/>
      <c r="D61" s="608"/>
      <c r="E61" s="608"/>
      <c r="F61" s="608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3" t="str">
        <f>+VLOOKUP($A62,Master!$D$30:$G$226,4,FALSE)</f>
        <v>Pozajmice i krediti od inostranih izvora</v>
      </c>
      <c r="C62" s="584"/>
      <c r="D62" s="584"/>
      <c r="E62" s="584"/>
      <c r="F62" s="584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3" t="str">
        <f>+VLOOKUP($A63,Master!$D$30:$G$226,4,FALSE)</f>
        <v>Primici od prodaje imovine</v>
      </c>
      <c r="C63" s="584"/>
      <c r="D63" s="584"/>
      <c r="E63" s="584"/>
      <c r="F63" s="584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9" t="str">
        <f>+Master!G253</f>
        <v>Plan ostvarenja budžeta</v>
      </c>
      <c r="C100" s="640"/>
      <c r="D100" s="640"/>
      <c r="E100" s="640"/>
      <c r="F100" s="640"/>
      <c r="G100" s="647">
        <v>2020</v>
      </c>
      <c r="H100" s="648"/>
      <c r="I100" s="648"/>
      <c r="J100" s="648"/>
      <c r="K100" s="648"/>
      <c r="L100" s="648"/>
      <c r="M100" s="648"/>
      <c r="N100" s="648"/>
      <c r="O100" s="648"/>
      <c r="P100" s="648"/>
      <c r="Q100" s="648"/>
      <c r="R100" s="649"/>
      <c r="S100" s="96" t="str">
        <f>+S7</f>
        <v>BDP</v>
      </c>
      <c r="T100" s="97">
        <v>4607300000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7" t="str">
        <f>+Master!G247</f>
        <v>Jan - Dec</v>
      </c>
      <c r="T101" s="649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2" t="str">
        <f>+VLOOKUP(LEFT($A103,LEN(A103)-1)*1,Master!$D$30:$G$226,4,FALSE)</f>
        <v>Prihodi budžeta</v>
      </c>
      <c r="C103" s="663"/>
      <c r="D103" s="663"/>
      <c r="E103" s="663"/>
      <c r="F103" s="663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7" t="str">
        <f>+VLOOKUP(LEFT($A104,LEN(A104)-1)*1,Master!$D$30:$G$226,4,FALSE)</f>
        <v>Porezi</v>
      </c>
      <c r="C104" s="638"/>
      <c r="D104" s="638"/>
      <c r="E104" s="638"/>
      <c r="F104" s="638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9" t="str">
        <f>+VLOOKUP(LEFT($A105,LEN(A105)-1)*1,Master!$D$30:$G$229,4,FALSE)</f>
        <v>Porez na dohodak fizičkih lica</v>
      </c>
      <c r="C105" s="630"/>
      <c r="D105" s="630"/>
      <c r="E105" s="630"/>
      <c r="F105" s="630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9" t="str">
        <f>+VLOOKUP(LEFT($A106,LEN(A106)-1)*1,Master!$D$30:$G$229,4,FALSE)</f>
        <v>Porez na dobit pravnih lica</v>
      </c>
      <c r="C106" s="630"/>
      <c r="D106" s="630"/>
      <c r="E106" s="630"/>
      <c r="F106" s="630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9" t="str">
        <f>+VLOOKUP(LEFT($A107,LEN(A107)-1)*1,Master!$D$30:$G$229,4,FALSE)</f>
        <v>Porez na promet nepokretnosti</v>
      </c>
      <c r="C107" s="630"/>
      <c r="D107" s="630"/>
      <c r="E107" s="630"/>
      <c r="F107" s="630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9" t="str">
        <f>+VLOOKUP(LEFT($A108,LEN(A108)-1)*1,Master!$D$30:$G$229,4,FALSE)</f>
        <v>Porez na dodatu vrijednost</v>
      </c>
      <c r="C108" s="630"/>
      <c r="D108" s="630"/>
      <c r="E108" s="630"/>
      <c r="F108" s="630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9" t="str">
        <f>+VLOOKUP(LEFT($A109,LEN(A109)-1)*1,Master!$D$30:$G$229,4,FALSE)</f>
        <v>Akcize</v>
      </c>
      <c r="C109" s="630"/>
      <c r="D109" s="630"/>
      <c r="E109" s="630"/>
      <c r="F109" s="630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9" t="str">
        <f>+VLOOKUP(LEFT($A110,LEN(A110)-1)*1,Master!$D$30:$G$229,4,FALSE)</f>
        <v>Porez na međunarodnu trgovinu i transakcije</v>
      </c>
      <c r="C110" s="630"/>
      <c r="D110" s="630"/>
      <c r="E110" s="630"/>
      <c r="F110" s="630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9" t="str">
        <f>+VLOOKUP(LEFT($A111,LEN(A111)-1)*1,Master!$D$30:$G$229,4,FALSE)</f>
        <v>Ostali državni porezi</v>
      </c>
      <c r="C111" s="630"/>
      <c r="D111" s="630"/>
      <c r="E111" s="630"/>
      <c r="F111" s="630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4" t="str">
        <f>+VLOOKUP(LEFT($A112,LEN(A112)-1)*1,Master!$D$30:$G$229,4,FALSE)</f>
        <v>Doprinosi</v>
      </c>
      <c r="C112" s="665"/>
      <c r="D112" s="665"/>
      <c r="E112" s="665"/>
      <c r="F112" s="665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9" t="str">
        <f>+VLOOKUP(LEFT($A113,LEN(A113)-1)*1,Master!$D$30:$G$229,4,FALSE)</f>
        <v>Doprinosi za penzijsko i invalidsko osiguranje</v>
      </c>
      <c r="C113" s="630"/>
      <c r="D113" s="630"/>
      <c r="E113" s="630"/>
      <c r="F113" s="630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9" t="str">
        <f>+VLOOKUP(LEFT($A114,LEN(A114)-1)*1,Master!$D$30:$G$229,4,FALSE)</f>
        <v>Doprinosi za zdravstveno osiguranje</v>
      </c>
      <c r="C114" s="630"/>
      <c r="D114" s="630"/>
      <c r="E114" s="630"/>
      <c r="F114" s="630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9" t="str">
        <f>+VLOOKUP(LEFT($A115,LEN(A115)-1)*1,Master!$D$30:$G$229,4,FALSE)</f>
        <v>Doprinosi za osiguranje od nezaposlenosti</v>
      </c>
      <c r="C115" s="630"/>
      <c r="D115" s="630"/>
      <c r="E115" s="630"/>
      <c r="F115" s="630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9" t="str">
        <f>+VLOOKUP(LEFT($A116,LEN(A116)-1)*1,Master!$D$30:$G$229,4,FALSE)</f>
        <v>Ostali doprinosi</v>
      </c>
      <c r="C116" s="630"/>
      <c r="D116" s="630"/>
      <c r="E116" s="630"/>
      <c r="F116" s="630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5" t="str">
        <f>+VLOOKUP(LEFT($A117,LEN(A117)-1)*1,Master!$D$30:$G$229,4,FALSE)</f>
        <v>Takse</v>
      </c>
      <c r="C117" s="636"/>
      <c r="D117" s="636"/>
      <c r="E117" s="636"/>
      <c r="F117" s="636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5" t="str">
        <f>+VLOOKUP(LEFT($A118,LEN(A118)-1)*1,Master!$D$30:$G$229,4,FALSE)</f>
        <v>Naknade</v>
      </c>
      <c r="C118" s="636"/>
      <c r="D118" s="636"/>
      <c r="E118" s="636"/>
      <c r="F118" s="636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5" t="str">
        <f>+VLOOKUP(LEFT($A119,LEN(A119)-1)*1,Master!$D$30:$G$229,4,FALSE)</f>
        <v>Ostali prihodi</v>
      </c>
      <c r="C119" s="636"/>
      <c r="D119" s="636"/>
      <c r="E119" s="636"/>
      <c r="F119" s="636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5" t="str">
        <f>+VLOOKUP(LEFT($A120,LEN(A120)-1)*1,Master!$D$30:$G$229,4,FALSE)</f>
        <v>Primici od otplate kredita i sredstva prenesena iz prethodne godine</v>
      </c>
      <c r="C120" s="636"/>
      <c r="D120" s="636"/>
      <c r="E120" s="636"/>
      <c r="F120" s="636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1" t="str">
        <f>+VLOOKUP(LEFT($A121,LEN(A121)-1)*1,Master!$D$30:$G$229,4,FALSE)</f>
        <v>Donacije i transferi</v>
      </c>
      <c r="C121" s="632"/>
      <c r="D121" s="632"/>
      <c r="E121" s="632"/>
      <c r="F121" s="632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3" t="str">
        <f>+VLOOKUP(LEFT($A122,LEN(A122)-1)*1,Master!$D$30:$G$229,4,FALSE)</f>
        <v>Izdaci budžeta</v>
      </c>
      <c r="C122" s="614"/>
      <c r="D122" s="614"/>
      <c r="E122" s="614"/>
      <c r="F122" s="61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3" t="str">
        <f>+VLOOKUP(LEFT($A123,LEN(A123)-1)*1,Master!$D$30:$G$229,4,FALSE)</f>
        <v>Tekući izdaci</v>
      </c>
      <c r="C123" s="634"/>
      <c r="D123" s="634"/>
      <c r="E123" s="634"/>
      <c r="F123" s="634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9" t="str">
        <f>+VLOOKUP(LEFT($A124,LEN(A124)-1)*1,Master!$D$30:$G$229,4,FALSE)</f>
        <v>Bruto zarade i doprinosi na teret poslodavca</v>
      </c>
      <c r="C124" s="630"/>
      <c r="D124" s="630"/>
      <c r="E124" s="630"/>
      <c r="F124" s="630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9" t="str">
        <f>+VLOOKUP(LEFT($A125,LEN(A125)-1)*1,Master!$D$30:$G$229,4,FALSE)</f>
        <v>Ostala lična primanja</v>
      </c>
      <c r="C125" s="630"/>
      <c r="D125" s="630"/>
      <c r="E125" s="630"/>
      <c r="F125" s="630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9" t="str">
        <f>+VLOOKUP(LEFT($A126,LEN(A126)-1)*1,Master!$D$30:$G$229,4,FALSE)</f>
        <v>Rashodi za materijal</v>
      </c>
      <c r="C126" s="630"/>
      <c r="D126" s="630"/>
      <c r="E126" s="630"/>
      <c r="F126" s="630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9" t="str">
        <f>+VLOOKUP(LEFT($A127,LEN(A127)-1)*1,Master!$D$30:$G$229,4,FALSE)</f>
        <v>Rashodi za usluge</v>
      </c>
      <c r="C127" s="630"/>
      <c r="D127" s="630"/>
      <c r="E127" s="630"/>
      <c r="F127" s="630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9" t="str">
        <f>+VLOOKUP(LEFT($A128,LEN(A128)-1)*1,Master!$D$30:$G$229,4,FALSE)</f>
        <v>Rashodi za tekuće održavanje</v>
      </c>
      <c r="C128" s="630"/>
      <c r="D128" s="630"/>
      <c r="E128" s="630"/>
      <c r="F128" s="630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9" t="str">
        <f>+VLOOKUP(LEFT($A129,LEN(A129)-1)*1,Master!$D$30:$G$229,4,FALSE)</f>
        <v>Kamate</v>
      </c>
      <c r="C129" s="630"/>
      <c r="D129" s="630"/>
      <c r="E129" s="630"/>
      <c r="F129" s="630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9" t="str">
        <f>+VLOOKUP(LEFT($A130,LEN(A130)-1)*1,Master!$D$30:$G$229,4,FALSE)</f>
        <v>Renta</v>
      </c>
      <c r="C130" s="630"/>
      <c r="D130" s="630"/>
      <c r="E130" s="630"/>
      <c r="F130" s="630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9" t="str">
        <f>+VLOOKUP(LEFT($A131,LEN(A131)-1)*1,Master!$D$30:$G$229,4,FALSE)</f>
        <v>Subvencije</v>
      </c>
      <c r="C131" s="630"/>
      <c r="D131" s="630"/>
      <c r="E131" s="630"/>
      <c r="F131" s="630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9" t="str">
        <f>+VLOOKUP(LEFT($A132,LEN(A132)-1)*1,Master!$D$30:$G$229,4,FALSE)</f>
        <v>Ostali izdaci</v>
      </c>
      <c r="C132" s="630"/>
      <c r="D132" s="630"/>
      <c r="E132" s="630"/>
      <c r="F132" s="630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5" t="str">
        <f>+VLOOKUP(LEFT($A133,LEN(A133)-1)*1,Master!$D$30:$G$229,4,FALSE)</f>
        <v>Transferi za socijalnu zaštitu</v>
      </c>
      <c r="C133" s="626"/>
      <c r="D133" s="626"/>
      <c r="E133" s="626"/>
      <c r="F133" s="626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9" t="str">
        <f>+VLOOKUP(LEFT($A134,LEN(A134)-1)*1,Master!$D$30:$G$229,4,FALSE)</f>
        <v>Prava iz oblasti socijalne zaštite</v>
      </c>
      <c r="C134" s="630"/>
      <c r="D134" s="630"/>
      <c r="E134" s="630"/>
      <c r="F134" s="630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9" t="str">
        <f>+VLOOKUP(LEFT($A135,LEN(A135)-1)*1,Master!$D$30:$G$229,4,FALSE)</f>
        <v>Sredstva za tehnološke viškove</v>
      </c>
      <c r="C135" s="630"/>
      <c r="D135" s="630"/>
      <c r="E135" s="630"/>
      <c r="F135" s="630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9" t="str">
        <f>+VLOOKUP(LEFT($A136,LEN(A136)-1)*1,Master!$D$30:$G$229,4,FALSE)</f>
        <v>Prava iz oblasti penzijskog i invalidskog osiguranja</v>
      </c>
      <c r="C136" s="630"/>
      <c r="D136" s="630"/>
      <c r="E136" s="630"/>
      <c r="F136" s="630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9" t="str">
        <f>+VLOOKUP(LEFT($A137,LEN(A137)-1)*1,Master!$D$30:$G$229,4,FALSE)</f>
        <v>Ostala prava iz oblasti zdravstvene zaštite</v>
      </c>
      <c r="C137" s="630"/>
      <c r="D137" s="630"/>
      <c r="E137" s="630"/>
      <c r="F137" s="630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9" t="str">
        <f>+VLOOKUP(LEFT($A138,LEN(A138)-1)*1,Master!$D$30:$G$229,4,FALSE)</f>
        <v>Ostala prava iz zdravstvenog osiguranja</v>
      </c>
      <c r="C138" s="630"/>
      <c r="D138" s="630"/>
      <c r="E138" s="630"/>
      <c r="F138" s="630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7" t="str">
        <f>+VLOOKUP(LEFT($A139,LEN(A139)-1)*1,Master!$D$30:$G$229,4,FALSE)</f>
        <v xml:space="preserve">Transferi institucijama, pojedincima, nevladinom i javnom sektoru </v>
      </c>
      <c r="C139" s="628"/>
      <c r="D139" s="628"/>
      <c r="E139" s="628"/>
      <c r="F139" s="62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7" t="str">
        <f>+VLOOKUP(LEFT($A140,LEN(A140)-1)*1,Master!$D$30:$G$229,4,FALSE)</f>
        <v>Kapitalni izdaci</v>
      </c>
      <c r="C140" s="628"/>
      <c r="D140" s="628"/>
      <c r="E140" s="628"/>
      <c r="F140" s="62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9" t="str">
        <f>+VLOOKUP(LEFT($A141,LEN(A141)-1)*1,Master!$D$30:$G$229,4,FALSE)</f>
        <v>Pozajmice i krediti</v>
      </c>
      <c r="C141" s="620"/>
      <c r="D141" s="620"/>
      <c r="E141" s="620"/>
      <c r="F141" s="62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9" t="str">
        <f>+VLOOKUP(LEFT($A142,LEN(A142)-1)*1,Master!$D$30:$G$229,4,FALSE)</f>
        <v>Rezerve</v>
      </c>
      <c r="C142" s="620"/>
      <c r="D142" s="620"/>
      <c r="E142" s="620"/>
      <c r="F142" s="62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9" t="str">
        <f>+VLOOKUP(LEFT($A143,LEN(A143)-1)*1,Master!$D$30:$G$229,4,FALSE)</f>
        <v>Otplata garancija</v>
      </c>
      <c r="C143" s="620"/>
      <c r="D143" s="620"/>
      <c r="E143" s="620"/>
      <c r="F143" s="62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9" t="str">
        <f>+VLOOKUP(LEFT($A144,LEN(A144)-1)*1,Master!$D$30:$G$229,4,FALSE)</f>
        <v>Otplata obaveza iz prethodnog perioda</v>
      </c>
      <c r="C144" s="620"/>
      <c r="D144" s="620"/>
      <c r="E144" s="620"/>
      <c r="F144" s="62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9" t="str">
        <f>+VLOOKUP(LEFT($A145,LEN(A145)-1)*1,Master!$D$30:$G$229,4,FALSE)</f>
        <v>Neto povećanje obaveza</v>
      </c>
      <c r="C145" s="620"/>
      <c r="D145" s="620"/>
      <c r="E145" s="620"/>
      <c r="F145" s="62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1" t="str">
        <f>+VLOOKUP(LEFT($A146,LEN(A146)-1)*1,Master!$D$30:$G$226,4,FALSE)</f>
        <v>Suficit / deficit</v>
      </c>
      <c r="C146" s="622"/>
      <c r="D146" s="622"/>
      <c r="E146" s="622"/>
      <c r="F146" s="622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3" t="str">
        <f>+VLOOKUP(LEFT($A147,LEN(A147)-1)*1,Master!$D$30:$G$226,4,FALSE)</f>
        <v>Primarni suficit/deficit</v>
      </c>
      <c r="C147" s="624"/>
      <c r="D147" s="624"/>
      <c r="E147" s="624"/>
      <c r="F147" s="624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5" t="str">
        <f>+VLOOKUP(LEFT($A148,LEN(A148)-1)*1,Master!$D$30:$G$226,4,FALSE)</f>
        <v>Otplata dugova</v>
      </c>
      <c r="C148" s="626"/>
      <c r="D148" s="626"/>
      <c r="E148" s="626"/>
      <c r="F148" s="626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7" t="str">
        <f>+VLOOKUP(LEFT($A149,LEN(A149)-1)*1,Master!$D$30:$G$226,4,FALSE)</f>
        <v>Otplata hartija od vrijednosti i kredita rezidentima</v>
      </c>
      <c r="C149" s="618"/>
      <c r="D149" s="618"/>
      <c r="E149" s="618"/>
      <c r="F149" s="618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9" t="str">
        <f>+VLOOKUP(LEFT($A150,LEN(A150)-1)*1,Master!$D$30:$G$226,4,FALSE)</f>
        <v>Otplata hartija od vrijednosti i kredita nerezidentima</v>
      </c>
      <c r="C150" s="620"/>
      <c r="D150" s="620"/>
      <c r="E150" s="620"/>
      <c r="F150" s="62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3" t="str">
        <f>+VLOOKUP(LEFT($A151,LEN(A151)-1)*1,Master!$D$30:$G$226,4,FALSE)</f>
        <v>Izdaci za kupovinu hartija od vrijednosti</v>
      </c>
      <c r="C151" s="614"/>
      <c r="D151" s="614"/>
      <c r="E151" s="614"/>
      <c r="F151" s="61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5" t="str">
        <f>+VLOOKUP(LEFT($A152,LEN(A152)-1)*1,Master!$D$30:$G$226,4,FALSE)</f>
        <v>Nedostajuća sredstva</v>
      </c>
      <c r="C152" s="616"/>
      <c r="D152" s="616"/>
      <c r="E152" s="616"/>
      <c r="F152" s="616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3" t="str">
        <f>+VLOOKUP(LEFT($A153,LEN(A153)-1)*1,Master!$D$30:$G$226,4,FALSE)</f>
        <v>Finansiranje</v>
      </c>
      <c r="C153" s="614"/>
      <c r="D153" s="614"/>
      <c r="E153" s="614"/>
      <c r="F153" s="61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7" t="str">
        <f>+VLOOKUP(LEFT($A154,LEN(A154)-1)*1,Master!$D$30:$G$226,4,FALSE)</f>
        <v>Pozajmice i krediti od domaćih izvora</v>
      </c>
      <c r="C154" s="618"/>
      <c r="D154" s="618"/>
      <c r="E154" s="618"/>
      <c r="F154" s="618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9" t="str">
        <f>+VLOOKUP(LEFT($A155,LEN(A155)-1)*1,Master!$D$30:$G$226,4,FALSE)</f>
        <v>Pozajmice i krediti od inostranih izvora</v>
      </c>
      <c r="C155" s="620"/>
      <c r="D155" s="620"/>
      <c r="E155" s="620"/>
      <c r="F155" s="62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9" t="str">
        <f>+VLOOKUP(LEFT($A156,LEN(A156)-1)*1,Master!$D$30:$G$226,4,FALSE)</f>
        <v>Primici od prodaje imovine</v>
      </c>
      <c r="C156" s="620"/>
      <c r="D156" s="620"/>
      <c r="E156" s="620"/>
      <c r="F156" s="62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2025-08-29T06:51:31Z</dcterms:modified>
</cp:coreProperties>
</file>