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a.nedic\Desktop\DRAGANA NEDIC BACKUP\Desktop\DRAGANA 2026\ANALIZA I IZVJEŠTAJI\APRIL 2026\PRIPREMA ZA OBJAVU 28052026\ZA OBJAVU\"/>
    </mc:Choice>
  </mc:AlternateContent>
  <xr:revisionPtr revIDLastSave="0" documentId="13_ncr:1_{12C1F960-4F7A-4380-833A-AA7E16959A16}" xr6:coauthVersionLast="36" xr6:coauthVersionMax="47" xr10:uidLastSave="{00000000-0000-0000-0000-000000000000}"/>
  <bookViews>
    <workbookView xWindow="-105" yWindow="0" windowWidth="14610" windowHeight="15585" tabRatio="587" firstSheet="1" activeTab="3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40" i="29" l="1"/>
  <c r="Q40" i="29"/>
  <c r="P40" i="29"/>
  <c r="O40" i="29"/>
  <c r="N40" i="29"/>
  <c r="M40" i="29"/>
  <c r="M29" i="29" s="1"/>
  <c r="L40" i="29"/>
  <c r="K40" i="29"/>
  <c r="J40" i="29"/>
  <c r="I40" i="29"/>
  <c r="H40" i="29"/>
  <c r="G40" i="29"/>
  <c r="R30" i="29"/>
  <c r="R29" i="29" s="1"/>
  <c r="Q30" i="29"/>
  <c r="Q29" i="29" s="1"/>
  <c r="P30" i="29"/>
  <c r="P29" i="29" s="1"/>
  <c r="O30" i="29"/>
  <c r="O29" i="29" s="1"/>
  <c r="N30" i="29"/>
  <c r="M30" i="29"/>
  <c r="L30" i="29"/>
  <c r="K30" i="29"/>
  <c r="J30" i="29"/>
  <c r="I30" i="29"/>
  <c r="H30" i="29"/>
  <c r="H29" i="29" s="1"/>
  <c r="G30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K29" i="29" l="1"/>
  <c r="L29" i="29"/>
  <c r="G29" i="29"/>
  <c r="I29" i="29"/>
  <c r="N29" i="29"/>
  <c r="J29" i="29"/>
  <c r="A142" i="29"/>
  <c r="S141" i="29"/>
  <c r="S140" i="29"/>
  <c r="A140" i="29"/>
  <c r="S139" i="29"/>
  <c r="A139" i="29"/>
  <c r="S138" i="29"/>
  <c r="A138" i="29"/>
  <c r="A137" i="29"/>
  <c r="A136" i="29"/>
  <c r="S135" i="29"/>
  <c r="S134" i="29"/>
  <c r="A134" i="29"/>
  <c r="S133" i="29"/>
  <c r="A133" i="29"/>
  <c r="S132" i="29"/>
  <c r="A132" i="29"/>
  <c r="S131" i="29"/>
  <c r="A131" i="29"/>
  <c r="A130" i="29"/>
  <c r="A129" i="29"/>
  <c r="S128" i="29"/>
  <c r="A128" i="29"/>
  <c r="S127" i="29"/>
  <c r="A127" i="29"/>
  <c r="S126" i="29"/>
  <c r="A126" i="29"/>
  <c r="S125" i="29"/>
  <c r="A125" i="29"/>
  <c r="S124" i="29"/>
  <c r="A124" i="29"/>
  <c r="S123" i="29"/>
  <c r="A123" i="29"/>
  <c r="S122" i="29"/>
  <c r="A122" i="29"/>
  <c r="S121" i="29"/>
  <c r="A121" i="29"/>
  <c r="S120" i="29"/>
  <c r="A120" i="29"/>
  <c r="S119" i="29"/>
  <c r="A119" i="29"/>
  <c r="S118" i="29"/>
  <c r="A118" i="29"/>
  <c r="S117" i="29"/>
  <c r="A117" i="29"/>
  <c r="R116" i="29"/>
  <c r="Q116" i="29"/>
  <c r="P116" i="29"/>
  <c r="O116" i="29"/>
  <c r="N116" i="29"/>
  <c r="M116" i="29"/>
  <c r="M105" i="29" s="1"/>
  <c r="M129" i="29" s="1"/>
  <c r="L116" i="29"/>
  <c r="K116" i="29"/>
  <c r="K105" i="29" s="1"/>
  <c r="K129" i="29" s="1"/>
  <c r="J116" i="29"/>
  <c r="I116" i="29"/>
  <c r="H116" i="29"/>
  <c r="G116" i="29"/>
  <c r="A116" i="29"/>
  <c r="S115" i="29"/>
  <c r="A115" i="29"/>
  <c r="S114" i="29"/>
  <c r="A114" i="29"/>
  <c r="S113" i="29"/>
  <c r="A113" i="29"/>
  <c r="S112" i="29"/>
  <c r="A112" i="29"/>
  <c r="S111" i="29"/>
  <c r="A111" i="29"/>
  <c r="S110" i="29"/>
  <c r="A110" i="29"/>
  <c r="S109" i="29"/>
  <c r="A109" i="29"/>
  <c r="S108" i="29"/>
  <c r="A108" i="29"/>
  <c r="S107" i="29"/>
  <c r="A107" i="29"/>
  <c r="R106" i="29"/>
  <c r="R105" i="29" s="1"/>
  <c r="R129" i="29" s="1"/>
  <c r="Q106" i="29"/>
  <c r="P106" i="29"/>
  <c r="P105" i="29" s="1"/>
  <c r="P129" i="29" s="1"/>
  <c r="O106" i="29"/>
  <c r="O105" i="29" s="1"/>
  <c r="O129" i="29" s="1"/>
  <c r="N106" i="29"/>
  <c r="M106" i="29"/>
  <c r="L106" i="29"/>
  <c r="L105" i="29" s="1"/>
  <c r="L129" i="29" s="1"/>
  <c r="K106" i="29"/>
  <c r="J106" i="29"/>
  <c r="J105" i="29" s="1"/>
  <c r="J129" i="29" s="1"/>
  <c r="J130" i="29" s="1"/>
  <c r="I106" i="29"/>
  <c r="H106" i="29"/>
  <c r="H105" i="29" s="1"/>
  <c r="H129" i="29" s="1"/>
  <c r="G106" i="29"/>
  <c r="G105" i="29" s="1"/>
  <c r="A106" i="29"/>
  <c r="A105" i="29"/>
  <c r="S104" i="29"/>
  <c r="A104" i="29"/>
  <c r="S103" i="29"/>
  <c r="A103" i="29"/>
  <c r="S102" i="29"/>
  <c r="A102" i="29"/>
  <c r="S101" i="29"/>
  <c r="A101" i="29"/>
  <c r="S100" i="29"/>
  <c r="A100" i="29"/>
  <c r="S99" i="29"/>
  <c r="A99" i="29"/>
  <c r="S98" i="29"/>
  <c r="A98" i="29"/>
  <c r="S97" i="29"/>
  <c r="A97" i="29"/>
  <c r="S96" i="29"/>
  <c r="A96" i="29"/>
  <c r="S95" i="29"/>
  <c r="A95" i="29"/>
  <c r="S94" i="29"/>
  <c r="A94" i="29"/>
  <c r="S93" i="29"/>
  <c r="A93" i="29"/>
  <c r="S92" i="29"/>
  <c r="A92" i="29"/>
  <c r="S91" i="29"/>
  <c r="A91" i="29"/>
  <c r="S90" i="29"/>
  <c r="A90" i="29"/>
  <c r="S89" i="29"/>
  <c r="A89" i="29"/>
  <c r="S88" i="29"/>
  <c r="A88" i="29"/>
  <c r="S87" i="29"/>
  <c r="A87" i="29"/>
  <c r="S86" i="29"/>
  <c r="A86" i="29"/>
  <c r="T84" i="29"/>
  <c r="T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S65" i="29"/>
  <c r="T65" i="29" s="1"/>
  <c r="S64" i="29"/>
  <c r="T64" i="29" s="1"/>
  <c r="S63" i="29"/>
  <c r="T63" i="29" s="1"/>
  <c r="S62" i="29"/>
  <c r="T62" i="29" s="1"/>
  <c r="S59" i="29"/>
  <c r="T59" i="29" s="1"/>
  <c r="S58" i="29"/>
  <c r="T58" i="29" s="1"/>
  <c r="S57" i="29"/>
  <c r="T57" i="29" s="1"/>
  <c r="S56" i="29"/>
  <c r="T56" i="29" s="1"/>
  <c r="R55" i="29"/>
  <c r="Q55" i="29"/>
  <c r="P55" i="29"/>
  <c r="O55" i="29"/>
  <c r="N55" i="29"/>
  <c r="M55" i="29"/>
  <c r="L55" i="29"/>
  <c r="K55" i="29"/>
  <c r="J55" i="29"/>
  <c r="I55" i="29"/>
  <c r="H55" i="29"/>
  <c r="G55" i="29"/>
  <c r="S52" i="29"/>
  <c r="T52" i="29" s="1"/>
  <c r="S51" i="29"/>
  <c r="T51" i="29" s="1"/>
  <c r="S50" i="29"/>
  <c r="T50" i="29" s="1"/>
  <c r="S49" i="29"/>
  <c r="T49" i="29" s="1"/>
  <c r="S48" i="29"/>
  <c r="T48" i="29" s="1"/>
  <c r="S47" i="29"/>
  <c r="T47" i="29" s="1"/>
  <c r="S46" i="29"/>
  <c r="T46" i="29" s="1"/>
  <c r="S45" i="29"/>
  <c r="T45" i="29" s="1"/>
  <c r="S44" i="29"/>
  <c r="T44" i="29" s="1"/>
  <c r="S43" i="29"/>
  <c r="T43" i="29" s="1"/>
  <c r="S42" i="29"/>
  <c r="T42" i="29" s="1"/>
  <c r="T41" i="29"/>
  <c r="S41" i="29"/>
  <c r="S39" i="29"/>
  <c r="T39" i="29" s="1"/>
  <c r="S38" i="29"/>
  <c r="T38" i="29" s="1"/>
  <c r="T37" i="29"/>
  <c r="S37" i="29"/>
  <c r="S36" i="29"/>
  <c r="T36" i="29" s="1"/>
  <c r="S35" i="29"/>
  <c r="T35" i="29" s="1"/>
  <c r="S34" i="29"/>
  <c r="T34" i="29" s="1"/>
  <c r="S33" i="29"/>
  <c r="T33" i="29" s="1"/>
  <c r="S32" i="29"/>
  <c r="T32" i="29" s="1"/>
  <c r="S31" i="29"/>
  <c r="T31" i="29" s="1"/>
  <c r="S30" i="29"/>
  <c r="T30" i="29" s="1"/>
  <c r="S28" i="29"/>
  <c r="T28" i="29" s="1"/>
  <c r="S27" i="29"/>
  <c r="T27" i="29" s="1"/>
  <c r="S26" i="29"/>
  <c r="T26" i="29" s="1"/>
  <c r="S25" i="29"/>
  <c r="T25" i="29" s="1"/>
  <c r="S24" i="29"/>
  <c r="T24" i="29" s="1"/>
  <c r="S23" i="29"/>
  <c r="T23" i="29" s="1"/>
  <c r="S22" i="29"/>
  <c r="T22" i="29" s="1"/>
  <c r="S21" i="29"/>
  <c r="T21" i="29" s="1"/>
  <c r="S20" i="29"/>
  <c r="T20" i="29" s="1"/>
  <c r="K10" i="29"/>
  <c r="K53" i="29" s="1"/>
  <c r="S18" i="29"/>
  <c r="T18" i="29" s="1"/>
  <c r="S17" i="29"/>
  <c r="T17" i="29" s="1"/>
  <c r="S16" i="29"/>
  <c r="T16" i="29" s="1"/>
  <c r="S15" i="29"/>
  <c r="T15" i="29" s="1"/>
  <c r="S14" i="29"/>
  <c r="T14" i="29" s="1"/>
  <c r="T13" i="29"/>
  <c r="S13" i="29"/>
  <c r="S12" i="29"/>
  <c r="T12" i="29" s="1"/>
  <c r="R10" i="29"/>
  <c r="Q10" i="29"/>
  <c r="P10" i="29"/>
  <c r="J10" i="29"/>
  <c r="J53" i="29" s="1"/>
  <c r="I10" i="29"/>
  <c r="H10" i="29"/>
  <c r="O10" i="29"/>
  <c r="O53" i="29" s="1"/>
  <c r="O54" i="29" s="1"/>
  <c r="N10" i="29"/>
  <c r="M10" i="29"/>
  <c r="L10" i="29"/>
  <c r="L8" i="29"/>
  <c r="L84" i="29" s="1"/>
  <c r="K8" i="29"/>
  <c r="K84" i="29" s="1"/>
  <c r="J8" i="29"/>
  <c r="J84" i="29" s="1"/>
  <c r="I8" i="29"/>
  <c r="I84" i="29" s="1"/>
  <c r="H8" i="29"/>
  <c r="H84" i="29" s="1"/>
  <c r="G8" i="29"/>
  <c r="G84" i="29" s="1"/>
  <c r="R5" i="29"/>
  <c r="Q5" i="29"/>
  <c r="P5" i="29"/>
  <c r="O5" i="29"/>
  <c r="N5" i="29"/>
  <c r="M5" i="29"/>
  <c r="L5" i="29"/>
  <c r="K5" i="29"/>
  <c r="J5" i="29"/>
  <c r="I5" i="29"/>
  <c r="H5" i="29"/>
  <c r="G5" i="29"/>
  <c r="S116" i="29" l="1"/>
  <c r="I105" i="29"/>
  <c r="I129" i="29" s="1"/>
  <c r="Q105" i="29"/>
  <c r="Q129" i="29" s="1"/>
  <c r="T138" i="29"/>
  <c r="T111" i="29"/>
  <c r="N105" i="29"/>
  <c r="N129" i="29" s="1"/>
  <c r="T131" i="29"/>
  <c r="I53" i="29"/>
  <c r="T90" i="29"/>
  <c r="T123" i="29"/>
  <c r="T110" i="29"/>
  <c r="T115" i="29"/>
  <c r="T100" i="29"/>
  <c r="T118" i="29"/>
  <c r="T140" i="29"/>
  <c r="T87" i="29"/>
  <c r="T92" i="29"/>
  <c r="T97" i="29"/>
  <c r="T102" i="29"/>
  <c r="T120" i="29"/>
  <c r="T125" i="29"/>
  <c r="T88" i="29"/>
  <c r="T103" i="29"/>
  <c r="T126" i="29"/>
  <c r="T107" i="29"/>
  <c r="T112" i="29"/>
  <c r="T116" i="29"/>
  <c r="T132" i="29"/>
  <c r="T93" i="29"/>
  <c r="T98" i="29"/>
  <c r="T121" i="29"/>
  <c r="T89" i="29"/>
  <c r="T94" i="29"/>
  <c r="T99" i="29"/>
  <c r="T104" i="29"/>
  <c r="T117" i="29"/>
  <c r="T122" i="29"/>
  <c r="T127" i="29"/>
  <c r="T139" i="29"/>
  <c r="T108" i="29"/>
  <c r="T113" i="29"/>
  <c r="T133" i="29"/>
  <c r="T95" i="29"/>
  <c r="T128" i="29"/>
  <c r="T109" i="29"/>
  <c r="T114" i="29"/>
  <c r="T134" i="29"/>
  <c r="T141" i="29"/>
  <c r="T86" i="29"/>
  <c r="T91" i="29"/>
  <c r="T96" i="29"/>
  <c r="T101" i="29"/>
  <c r="T119" i="29"/>
  <c r="T124" i="29"/>
  <c r="T135" i="29"/>
  <c r="O60" i="29"/>
  <c r="O66" i="29" s="1"/>
  <c r="O61" i="29" s="1"/>
  <c r="K54" i="29"/>
  <c r="K60" i="29"/>
  <c r="K66" i="29" s="1"/>
  <c r="K61" i="29" s="1"/>
  <c r="I60" i="29"/>
  <c r="I54" i="29"/>
  <c r="H130" i="29"/>
  <c r="H136" i="29"/>
  <c r="H142" i="29" s="1"/>
  <c r="H137" i="29" s="1"/>
  <c r="I130" i="29"/>
  <c r="I136" i="29"/>
  <c r="I142" i="29" s="1"/>
  <c r="I137" i="29" s="1"/>
  <c r="G10" i="29"/>
  <c r="S11" i="29"/>
  <c r="T11" i="29" s="1"/>
  <c r="Q53" i="29"/>
  <c r="S19" i="29"/>
  <c r="T19" i="29" s="1"/>
  <c r="S40" i="29"/>
  <c r="T40" i="29" s="1"/>
  <c r="P136" i="29"/>
  <c r="P142" i="29" s="1"/>
  <c r="P137" i="29" s="1"/>
  <c r="P130" i="29"/>
  <c r="H53" i="29"/>
  <c r="R53" i="29"/>
  <c r="G129" i="29"/>
  <c r="Q130" i="29"/>
  <c r="Q136" i="29"/>
  <c r="Q142" i="29" s="1"/>
  <c r="Q137" i="29" s="1"/>
  <c r="J60" i="29"/>
  <c r="J66" i="29" s="1"/>
  <c r="J61" i="29" s="1"/>
  <c r="J54" i="29"/>
  <c r="R130" i="29"/>
  <c r="R136" i="29"/>
  <c r="R142" i="29" s="1"/>
  <c r="R137" i="29" s="1"/>
  <c r="L53" i="29"/>
  <c r="M53" i="29"/>
  <c r="N53" i="29"/>
  <c r="K136" i="29"/>
  <c r="K142" i="29" s="1"/>
  <c r="K137" i="29" s="1"/>
  <c r="K130" i="29"/>
  <c r="M136" i="29"/>
  <c r="M142" i="29" s="1"/>
  <c r="M137" i="29" s="1"/>
  <c r="M130" i="29"/>
  <c r="P53" i="29"/>
  <c r="S55" i="29"/>
  <c r="T55" i="29" s="1"/>
  <c r="L136" i="29"/>
  <c r="L142" i="29" s="1"/>
  <c r="L137" i="29" s="1"/>
  <c r="L130" i="29"/>
  <c r="O136" i="29"/>
  <c r="O142" i="29" s="1"/>
  <c r="O137" i="29" s="1"/>
  <c r="O130" i="29"/>
  <c r="N136" i="29"/>
  <c r="N142" i="29" s="1"/>
  <c r="N137" i="29" s="1"/>
  <c r="N130" i="29"/>
  <c r="S29" i="29"/>
  <c r="T29" i="29" s="1"/>
  <c r="J136" i="29"/>
  <c r="J142" i="29" s="1"/>
  <c r="J137" i="29" s="1"/>
  <c r="S106" i="29"/>
  <c r="T106" i="29" s="1"/>
  <c r="S105" i="29" l="1"/>
  <c r="T105" i="29" s="1"/>
  <c r="I66" i="29"/>
  <c r="N54" i="29"/>
  <c r="N60" i="29"/>
  <c r="N66" i="29" s="1"/>
  <c r="N61" i="29" s="1"/>
  <c r="G130" i="29"/>
  <c r="S130" i="29" s="1"/>
  <c r="T130" i="29" s="1"/>
  <c r="S129" i="29"/>
  <c r="T129" i="29" s="1"/>
  <c r="G136" i="29"/>
  <c r="H60" i="29"/>
  <c r="H66" i="29" s="1"/>
  <c r="H61" i="29" s="1"/>
  <c r="H54" i="29"/>
  <c r="G53" i="29"/>
  <c r="S10" i="29"/>
  <c r="T10" i="29" s="1"/>
  <c r="M60" i="29"/>
  <c r="M66" i="29" s="1"/>
  <c r="M61" i="29" s="1"/>
  <c r="M54" i="29"/>
  <c r="L54" i="29"/>
  <c r="L60" i="29"/>
  <c r="L66" i="29" s="1"/>
  <c r="L61" i="29" s="1"/>
  <c r="P60" i="29"/>
  <c r="P66" i="29" s="1"/>
  <c r="P61" i="29" s="1"/>
  <c r="P54" i="29"/>
  <c r="R60" i="29"/>
  <c r="R66" i="29" s="1"/>
  <c r="R61" i="29" s="1"/>
  <c r="R54" i="29"/>
  <c r="Q60" i="29"/>
  <c r="Q66" i="29" s="1"/>
  <c r="Q61" i="29" s="1"/>
  <c r="Q54" i="29"/>
  <c r="K55" i="28"/>
  <c r="L55" i="28"/>
  <c r="M55" i="28"/>
  <c r="N55" i="28"/>
  <c r="O55" i="28"/>
  <c r="P55" i="28"/>
  <c r="I61" i="29" l="1"/>
  <c r="G60" i="29"/>
  <c r="G54" i="29"/>
  <c r="S53" i="29"/>
  <c r="G142" i="29"/>
  <c r="S136" i="29"/>
  <c r="T136" i="29" s="1"/>
  <c r="T83" i="28"/>
  <c r="S54" i="29" l="1"/>
  <c r="T54" i="29" s="1"/>
  <c r="G66" i="29"/>
  <c r="S142" i="29"/>
  <c r="T142" i="29" s="1"/>
  <c r="G137" i="29"/>
  <c r="S137" i="29" s="1"/>
  <c r="T137" i="29" s="1"/>
  <c r="S60" i="29"/>
  <c r="T53" i="29"/>
  <c r="P17" i="11"/>
  <c r="P18" i="11"/>
  <c r="Q62" i="11"/>
  <c r="T65" i="11"/>
  <c r="G61" i="29" l="1"/>
  <c r="S66" i="29"/>
  <c r="T66" i="29" s="1"/>
  <c r="T60" i="29"/>
  <c r="S61" i="29" l="1"/>
  <c r="T61" i="29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R10" i="28"/>
  <c r="O29" i="28"/>
  <c r="R29" i="28"/>
  <c r="N29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R53" i="28" l="1"/>
  <c r="R54" i="28" s="1"/>
  <c r="S10" i="28"/>
  <c r="G10" i="11" s="1"/>
  <c r="N53" i="28"/>
  <c r="N54" i="28" s="1"/>
  <c r="O53" i="28"/>
  <c r="O54" i="28" s="1"/>
  <c r="D12" i="1"/>
  <c r="J53" i="28"/>
  <c r="J54" i="28" s="1"/>
  <c r="M53" i="28"/>
  <c r="M60" i="28" s="1"/>
  <c r="L53" i="28"/>
  <c r="L54" i="28" s="1"/>
  <c r="K53" i="28"/>
  <c r="I53" i="28"/>
  <c r="P53" i="28"/>
  <c r="H53" i="28"/>
  <c r="H54" i="28" s="1"/>
  <c r="D16" i="1"/>
  <c r="T19" i="28"/>
  <c r="Q53" i="28"/>
  <c r="G53" i="28"/>
  <c r="T55" i="28"/>
  <c r="G55" i="11"/>
  <c r="T40" i="28"/>
  <c r="G40" i="11"/>
  <c r="T30" i="28"/>
  <c r="G30" i="11"/>
  <c r="T11" i="28"/>
  <c r="G11" i="11"/>
  <c r="S29" i="28"/>
  <c r="I54" i="28" l="1"/>
  <c r="D20" i="1"/>
  <c r="G54" i="28"/>
  <c r="R60" i="28"/>
  <c r="R66" i="28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H60" i="28"/>
  <c r="H66" i="28" s="1"/>
  <c r="T10" i="28"/>
  <c r="S53" i="28"/>
  <c r="S60" i="28" s="1"/>
  <c r="G60" i="28"/>
  <c r="T29" i="28"/>
  <c r="G29" i="11"/>
  <c r="S129" i="28"/>
  <c r="G19" i="26"/>
  <c r="H19" i="26"/>
  <c r="I66" i="28" l="1"/>
  <c r="G66" i="28"/>
  <c r="R61" i="28"/>
  <c r="Q66" i="28"/>
  <c r="P66" i="28"/>
  <c r="O66" i="28"/>
  <c r="S54" i="28"/>
  <c r="G54" i="11" s="1"/>
  <c r="N61" i="28"/>
  <c r="M61" i="28"/>
  <c r="L66" i="28"/>
  <c r="K66" i="28"/>
  <c r="J61" i="28"/>
  <c r="T129" i="28"/>
  <c r="H61" i="28"/>
  <c r="T53" i="28"/>
  <c r="G53" i="11"/>
  <c r="G60" i="11"/>
  <c r="S130" i="28"/>
  <c r="S136" i="28"/>
  <c r="S66" i="28"/>
  <c r="T60" i="28"/>
  <c r="G55" i="26"/>
  <c r="I61" i="28" l="1"/>
  <c r="G61" i="28"/>
  <c r="Q61" i="28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N105" i="27" s="1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P86" i="27" s="1"/>
  <c r="O87" i="27"/>
  <c r="N87" i="27"/>
  <c r="M87" i="27"/>
  <c r="M86" i="27" s="1"/>
  <c r="L87" i="27"/>
  <c r="L86" i="27" s="1"/>
  <c r="K87" i="27"/>
  <c r="J87" i="27"/>
  <c r="I87" i="27"/>
  <c r="H87" i="27"/>
  <c r="G87" i="27"/>
  <c r="A87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H86" i="27" l="1"/>
  <c r="G61" i="11"/>
  <c r="I29" i="27"/>
  <c r="I86" i="27"/>
  <c r="Q86" i="27"/>
  <c r="T137" i="28"/>
  <c r="M10" i="27"/>
  <c r="J105" i="27"/>
  <c r="O10" i="27"/>
  <c r="J86" i="27"/>
  <c r="N86" i="27"/>
  <c r="R86" i="27"/>
  <c r="H10" i="27"/>
  <c r="H105" i="27"/>
  <c r="H129" i="27" s="1"/>
  <c r="H130" i="27" s="1"/>
  <c r="L105" i="27"/>
  <c r="L129" i="27" s="1"/>
  <c r="L130" i="27" s="1"/>
  <c r="P105" i="27"/>
  <c r="P129" i="27" s="1"/>
  <c r="H29" i="27"/>
  <c r="K29" i="27"/>
  <c r="K53" i="27" s="1"/>
  <c r="K60" i="27" s="1"/>
  <c r="K66" i="27" s="1"/>
  <c r="K61" i="27" s="1"/>
  <c r="P29" i="27"/>
  <c r="J29" i="27"/>
  <c r="J53" i="27" s="1"/>
  <c r="J54" i="27" s="1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S40" i="27"/>
  <c r="T40" i="27" s="1"/>
  <c r="S11" i="27"/>
  <c r="T11" i="27" s="1"/>
  <c r="S116" i="27"/>
  <c r="T116" i="27" s="1"/>
  <c r="S109" i="27"/>
  <c r="T109" i="27" s="1"/>
  <c r="J129" i="27" l="1"/>
  <c r="L136" i="27"/>
  <c r="L142" i="27" s="1"/>
  <c r="L137" i="27" s="1"/>
  <c r="G129" i="27"/>
  <c r="G136" i="27" s="1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M136" i="27"/>
  <c r="M142" i="27" s="1"/>
  <c r="M137" i="27" s="1"/>
  <c r="M130" i="27"/>
  <c r="Q59" i="11"/>
  <c r="T59" i="11"/>
  <c r="S135" i="26"/>
  <c r="T135" i="26" s="1"/>
  <c r="G54" i="27" l="1"/>
  <c r="S53" i="27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R32" i="20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J56" i="20"/>
  <c r="K56" i="20"/>
  <c r="L56" i="20"/>
  <c r="M56" i="20"/>
  <c r="N56" i="20"/>
  <c r="N55" i="20" s="1"/>
  <c r="O56" i="20"/>
  <c r="P56" i="20"/>
  <c r="Q56" i="20"/>
  <c r="R56" i="20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55" i="20" l="1"/>
  <c r="K55" i="20"/>
  <c r="J55" i="20"/>
  <c r="R30" i="20"/>
  <c r="R55" i="20"/>
  <c r="Q55" i="20"/>
  <c r="I55" i="20"/>
  <c r="Q30" i="20"/>
  <c r="O55" i="20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Q29" i="20" l="1"/>
  <c r="P29" i="20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L218" i="6"/>
  <c r="EL217" i="6" s="1"/>
  <c r="EL216" i="6" s="1"/>
  <c r="EM218" i="6"/>
  <c r="EN218" i="6"/>
  <c r="EN217" i="6" s="1"/>
  <c r="EN216" i="6" s="1"/>
  <c r="EO218" i="6"/>
  <c r="EP218" i="6"/>
  <c r="EQ218" i="6"/>
  <c r="ER218" i="6"/>
  <c r="ES218" i="6"/>
  <c r="ES217" i="6" s="1"/>
  <c r="ES216" i="6" s="1"/>
  <c r="EK217" i="6" l="1"/>
  <c r="EK216" i="6" s="1"/>
  <c r="EO217" i="6"/>
  <c r="EO216" i="6" s="1"/>
  <c r="ER217" i="6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Z218" i="6"/>
  <c r="EA218" i="6"/>
  <c r="EB218" i="6"/>
  <c r="EC218" i="6"/>
  <c r="EC217" i="6" s="1"/>
  <c r="ED218" i="6"/>
  <c r="EE218" i="6"/>
  <c r="EE217" i="6" s="1"/>
  <c r="EF218" i="6"/>
  <c r="EF217" i="6" s="1"/>
  <c r="EG218" i="6"/>
  <c r="DV218" i="6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9" s="1"/>
  <c r="G252" i="2"/>
  <c r="G249" i="2"/>
  <c r="S7" i="29" s="1"/>
  <c r="S83" i="29" s="1"/>
  <c r="G243" i="2"/>
  <c r="G242" i="2"/>
  <c r="G241" i="2"/>
  <c r="P8" i="29" s="1"/>
  <c r="P84" i="29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9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P385" i="6" s="1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E350" i="6" s="1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E49" i="6" s="1"/>
  <c r="DD50" i="6"/>
  <c r="DD49" i="6" s="1"/>
  <c r="DC50" i="6"/>
  <c r="DC49" i="6" s="1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B13" i="29" l="1"/>
  <c r="B89" i="29"/>
  <c r="B33" i="29"/>
  <c r="B109" i="29"/>
  <c r="E4" i="28"/>
  <c r="E4" i="29"/>
  <c r="B11" i="29"/>
  <c r="B87" i="29"/>
  <c r="B19" i="29"/>
  <c r="B95" i="29"/>
  <c r="B63" i="29"/>
  <c r="B139" i="29"/>
  <c r="B50" i="29"/>
  <c r="B126" i="29"/>
  <c r="B53" i="29"/>
  <c r="B129" i="29"/>
  <c r="M8" i="28"/>
  <c r="M84" i="28" s="1"/>
  <c r="M8" i="29"/>
  <c r="M84" i="29" s="1"/>
  <c r="B12" i="29"/>
  <c r="B88" i="29"/>
  <c r="B20" i="29"/>
  <c r="B96" i="29"/>
  <c r="B29" i="29"/>
  <c r="B105" i="29"/>
  <c r="B34" i="29"/>
  <c r="B110" i="29"/>
  <c r="B46" i="29"/>
  <c r="B122" i="29"/>
  <c r="B54" i="29"/>
  <c r="B130" i="29"/>
  <c r="N8" i="28"/>
  <c r="N84" i="28" s="1"/>
  <c r="N8" i="29"/>
  <c r="N84" i="29" s="1"/>
  <c r="B28" i="29"/>
  <c r="B104" i="29"/>
  <c r="O8" i="28"/>
  <c r="O84" i="28" s="1"/>
  <c r="O8" i="29"/>
  <c r="O84" i="29" s="1"/>
  <c r="B14" i="29"/>
  <c r="B90" i="29"/>
  <c r="B22" i="29"/>
  <c r="B98" i="29"/>
  <c r="B30" i="29"/>
  <c r="B106" i="29"/>
  <c r="B35" i="29"/>
  <c r="B111" i="29"/>
  <c r="B43" i="29"/>
  <c r="B119" i="29"/>
  <c r="B44" i="29"/>
  <c r="B120" i="29"/>
  <c r="B47" i="29"/>
  <c r="B123" i="29"/>
  <c r="B58" i="29"/>
  <c r="B134" i="29"/>
  <c r="B51" i="29"/>
  <c r="B127" i="29"/>
  <c r="B60" i="29"/>
  <c r="B136" i="29"/>
  <c r="B37" i="29"/>
  <c r="B113" i="29"/>
  <c r="B15" i="29"/>
  <c r="B91" i="29"/>
  <c r="B23" i="29"/>
  <c r="B99" i="29"/>
  <c r="B25" i="29"/>
  <c r="B101" i="29"/>
  <c r="B64" i="29"/>
  <c r="B140" i="29"/>
  <c r="B31" i="29"/>
  <c r="B107" i="29"/>
  <c r="B40" i="29"/>
  <c r="B116" i="29"/>
  <c r="B55" i="29"/>
  <c r="B131" i="29"/>
  <c r="B49" i="29"/>
  <c r="B125" i="29"/>
  <c r="B61" i="29"/>
  <c r="B137" i="29"/>
  <c r="Q8" i="28"/>
  <c r="Q84" i="28" s="1"/>
  <c r="Q8" i="29"/>
  <c r="Q84" i="29" s="1"/>
  <c r="B16" i="29"/>
  <c r="B92" i="29"/>
  <c r="B24" i="29"/>
  <c r="B100" i="29"/>
  <c r="B41" i="29"/>
  <c r="B117" i="29"/>
  <c r="B42" i="29"/>
  <c r="B118" i="29"/>
  <c r="B45" i="29"/>
  <c r="B121" i="29"/>
  <c r="R8" i="28"/>
  <c r="R84" i="28" s="1"/>
  <c r="R8" i="29"/>
  <c r="R84" i="29" s="1"/>
  <c r="EA217" i="6"/>
  <c r="B21" i="29"/>
  <c r="B97" i="29"/>
  <c r="B32" i="29"/>
  <c r="B108" i="29"/>
  <c r="B39" i="29"/>
  <c r="B115" i="29"/>
  <c r="DA350" i="6"/>
  <c r="B10" i="29"/>
  <c r="B86" i="29"/>
  <c r="B17" i="29"/>
  <c r="B93" i="29"/>
  <c r="B26" i="29"/>
  <c r="B102" i="29"/>
  <c r="B38" i="29"/>
  <c r="B114" i="29"/>
  <c r="B48" i="29"/>
  <c r="B59" i="29"/>
  <c r="B124" i="29"/>
  <c r="B56" i="29"/>
  <c r="B132" i="29"/>
  <c r="B66" i="29"/>
  <c r="B142" i="29"/>
  <c r="DV217" i="6"/>
  <c r="DV216" i="6" s="1"/>
  <c r="DZ217" i="6"/>
  <c r="E3" i="28"/>
  <c r="E3" i="29"/>
  <c r="B18" i="29"/>
  <c r="B94" i="29"/>
  <c r="B27" i="29"/>
  <c r="B103" i="29"/>
  <c r="B62" i="29"/>
  <c r="B138" i="29"/>
  <c r="B36" i="29"/>
  <c r="B112" i="29"/>
  <c r="B57" i="29"/>
  <c r="B133" i="29"/>
  <c r="B52" i="29"/>
  <c r="B128" i="29"/>
  <c r="B7" i="28"/>
  <c r="B7" i="29"/>
  <c r="EG217" i="6"/>
  <c r="EG216" i="6" s="1"/>
  <c r="DY217" i="6"/>
  <c r="B11" i="28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9" s="1"/>
  <c r="T85" i="29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G7" i="11" s="1"/>
  <c r="R8" i="3"/>
  <c r="R8" i="11"/>
  <c r="G271" i="2"/>
  <c r="D15" i="1" s="1"/>
  <c r="S8" i="29" l="1"/>
  <c r="S84" i="29"/>
  <c r="S84" i="28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<sst xmlns="http://schemas.openxmlformats.org/spreadsheetml/2006/main" count="1956" uniqueCount="894">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</sst>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177" fontId="4" fillId="2" borderId="0" xfId="0" applyNumberFormat="1" applyFont="1" applyFill="1" applyAlignment="1" applyProtection="1">
      <alignment horizontal="center" vertical="center"/>
      <protection hidden="1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0" fontId="0" fillId="3" borderId="0" xfId="0" applyNumberFormat="1" applyFill="1" applyAlignment="1">
      <alignment vertical="center"/>
    </xf>
    <xf numFmtId="9" fontId="27" fillId="3" borderId="80" xfId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fmlaLink="Master!$B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fmlaLink="Master!$B$2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firstButton="1" fmlaLink="Master!$B$2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Master!$B$2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firstButton="1" fmlaLink="Master!$B$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januar-april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971.3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11.3%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32.7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su veći u odnosu na plan. U odnosu na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isti period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2025. godine, prihodi su veći 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73.8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996.3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11.6%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144.7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12.7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2025.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66.2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7.1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periodu januar-april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1.29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Execution-preliminary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Montenegro</v>
      </c>
      <c r="I2" s="3"/>
    </row>
    <row r="3" spans="1:20" s="1" customFormat="1">
      <c r="E3" s="3" t="str">
        <f>+Master!G7</f>
        <v>Ministry of Finance</v>
      </c>
    </row>
    <row r="4" spans="1:20" s="1" customFormat="1">
      <c r="E4" s="3" t="str">
        <f>+Master!G8</f>
        <v>Directorate for State Budget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2026-04</v>
      </c>
      <c r="O6" s="128" t="str">
        <f>+CONCATENATE(N6,"p")</f>
        <v>2026-04p</v>
      </c>
      <c r="P6" s="116"/>
      <c r="Q6" s="116"/>
      <c r="R6" s="128" t="str">
        <f>+IF(Master!B3-10&gt;=0,CONCATENATE(Master!B4-1,"-",Master!B3),CONCATENATE(Master!B4-1,"-0",Master!B3))</f>
        <v>2025-04</v>
      </c>
      <c r="S6" s="116"/>
      <c r="T6" s="116"/>
    </row>
    <row r="7" spans="1:20">
      <c r="A7" s="129"/>
      <c r="B7" s="583" t="s">
        <v>691</v>
      </c>
      <c r="C7" s="584"/>
      <c r="D7" s="584"/>
      <c r="E7" s="584"/>
      <c r="F7" s="584"/>
      <c r="G7" s="592" t="s">
        <v>690</v>
      </c>
      <c r="H7" s="593"/>
      <c r="I7" s="593"/>
      <c r="J7" s="593"/>
      <c r="K7" s="593"/>
      <c r="L7" s="593"/>
      <c r="M7" s="594"/>
      <c r="N7" s="595" t="str">
        <f>+Master!G243</f>
        <v>December</v>
      </c>
      <c r="O7" s="593"/>
      <c r="P7" s="593"/>
      <c r="Q7" s="593"/>
      <c r="R7" s="593"/>
      <c r="S7" s="593"/>
      <c r="T7" s="596"/>
    </row>
    <row r="8" spans="1:20">
      <c r="A8" s="129"/>
      <c r="B8" s="585"/>
      <c r="C8" s="586"/>
      <c r="D8" s="586"/>
      <c r="E8" s="586"/>
      <c r="F8" s="587"/>
      <c r="G8" s="130" t="str">
        <f>+Master!G26</f>
        <v>Execution-preliminary</v>
      </c>
      <c r="H8" s="130" t="str">
        <f>+Master!G25</f>
        <v>Plan</v>
      </c>
      <c r="I8" s="581" t="str">
        <f>+Master!G261</f>
        <v>Deviation</v>
      </c>
      <c r="J8" s="581"/>
      <c r="K8" s="130" t="str">
        <f>+CONCATENATE(Master!G246," ",Master!B4-1)</f>
        <v>Jan - Apr 2025</v>
      </c>
      <c r="L8" s="581" t="str">
        <f>+I8</f>
        <v>Deviation</v>
      </c>
      <c r="M8" s="591"/>
      <c r="N8" s="131" t="str">
        <f>+G8</f>
        <v>Execution-preliminary</v>
      </c>
      <c r="O8" s="130" t="str">
        <f>+H8</f>
        <v>Plan</v>
      </c>
      <c r="P8" s="581" t="str">
        <f>+I8</f>
        <v>Deviation</v>
      </c>
      <c r="Q8" s="581"/>
      <c r="R8" s="130" t="str">
        <f>+CONCATENATE(Master!G245," ",Master!B4-1)</f>
        <v>April 2025</v>
      </c>
      <c r="S8" s="581" t="str">
        <f>+P8</f>
        <v>Deviation</v>
      </c>
      <c r="T8" s="582"/>
    </row>
    <row r="9" spans="1:20" ht="15.7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51" t="str">
        <f>+VLOOKUP($A10,Master!$D$30:$G$226,4,FALSE)</f>
        <v>Total Revenues</v>
      </c>
      <c r="C10" s="552"/>
      <c r="D10" s="552"/>
      <c r="E10" s="552"/>
      <c r="F10" s="55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55" t="e">
        <f>+VLOOKUP($A18,Master!$D$30:$G$226,4,FALSE)</f>
        <v>#N/A</v>
      </c>
      <c r="C18" s="556"/>
      <c r="D18" s="556"/>
      <c r="E18" s="556"/>
      <c r="F18" s="556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55" t="str">
        <f>+VLOOKUP($A19,Master!$D$30:$G$226,4,FALSE)</f>
        <v>Other Republic Taxes</v>
      </c>
      <c r="C19" s="556"/>
      <c r="D19" s="556"/>
      <c r="E19" s="556"/>
      <c r="F19" s="556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59" t="str">
        <f>+VLOOKUP($A20,Master!$D$30:$G$226,4,FALSE)</f>
        <v>Contributions</v>
      </c>
      <c r="C20" s="560"/>
      <c r="D20" s="560"/>
      <c r="E20" s="560"/>
      <c r="F20" s="56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55" t="str">
        <f>+VLOOKUP($A21,Master!$D$30:$G$226,4,FALSE)</f>
        <v>Contributions for Pension and Disability Insurance</v>
      </c>
      <c r="C21" s="556"/>
      <c r="D21" s="556"/>
      <c r="E21" s="556"/>
      <c r="F21" s="556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55" t="str">
        <f>+VLOOKUP($A22,Master!$D$30:$G$226,4,FALSE)</f>
        <v>Contributions for Health Insurance</v>
      </c>
      <c r="C22" s="556"/>
      <c r="D22" s="556"/>
      <c r="E22" s="556"/>
      <c r="F22" s="556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55" t="str">
        <f>+VLOOKUP($A23,Master!$D$30:$G$226,4,FALSE)</f>
        <v>Contributions for  Unemployment Insurance</v>
      </c>
      <c r="C23" s="556"/>
      <c r="D23" s="556"/>
      <c r="E23" s="556"/>
      <c r="F23" s="556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55" t="str">
        <f>+VLOOKUP($A24,Master!$D$30:$G$226,4,FALSE)</f>
        <v>Other contributions</v>
      </c>
      <c r="C24" s="556"/>
      <c r="D24" s="556"/>
      <c r="E24" s="556"/>
      <c r="F24" s="556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57" t="str">
        <f>+VLOOKUP($A25,Master!$D$30:$G$226,4,FALSE)</f>
        <v>Duties</v>
      </c>
      <c r="C25" s="558"/>
      <c r="D25" s="558"/>
      <c r="E25" s="558"/>
      <c r="F25" s="558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57" t="str">
        <f>+VLOOKUP($A26,Master!$D$30:$G$226,4,FALSE)</f>
        <v>Fees</v>
      </c>
      <c r="C26" s="558"/>
      <c r="D26" s="558"/>
      <c r="E26" s="558"/>
      <c r="F26" s="558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57" t="str">
        <f>+VLOOKUP($A27,Master!$D$30:$G$226,4,FALSE)</f>
        <v>Other revenues</v>
      </c>
      <c r="C27" s="558"/>
      <c r="D27" s="558"/>
      <c r="E27" s="558"/>
      <c r="F27" s="558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57" t="str">
        <f>+VLOOKUP($A28,Master!$D$30:$G$226,4,FALSE)</f>
        <v>Receipts from Repayment of Loans and Funds Carried over from Previous Year</v>
      </c>
      <c r="C28" s="558"/>
      <c r="D28" s="558"/>
      <c r="E28" s="558"/>
      <c r="F28" s="558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61" t="str">
        <f>+VLOOKUP($A29,Master!$D$30:$G$226,4,FALSE)</f>
        <v>Grants and Transfers</v>
      </c>
      <c r="C29" s="562"/>
      <c r="D29" s="562"/>
      <c r="E29" s="562"/>
      <c r="F29" s="56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63" t="str">
        <f>+VLOOKUP($A30,Master!$D$30:$G$226,4,FALSE)</f>
        <v>Total Expenditures</v>
      </c>
      <c r="C30" s="564"/>
      <c r="D30" s="564"/>
      <c r="E30" s="564"/>
      <c r="F30" s="564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65" t="str">
        <f>+VLOOKUP($A31,Master!$D$30:$G$226,4,FALSE)</f>
        <v>Current Expenditures</v>
      </c>
      <c r="C31" s="566"/>
      <c r="D31" s="566"/>
      <c r="E31" s="566"/>
      <c r="F31" s="56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67" t="str">
        <f>+VLOOKUP($A32,Master!$D$30:$G$226,4,FALSE)</f>
        <v>Current Budgetary Consumption</v>
      </c>
      <c r="C32" s="568"/>
      <c r="D32" s="568"/>
      <c r="E32" s="568"/>
      <c r="F32" s="56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55" t="str">
        <f>+VLOOKUP($A33,Master!$D$30:$G$226,4,FALSE)</f>
        <v>Gross Salaries and Contributions</v>
      </c>
      <c r="C33" s="556"/>
      <c r="D33" s="556"/>
      <c r="E33" s="556"/>
      <c r="F33" s="556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55" t="str">
        <f>+VLOOKUP($A34,Master!$D$30:$G$226,4,FALSE)</f>
        <v>Other Personal Income</v>
      </c>
      <c r="C34" s="556"/>
      <c r="D34" s="556"/>
      <c r="E34" s="556"/>
      <c r="F34" s="556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55" t="str">
        <f>+VLOOKUP($A35,Master!$D$30:$G$226,4,FALSE)</f>
        <v>Expenditures for Supplies</v>
      </c>
      <c r="C35" s="556"/>
      <c r="D35" s="556"/>
      <c r="E35" s="556"/>
      <c r="F35" s="556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55" t="str">
        <f>+VLOOKUP($A36,Master!$D$30:$G$226,4,FALSE)</f>
        <v>Expenditures for Services</v>
      </c>
      <c r="C36" s="556"/>
      <c r="D36" s="556"/>
      <c r="E36" s="556"/>
      <c r="F36" s="556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55" t="str">
        <f>+VLOOKUP($A37,Master!$D$30:$G$226,4,FALSE)</f>
        <v>Current Maintenance</v>
      </c>
      <c r="C37" s="556"/>
      <c r="D37" s="556"/>
      <c r="E37" s="556"/>
      <c r="F37" s="556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55" t="str">
        <f>+VLOOKUP($A38,Master!$D$30:$G$226,4,FALSE)</f>
        <v>Interests</v>
      </c>
      <c r="C38" s="556"/>
      <c r="D38" s="556"/>
      <c r="E38" s="556"/>
      <c r="F38" s="556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55" t="str">
        <f>+VLOOKUP($A39,Master!$D$30:$G$226,4,FALSE)</f>
        <v>Rent</v>
      </c>
      <c r="C39" s="556"/>
      <c r="D39" s="556"/>
      <c r="E39" s="556"/>
      <c r="F39" s="556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55" t="str">
        <f>+VLOOKUP($A40,Master!$D$30:$G$226,4,FALSE)</f>
        <v>Subsidies</v>
      </c>
      <c r="C40" s="556"/>
      <c r="D40" s="556"/>
      <c r="E40" s="556"/>
      <c r="F40" s="556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55" t="str">
        <f>+VLOOKUP($A41,Master!$D$30:$G$226,4,FALSE)</f>
        <v>Other expenditures</v>
      </c>
      <c r="C41" s="556"/>
      <c r="D41" s="556"/>
      <c r="E41" s="556"/>
      <c r="F41" s="556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55" t="e">
        <f>+VLOOKUP($A42,Master!$D$30:$G$226,4,FALSE)</f>
        <v>#N/A</v>
      </c>
      <c r="C42" s="556"/>
      <c r="D42" s="556"/>
      <c r="E42" s="556"/>
      <c r="F42" s="556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71" t="str">
        <f>+VLOOKUP($A43,Master!$D$30:$G$226,4,FALSE)</f>
        <v>Social Security Transfers</v>
      </c>
      <c r="C43" s="572"/>
      <c r="D43" s="572"/>
      <c r="E43" s="572"/>
      <c r="F43" s="572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55" t="str">
        <f>+VLOOKUP($A44,Master!$D$30:$G$226,4,FALSE)</f>
        <v>Social Security</v>
      </c>
      <c r="C44" s="556"/>
      <c r="D44" s="556"/>
      <c r="E44" s="556"/>
      <c r="F44" s="556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55" t="str">
        <f>+VLOOKUP($A45,Master!$D$30:$G$226,4,FALSE)</f>
        <v>Funds for redundant labor</v>
      </c>
      <c r="C45" s="556"/>
      <c r="D45" s="556"/>
      <c r="E45" s="556"/>
      <c r="F45" s="556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55" t="str">
        <f>+VLOOKUP($A46,Master!$D$30:$G$226,4,FALSE)</f>
        <v>Pension and Disability Insurance</v>
      </c>
      <c r="C46" s="556"/>
      <c r="D46" s="556"/>
      <c r="E46" s="556"/>
      <c r="F46" s="556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55" t="str">
        <f>+VLOOKUP($A47,Master!$D$30:$G$226,4,FALSE)</f>
        <v>Other Health Care Transfers</v>
      </c>
      <c r="C47" s="556"/>
      <c r="D47" s="556"/>
      <c r="E47" s="556"/>
      <c r="F47" s="556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55" t="str">
        <f>+VLOOKUP($A48,Master!$D$30:$G$226,4,FALSE)</f>
        <v>Other Health Care Insurance</v>
      </c>
      <c r="C48" s="556"/>
      <c r="D48" s="556"/>
      <c r="E48" s="556"/>
      <c r="F48" s="556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69" t="str">
        <f>+VLOOKUP($A49,Master!$D$30:$G$226,4,FALSE)</f>
        <v xml:space="preserve">Transfers to Institutions, Individuals, NGO and Public Sector </v>
      </c>
      <c r="C49" s="570"/>
      <c r="D49" s="570"/>
      <c r="E49" s="570"/>
      <c r="F49" s="570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69" t="str">
        <f>+VLOOKUP($A50,Master!$D$30:$G$226,4,FALSE)</f>
        <v>Capital Expenditure</v>
      </c>
      <c r="C50" s="570"/>
      <c r="D50" s="570"/>
      <c r="E50" s="570"/>
      <c r="F50" s="570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73" t="str">
        <f>+VLOOKUP($A51,Master!$D$30:$G$226,4,FALSE)</f>
        <v>Credits and Borrowings</v>
      </c>
      <c r="C51" s="574"/>
      <c r="D51" s="574"/>
      <c r="E51" s="574"/>
      <c r="F51" s="574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73" t="str">
        <f>+VLOOKUP($A52,Master!$D$30:$G$226,4,FALSE)</f>
        <v>Reserves</v>
      </c>
      <c r="C52" s="574"/>
      <c r="D52" s="574"/>
      <c r="E52" s="574"/>
      <c r="F52" s="574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5" t="str">
        <f>+VLOOKUP($A53,Master!$D$30:$G$226,4,FALSE)</f>
        <v>Repayment of Guarantees</v>
      </c>
      <c r="C53" s="576"/>
      <c r="D53" s="576"/>
      <c r="E53" s="576"/>
      <c r="F53" s="57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5" t="str">
        <f>+VLOOKUP($A54,Master!$D$30:$G$226,4,FALSE)</f>
        <v>Repayments of liabilities form the previous period</v>
      </c>
      <c r="C54" s="576"/>
      <c r="D54" s="576"/>
      <c r="E54" s="576"/>
      <c r="F54" s="57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5" t="str">
        <f>+VLOOKUP($A55,Master!$D$30:$G$228,4,FALSE)</f>
        <v>Net increase of liabilities</v>
      </c>
      <c r="C55" s="576"/>
      <c r="D55" s="576"/>
      <c r="E55" s="576"/>
      <c r="F55" s="57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77" t="str">
        <f>+VLOOKUP($A56,Master!$D$30:$G$226,4,FALSE)</f>
        <v>Surplus / deficit</v>
      </c>
      <c r="C56" s="578"/>
      <c r="D56" s="578"/>
      <c r="E56" s="578"/>
      <c r="F56" s="578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79" t="str">
        <f>+VLOOKUP($A57,Master!$D$30:$G$226,4,FALSE)</f>
        <v>Primary surplus/deficit</v>
      </c>
      <c r="C57" s="580"/>
      <c r="D57" s="580"/>
      <c r="E57" s="580"/>
      <c r="F57" s="580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71" t="str">
        <f>+VLOOKUP($A58,Master!$D$30:$G$226,4,FALSE)</f>
        <v>Repayment of Debt</v>
      </c>
      <c r="C58" s="572"/>
      <c r="D58" s="572"/>
      <c r="E58" s="572"/>
      <c r="F58" s="572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97" t="str">
        <f>+VLOOKUP($A59,Master!$D$30:$G$226,4,FALSE)</f>
        <v>Repayment of Domestic Debt</v>
      </c>
      <c r="C59" s="598"/>
      <c r="D59" s="598"/>
      <c r="E59" s="598"/>
      <c r="F59" s="598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73" t="str">
        <f>+VLOOKUP($A60,Master!$D$30:$G$226,4,FALSE)</f>
        <v>Repayment of Foreign Debt</v>
      </c>
      <c r="C60" s="574"/>
      <c r="D60" s="574"/>
      <c r="E60" s="574"/>
      <c r="F60" s="574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Repayments of liabilities form the previous period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99" t="str">
        <f>+VLOOKUP($A62,Master!$D$30:$G$226,4,FALSE)</f>
        <v>Financing needs</v>
      </c>
      <c r="C62" s="600"/>
      <c r="D62" s="600"/>
      <c r="E62" s="600"/>
      <c r="F62" s="600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63" t="str">
        <f>+VLOOKUP($A63,Master!$D$30:$G$226,4,FALSE)</f>
        <v>Financing</v>
      </c>
      <c r="C63" s="564"/>
      <c r="D63" s="564"/>
      <c r="E63" s="564"/>
      <c r="F63" s="564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97" t="str">
        <f>+VLOOKUP($A64,Master!$D$30:$G$226,4,FALSE)</f>
        <v>Domestic Loans and Borrowings</v>
      </c>
      <c r="C64" s="598"/>
      <c r="D64" s="598"/>
      <c r="E64" s="598"/>
      <c r="F64" s="598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73" t="str">
        <f>+VLOOKUP($A65,Master!$D$30:$G$226,4,FALSE)</f>
        <v>Foreign Loans and Borrowings</v>
      </c>
      <c r="C65" s="574"/>
      <c r="D65" s="574"/>
      <c r="E65" s="574"/>
      <c r="F65" s="574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73" t="str">
        <f>+VLOOKUP($A66,Master!$D$30:$G$226,4,FALSE)</f>
        <v>Revenues from Selling Assets</v>
      </c>
      <c r="C66" s="574"/>
      <c r="D66" s="574"/>
      <c r="E66" s="574"/>
      <c r="F66" s="574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Increase / decrease of deposits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2020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4185600000</v>
      </c>
    </row>
    <row r="8" spans="1:20" ht="16.5" customHeight="1">
      <c r="A8" s="129"/>
      <c r="B8" s="585"/>
      <c r="C8" s="586"/>
      <c r="D8" s="586"/>
      <c r="E8" s="586"/>
      <c r="F8" s="587"/>
      <c r="G8" s="130" t="str">
        <f>+Master!G232</f>
        <v>January</v>
      </c>
      <c r="H8" s="130" t="str">
        <f>+Master!G233</f>
        <v>February</v>
      </c>
      <c r="I8" s="130" t="str">
        <f>+Master!G234</f>
        <v>March</v>
      </c>
      <c r="J8" s="130" t="str">
        <f>+Master!G235</f>
        <v>April</v>
      </c>
      <c r="K8" s="130" t="str">
        <f>+Master!G236</f>
        <v>May</v>
      </c>
      <c r="L8" s="130" t="str">
        <f>+Master!G237</f>
        <v>June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0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0" ht="13.5" thickBot="1">
      <c r="A10" s="135">
        <v>7</v>
      </c>
      <c r="B10" s="551" t="str">
        <f>+VLOOKUP($A10,Master!$D$30:$G$226,4,FALSE)</f>
        <v>Total Revenues</v>
      </c>
      <c r="C10" s="552"/>
      <c r="D10" s="552"/>
      <c r="E10" s="552"/>
      <c r="F10" s="55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59" t="str">
        <f>+VLOOKUP($A19,Master!$D$30:$G$226,4,FALSE)</f>
        <v>Contributions</v>
      </c>
      <c r="C19" s="560"/>
      <c r="D19" s="560"/>
      <c r="E19" s="560"/>
      <c r="F19" s="56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61" t="str">
        <f>+VLOOKUP($A28,Master!$D$30:$G$226,4,FALSE)</f>
        <v>Grants and Transfers</v>
      </c>
      <c r="C28" s="562"/>
      <c r="D28" s="562"/>
      <c r="E28" s="562"/>
      <c r="F28" s="56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0" t="str">
        <f>+VLOOKUP($A39,Master!$D$30:$G$226,4,FALSE)</f>
        <v>Other expenditures</v>
      </c>
      <c r="C39" s="651"/>
      <c r="D39" s="651"/>
      <c r="E39" s="651"/>
      <c r="F39" s="651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99" t="str">
        <f>+VLOOKUP($A59,Master!$D$30:$G$226,4,FALSE)</f>
        <v>Financing needs</v>
      </c>
      <c r="C59" s="600"/>
      <c r="D59" s="600"/>
      <c r="E59" s="600"/>
      <c r="F59" s="600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63" t="str">
        <f>+VLOOKUP($A60,Master!$D$30:$G$226,4,FALSE)</f>
        <v>Financing</v>
      </c>
      <c r="C60" s="564"/>
      <c r="D60" s="564"/>
      <c r="E60" s="564"/>
      <c r="F60" s="564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97" t="str">
        <f>+VLOOKUP($A61,Master!$D$30:$G$226,4,FALSE)</f>
        <v>Domestic Loans and Borrowings</v>
      </c>
      <c r="C61" s="598"/>
      <c r="D61" s="598"/>
      <c r="E61" s="598"/>
      <c r="F61" s="598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73" t="str">
        <f>+VLOOKUP($A62,Master!$D$30:$G$226,4,FALSE)</f>
        <v>Foreign Loans and Borrowings</v>
      </c>
      <c r="C62" s="574"/>
      <c r="D62" s="574"/>
      <c r="E62" s="574"/>
      <c r="F62" s="574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73" t="str">
        <f>+VLOOKUP($A63,Master!$D$30:$G$226,4,FALSE)</f>
        <v>Revenues from Selling Assets</v>
      </c>
      <c r="C63" s="574"/>
      <c r="D63" s="574"/>
      <c r="E63" s="574"/>
      <c r="F63" s="574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Increase / decrease of deposits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27" t="str">
        <f>+Master!G253</f>
        <v>Planned Budget Execution</v>
      </c>
      <c r="C100" s="628"/>
      <c r="D100" s="628"/>
      <c r="E100" s="628"/>
      <c r="F100" s="628"/>
      <c r="G100" s="635">
        <v>2020</v>
      </c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7"/>
      <c r="S100" s="96" t="str">
        <f>+S7</f>
        <v>GDP</v>
      </c>
      <c r="T100" s="97">
        <v>4607300000</v>
      </c>
    </row>
    <row r="101" spans="1:21" ht="15.75" customHeight="1">
      <c r="B101" s="629"/>
      <c r="C101" s="630"/>
      <c r="D101" s="630"/>
      <c r="E101" s="630"/>
      <c r="F101" s="631"/>
      <c r="G101" s="62" t="str">
        <f t="shared" ref="G101:R101" si="15">+G8</f>
        <v>January</v>
      </c>
      <c r="H101" s="62" t="str">
        <f t="shared" si="15"/>
        <v>February</v>
      </c>
      <c r="I101" s="62" t="str">
        <f t="shared" si="15"/>
        <v>March</v>
      </c>
      <c r="J101" s="62" t="str">
        <f t="shared" si="15"/>
        <v>April</v>
      </c>
      <c r="K101" s="62" t="str">
        <f t="shared" si="15"/>
        <v>May</v>
      </c>
      <c r="L101" s="62" t="str">
        <f t="shared" si="15"/>
        <v>June</v>
      </c>
      <c r="M101" s="62" t="str">
        <f t="shared" si="15"/>
        <v>July</v>
      </c>
      <c r="N101" s="62" t="str">
        <f t="shared" si="15"/>
        <v>August</v>
      </c>
      <c r="O101" s="62" t="str">
        <f t="shared" si="15"/>
        <v>September</v>
      </c>
      <c r="P101" s="62" t="str">
        <f t="shared" si="15"/>
        <v>October</v>
      </c>
      <c r="Q101" s="62" t="str">
        <f t="shared" si="15"/>
        <v>November</v>
      </c>
      <c r="R101" s="62" t="str">
        <f t="shared" si="15"/>
        <v>December</v>
      </c>
      <c r="S101" s="635" t="str">
        <f>+Master!G247</f>
        <v>Jan - Dec</v>
      </c>
      <c r="T101" s="637">
        <f>+T8</f>
        <v>0</v>
      </c>
    </row>
    <row r="102" spans="1:21" ht="13.5" thickBot="1">
      <c r="B102" s="632"/>
      <c r="C102" s="633"/>
      <c r="D102" s="633"/>
      <c r="E102" s="633"/>
      <c r="F102" s="634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GDP</v>
      </c>
    </row>
    <row r="103" spans="1:21" ht="13.5" thickBot="1">
      <c r="A103" s="105" t="str">
        <f t="shared" ref="A103:A144" si="16">+CONCATENATE(A10,"p")</f>
        <v>7p</v>
      </c>
      <c r="B103" s="652" t="str">
        <f>+VLOOKUP(LEFT($A103,LEN(A103)-1)*1,Master!$D$30:$G$226,4,FALSE)</f>
        <v>Total Revenues</v>
      </c>
      <c r="C103" s="653"/>
      <c r="D103" s="653"/>
      <c r="E103" s="653"/>
      <c r="F103" s="653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5" t="str">
        <f>+VLOOKUP(LEFT($A104,LEN(A104)-1)*1,Master!$D$30:$G$226,4,FALSE)</f>
        <v>Taxes</v>
      </c>
      <c r="C104" s="626"/>
      <c r="D104" s="626"/>
      <c r="E104" s="626"/>
      <c r="F104" s="62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17" t="str">
        <f>+VLOOKUP(LEFT($A105,LEN(A105)-1)*1,Master!$D$30:$G$229,4,FALSE)</f>
        <v>Personal Income Tax</v>
      </c>
      <c r="C105" s="618"/>
      <c r="D105" s="618"/>
      <c r="E105" s="618"/>
      <c r="F105" s="61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17" t="str">
        <f>+VLOOKUP(LEFT($A106,LEN(A106)-1)*1,Master!$D$30:$G$229,4,FALSE)</f>
        <v>Corporate Income Tax</v>
      </c>
      <c r="C106" s="618"/>
      <c r="D106" s="618"/>
      <c r="E106" s="618"/>
      <c r="F106" s="61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17" t="str">
        <f>+VLOOKUP(LEFT($A107,LEN(A107)-1)*1,Master!$D$30:$G$229,4,FALSE)</f>
        <v xml:space="preserve">Taxes on Sales of Property </v>
      </c>
      <c r="C107" s="618"/>
      <c r="D107" s="618"/>
      <c r="E107" s="618"/>
      <c r="F107" s="61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17" t="str">
        <f>+VLOOKUP(LEFT($A108,LEN(A108)-1)*1,Master!$D$30:$G$229,4,FALSE)</f>
        <v>Value Added Tax</v>
      </c>
      <c r="C108" s="618"/>
      <c r="D108" s="618"/>
      <c r="E108" s="618"/>
      <c r="F108" s="61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17" t="str">
        <f>+VLOOKUP(LEFT($A109,LEN(A109)-1)*1,Master!$D$30:$G$229,4,FALSE)</f>
        <v>Excises</v>
      </c>
      <c r="C109" s="618"/>
      <c r="D109" s="618"/>
      <c r="E109" s="618"/>
      <c r="F109" s="61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17" t="str">
        <f>+VLOOKUP(LEFT($A110,LEN(A110)-1)*1,Master!$D$30:$G$229,4,FALSE)</f>
        <v>Tax on International Trade and Transactions</v>
      </c>
      <c r="C110" s="618"/>
      <c r="D110" s="618"/>
      <c r="E110" s="618"/>
      <c r="F110" s="61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17" t="str">
        <f>+VLOOKUP(LEFT($A111,LEN(A111)-1)*1,Master!$D$30:$G$229,4,FALSE)</f>
        <v>Other Republic Taxes</v>
      </c>
      <c r="C111" s="618"/>
      <c r="D111" s="618"/>
      <c r="E111" s="618"/>
      <c r="F111" s="61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4" t="str">
        <f>+VLOOKUP(LEFT($A112,LEN(A112)-1)*1,Master!$D$30:$G$229,4,FALSE)</f>
        <v>Contributions</v>
      </c>
      <c r="C112" s="655"/>
      <c r="D112" s="655"/>
      <c r="E112" s="655"/>
      <c r="F112" s="65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17" t="str">
        <f>+VLOOKUP(LEFT($A113,LEN(A113)-1)*1,Master!$D$30:$G$229,4,FALSE)</f>
        <v>Contributions for Pension and Disability Insurance</v>
      </c>
      <c r="C113" s="618"/>
      <c r="D113" s="618"/>
      <c r="E113" s="618"/>
      <c r="F113" s="61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17" t="str">
        <f>+VLOOKUP(LEFT($A114,LEN(A114)-1)*1,Master!$D$30:$G$229,4,FALSE)</f>
        <v>Contributions for Health Insurance</v>
      </c>
      <c r="C114" s="618"/>
      <c r="D114" s="618"/>
      <c r="E114" s="618"/>
      <c r="F114" s="61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17" t="str">
        <f>+VLOOKUP(LEFT($A115,LEN(A115)-1)*1,Master!$D$30:$G$229,4,FALSE)</f>
        <v>Contributions for  Unemployment Insurance</v>
      </c>
      <c r="C115" s="618"/>
      <c r="D115" s="618"/>
      <c r="E115" s="618"/>
      <c r="F115" s="61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17" t="str">
        <f>+VLOOKUP(LEFT($A116,LEN(A116)-1)*1,Master!$D$30:$G$229,4,FALSE)</f>
        <v>Other contributions</v>
      </c>
      <c r="C116" s="618"/>
      <c r="D116" s="618"/>
      <c r="E116" s="618"/>
      <c r="F116" s="61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23" t="str">
        <f>+VLOOKUP(LEFT($A117,LEN(A117)-1)*1,Master!$D$30:$G$229,4,FALSE)</f>
        <v>Duties</v>
      </c>
      <c r="C117" s="624"/>
      <c r="D117" s="624"/>
      <c r="E117" s="624"/>
      <c r="F117" s="624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23" t="str">
        <f>+VLOOKUP(LEFT($A118,LEN(A118)-1)*1,Master!$D$30:$G$229,4,FALSE)</f>
        <v>Fees</v>
      </c>
      <c r="C118" s="624"/>
      <c r="D118" s="624"/>
      <c r="E118" s="624"/>
      <c r="F118" s="624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23" t="str">
        <f>+VLOOKUP(LEFT($A119,LEN(A119)-1)*1,Master!$D$30:$G$229,4,FALSE)</f>
        <v>Other revenues</v>
      </c>
      <c r="C119" s="624"/>
      <c r="D119" s="624"/>
      <c r="E119" s="624"/>
      <c r="F119" s="624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23" t="str">
        <f>+VLOOKUP(LEFT($A120,LEN(A120)-1)*1,Master!$D$30:$G$229,4,FALSE)</f>
        <v>Receipts from Repayment of Loans and Funds Carried over from Previous Year</v>
      </c>
      <c r="C120" s="624"/>
      <c r="D120" s="624"/>
      <c r="E120" s="624"/>
      <c r="F120" s="624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19" t="str">
        <f>+VLOOKUP(LEFT($A121,LEN(A121)-1)*1,Master!$D$30:$G$229,4,FALSE)</f>
        <v>Grants and Transfers</v>
      </c>
      <c r="C121" s="620"/>
      <c r="D121" s="620"/>
      <c r="E121" s="620"/>
      <c r="F121" s="62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01" t="str">
        <f>+VLOOKUP(LEFT($A122,LEN(A122)-1)*1,Master!$D$30:$G$229,4,FALSE)</f>
        <v>Total Expenditures</v>
      </c>
      <c r="C122" s="602"/>
      <c r="D122" s="602"/>
      <c r="E122" s="602"/>
      <c r="F122" s="602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21" t="str">
        <f>+VLOOKUP(LEFT($A123,LEN(A123)-1)*1,Master!$D$30:$G$229,4,FALSE)</f>
        <v>Current Expenditures</v>
      </c>
      <c r="C123" s="622"/>
      <c r="D123" s="622"/>
      <c r="E123" s="622"/>
      <c r="F123" s="62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17" t="str">
        <f>+VLOOKUP(LEFT($A124,LEN(A124)-1)*1,Master!$D$30:$G$229,4,FALSE)</f>
        <v>Gross Salaries and Contributions</v>
      </c>
      <c r="C124" s="618"/>
      <c r="D124" s="618"/>
      <c r="E124" s="618"/>
      <c r="F124" s="61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17" t="str">
        <f>+VLOOKUP(LEFT($A125,LEN(A125)-1)*1,Master!$D$30:$G$229,4,FALSE)</f>
        <v>Other Personal Income</v>
      </c>
      <c r="C125" s="618"/>
      <c r="D125" s="618"/>
      <c r="E125" s="618"/>
      <c r="F125" s="61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17" t="str">
        <f>+VLOOKUP(LEFT($A126,LEN(A126)-1)*1,Master!$D$30:$G$229,4,FALSE)</f>
        <v>Expenditures for Supplies</v>
      </c>
      <c r="C126" s="618"/>
      <c r="D126" s="618"/>
      <c r="E126" s="618"/>
      <c r="F126" s="61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17" t="str">
        <f>+VLOOKUP(LEFT($A127,LEN(A127)-1)*1,Master!$D$30:$G$229,4,FALSE)</f>
        <v>Expenditures for Services</v>
      </c>
      <c r="C127" s="618"/>
      <c r="D127" s="618"/>
      <c r="E127" s="618"/>
      <c r="F127" s="61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17" t="str">
        <f>+VLOOKUP(LEFT($A128,LEN(A128)-1)*1,Master!$D$30:$G$229,4,FALSE)</f>
        <v>Current Maintenance</v>
      </c>
      <c r="C128" s="618"/>
      <c r="D128" s="618"/>
      <c r="E128" s="618"/>
      <c r="F128" s="61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17" t="str">
        <f>+VLOOKUP(LEFT($A129,LEN(A129)-1)*1,Master!$D$30:$G$229,4,FALSE)</f>
        <v>Interests</v>
      </c>
      <c r="C129" s="618"/>
      <c r="D129" s="618"/>
      <c r="E129" s="618"/>
      <c r="F129" s="61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17" t="str">
        <f>+VLOOKUP(LEFT($A130,LEN(A130)-1)*1,Master!$D$30:$G$229,4,FALSE)</f>
        <v>Rent</v>
      </c>
      <c r="C130" s="618"/>
      <c r="D130" s="618"/>
      <c r="E130" s="618"/>
      <c r="F130" s="61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17" t="str">
        <f>+VLOOKUP(LEFT($A131,LEN(A131)-1)*1,Master!$D$30:$G$229,4,FALSE)</f>
        <v>Subsidies</v>
      </c>
      <c r="C131" s="618"/>
      <c r="D131" s="618"/>
      <c r="E131" s="618"/>
      <c r="F131" s="61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17" t="str">
        <f>+VLOOKUP(LEFT($A132,LEN(A132)-1)*1,Master!$D$30:$G$229,4,FALSE)</f>
        <v>Other expenditures</v>
      </c>
      <c r="C132" s="618"/>
      <c r="D132" s="618"/>
      <c r="E132" s="618"/>
      <c r="F132" s="61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13" t="str">
        <f>+VLOOKUP(LEFT($A133,LEN(A133)-1)*1,Master!$D$30:$G$229,4,FALSE)</f>
        <v>Social Security Transfers</v>
      </c>
      <c r="C133" s="614"/>
      <c r="D133" s="614"/>
      <c r="E133" s="614"/>
      <c r="F133" s="614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17" t="str">
        <f>+VLOOKUP(LEFT($A134,LEN(A134)-1)*1,Master!$D$30:$G$229,4,FALSE)</f>
        <v>Social Security</v>
      </c>
      <c r="C134" s="618"/>
      <c r="D134" s="618"/>
      <c r="E134" s="618"/>
      <c r="F134" s="61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17" t="str">
        <f>+VLOOKUP(LEFT($A135,LEN(A135)-1)*1,Master!$D$30:$G$229,4,FALSE)</f>
        <v>Funds for redundant labor</v>
      </c>
      <c r="C135" s="618"/>
      <c r="D135" s="618"/>
      <c r="E135" s="618"/>
      <c r="F135" s="61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17" t="str">
        <f>+VLOOKUP(LEFT($A136,LEN(A136)-1)*1,Master!$D$30:$G$229,4,FALSE)</f>
        <v>Pension and Disability Insurance</v>
      </c>
      <c r="C136" s="618"/>
      <c r="D136" s="618"/>
      <c r="E136" s="618"/>
      <c r="F136" s="61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17" t="str">
        <f>+VLOOKUP(LEFT($A137,LEN(A137)-1)*1,Master!$D$30:$G$229,4,FALSE)</f>
        <v>Other Health Care Transfers</v>
      </c>
      <c r="C137" s="618"/>
      <c r="D137" s="618"/>
      <c r="E137" s="618"/>
      <c r="F137" s="61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17" t="str">
        <f>+VLOOKUP(LEFT($A138,LEN(A138)-1)*1,Master!$D$30:$G$229,4,FALSE)</f>
        <v>Other Health Care Insurance</v>
      </c>
      <c r="C138" s="618"/>
      <c r="D138" s="618"/>
      <c r="E138" s="618"/>
      <c r="F138" s="61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15" t="str">
        <f>+VLOOKUP(LEFT($A139,LEN(A139)-1)*1,Master!$D$30:$G$229,4,FALSE)</f>
        <v xml:space="preserve">Transfers to Institutions, Individuals, NGO and Public Sector </v>
      </c>
      <c r="C139" s="616"/>
      <c r="D139" s="616"/>
      <c r="E139" s="616"/>
      <c r="F139" s="616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15" t="str">
        <f>+VLOOKUP(LEFT($A140,LEN(A140)-1)*1,Master!$D$30:$G$229,4,FALSE)</f>
        <v>Capital Expenditure</v>
      </c>
      <c r="C140" s="616"/>
      <c r="D140" s="616"/>
      <c r="E140" s="616"/>
      <c r="F140" s="616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07" t="str">
        <f>+VLOOKUP(LEFT($A141,LEN(A141)-1)*1,Master!$D$30:$G$229,4,FALSE)</f>
        <v>Credits and Borrowings</v>
      </c>
      <c r="C141" s="608"/>
      <c r="D141" s="608"/>
      <c r="E141" s="608"/>
      <c r="F141" s="608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07" t="str">
        <f>+VLOOKUP(LEFT($A142,LEN(A142)-1)*1,Master!$D$30:$G$229,4,FALSE)</f>
        <v>Reserves</v>
      </c>
      <c r="C142" s="608"/>
      <c r="D142" s="608"/>
      <c r="E142" s="608"/>
      <c r="F142" s="608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07" t="str">
        <f>+VLOOKUP(LEFT($A143,LEN(A143)-1)*1,Master!$D$30:$G$229,4,FALSE)</f>
        <v>Repayment of Guarantees</v>
      </c>
      <c r="C143" s="608"/>
      <c r="D143" s="608"/>
      <c r="E143" s="608"/>
      <c r="F143" s="608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07" t="str">
        <f>+VLOOKUP(LEFT($A144,LEN(A144)-1)*1,Master!$D$30:$G$229,4,FALSE)</f>
        <v>Repayments of liabilities form the previous period</v>
      </c>
      <c r="C144" s="608"/>
      <c r="D144" s="608"/>
      <c r="E144" s="608"/>
      <c r="F144" s="608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07" t="str">
        <f>+VLOOKUP(LEFT($A145,LEN(A145)-1)*1,Master!$D$30:$G$229,4,FALSE)</f>
        <v>Net increase of liabilities</v>
      </c>
      <c r="C145" s="608"/>
      <c r="D145" s="608"/>
      <c r="E145" s="608"/>
      <c r="F145" s="608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09" t="str">
        <f>+VLOOKUP(LEFT($A146,LEN(A146)-1)*1,Master!$D$30:$G$226,4,FALSE)</f>
        <v>Surplus / deficit</v>
      </c>
      <c r="C146" s="610"/>
      <c r="D146" s="610"/>
      <c r="E146" s="610"/>
      <c r="F146" s="610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11" t="str">
        <f>+VLOOKUP(LEFT($A147,LEN(A147)-1)*1,Master!$D$30:$G$226,4,FALSE)</f>
        <v>Primary surplus/deficit</v>
      </c>
      <c r="C147" s="612"/>
      <c r="D147" s="612"/>
      <c r="E147" s="612"/>
      <c r="F147" s="612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13" t="str">
        <f>+VLOOKUP(LEFT($A148,LEN(A148)-1)*1,Master!$D$30:$G$226,4,FALSE)</f>
        <v>Repayment of Debt</v>
      </c>
      <c r="C148" s="614"/>
      <c r="D148" s="614"/>
      <c r="E148" s="614"/>
      <c r="F148" s="614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05" t="str">
        <f>+VLOOKUP(LEFT($A149,LEN(A149)-1)*1,Master!$D$30:$G$226,4,FALSE)</f>
        <v>Repayment of Domestic Debt</v>
      </c>
      <c r="C149" s="606"/>
      <c r="D149" s="606"/>
      <c r="E149" s="606"/>
      <c r="F149" s="606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07" t="str">
        <f>+VLOOKUP(LEFT($A150,LEN(A150)-1)*1,Master!$D$30:$G$226,4,FALSE)</f>
        <v>Repayment of Foreign Debt</v>
      </c>
      <c r="C150" s="608"/>
      <c r="D150" s="608"/>
      <c r="E150" s="608"/>
      <c r="F150" s="608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01" t="str">
        <f>+VLOOKUP(LEFT($A151,LEN(A151)-1)*1,Master!$D$30:$G$226,4,FALSE)</f>
        <v>Capital Expenditure for Securities</v>
      </c>
      <c r="C151" s="602"/>
      <c r="D151" s="602"/>
      <c r="E151" s="602"/>
      <c r="F151" s="602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03" t="str">
        <f>+VLOOKUP(LEFT($A152,LEN(A152)-1)*1,Master!$D$30:$G$226,4,FALSE)</f>
        <v>Financing needs</v>
      </c>
      <c r="C152" s="604"/>
      <c r="D152" s="604"/>
      <c r="E152" s="604"/>
      <c r="F152" s="604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01" t="str">
        <f>+VLOOKUP(LEFT($A153,LEN(A153)-1)*1,Master!$D$30:$G$226,4,FALSE)</f>
        <v>Financing</v>
      </c>
      <c r="C153" s="602"/>
      <c r="D153" s="602"/>
      <c r="E153" s="602"/>
      <c r="F153" s="602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05" t="str">
        <f>+VLOOKUP(LEFT($A154,LEN(A154)-1)*1,Master!$D$30:$G$226,4,FALSE)</f>
        <v>Domestic Loans and Borrowings</v>
      </c>
      <c r="C154" s="606"/>
      <c r="D154" s="606"/>
      <c r="E154" s="606"/>
      <c r="F154" s="606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07" t="str">
        <f>+VLOOKUP(LEFT($A155,LEN(A155)-1)*1,Master!$D$30:$G$226,4,FALSE)</f>
        <v>Foreign Loans and Borrowings</v>
      </c>
      <c r="C155" s="608"/>
      <c r="D155" s="608"/>
      <c r="E155" s="608"/>
      <c r="F155" s="608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07" t="str">
        <f>+VLOOKUP(LEFT($A156,LEN(A156)-1)*1,Master!$D$30:$G$226,4,FALSE)</f>
        <v>Revenues from Selling Assets</v>
      </c>
      <c r="C156" s="608"/>
      <c r="D156" s="608"/>
      <c r="E156" s="608"/>
      <c r="F156" s="608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Increase / decrease of deposits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83" t="s">
        <v>553</v>
      </c>
      <c r="C7" s="584"/>
      <c r="D7" s="584"/>
      <c r="E7" s="584"/>
      <c r="F7" s="584"/>
      <c r="G7" s="592">
        <v>2019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">
        <v>419</v>
      </c>
      <c r="T7" s="221">
        <v>4951000000</v>
      </c>
    </row>
    <row r="8" spans="1:20" ht="16.5" customHeight="1">
      <c r="A8" s="129"/>
      <c r="B8" s="585"/>
      <c r="C8" s="586"/>
      <c r="D8" s="586"/>
      <c r="E8" s="586"/>
      <c r="F8" s="58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2" t="s">
        <v>806</v>
      </c>
      <c r="T8" s="596"/>
    </row>
    <row r="9" spans="1:20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3" t="s">
        <v>680</v>
      </c>
      <c r="C10" s="564"/>
      <c r="D10" s="564"/>
      <c r="E10" s="564"/>
      <c r="F10" s="564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53" t="s">
        <v>21</v>
      </c>
      <c r="C11" s="554"/>
      <c r="D11" s="554"/>
      <c r="E11" s="554"/>
      <c r="F11" s="55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55" t="s">
        <v>23</v>
      </c>
      <c r="C12" s="556"/>
      <c r="D12" s="556"/>
      <c r="E12" s="556"/>
      <c r="F12" s="556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55" t="s">
        <v>25</v>
      </c>
      <c r="C13" s="556"/>
      <c r="D13" s="556"/>
      <c r="E13" s="556"/>
      <c r="F13" s="556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55" t="s">
        <v>27</v>
      </c>
      <c r="C14" s="556"/>
      <c r="D14" s="556"/>
      <c r="E14" s="556"/>
      <c r="F14" s="556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55" t="s">
        <v>29</v>
      </c>
      <c r="C15" s="556"/>
      <c r="D15" s="556"/>
      <c r="E15" s="556"/>
      <c r="F15" s="556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55" t="s">
        <v>31</v>
      </c>
      <c r="C16" s="556"/>
      <c r="D16" s="556"/>
      <c r="E16" s="556"/>
      <c r="F16" s="556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55" t="s">
        <v>33</v>
      </c>
      <c r="C17" s="556"/>
      <c r="D17" s="556"/>
      <c r="E17" s="556"/>
      <c r="F17" s="556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55" t="s">
        <v>721</v>
      </c>
      <c r="C18" s="556"/>
      <c r="D18" s="556"/>
      <c r="E18" s="556"/>
      <c r="F18" s="556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59" t="s">
        <v>37</v>
      </c>
      <c r="C19" s="560"/>
      <c r="D19" s="560"/>
      <c r="E19" s="560"/>
      <c r="F19" s="56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55" t="s">
        <v>39</v>
      </c>
      <c r="C20" s="556"/>
      <c r="D20" s="556"/>
      <c r="E20" s="556"/>
      <c r="F20" s="556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55" t="s">
        <v>41</v>
      </c>
      <c r="C21" s="556"/>
      <c r="D21" s="556"/>
      <c r="E21" s="556"/>
      <c r="F21" s="556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55" t="s">
        <v>43</v>
      </c>
      <c r="C22" s="556"/>
      <c r="D22" s="556"/>
      <c r="E22" s="556"/>
      <c r="F22" s="556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55" t="s">
        <v>45</v>
      </c>
      <c r="C23" s="556"/>
      <c r="D23" s="556"/>
      <c r="E23" s="556"/>
      <c r="F23" s="556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57" t="s">
        <v>47</v>
      </c>
      <c r="C24" s="558"/>
      <c r="D24" s="558"/>
      <c r="E24" s="558"/>
      <c r="F24" s="558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57" t="s">
        <v>61</v>
      </c>
      <c r="C25" s="558"/>
      <c r="D25" s="558"/>
      <c r="E25" s="558"/>
      <c r="F25" s="558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57" t="s">
        <v>81</v>
      </c>
      <c r="C26" s="558"/>
      <c r="D26" s="558"/>
      <c r="E26" s="558"/>
      <c r="F26" s="558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57" t="s">
        <v>99</v>
      </c>
      <c r="C27" s="558"/>
      <c r="D27" s="558"/>
      <c r="E27" s="558"/>
      <c r="F27" s="558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61" t="s">
        <v>105</v>
      </c>
      <c r="C28" s="562"/>
      <c r="D28" s="562"/>
      <c r="E28" s="562"/>
      <c r="F28" s="56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63" t="s">
        <v>801</v>
      </c>
      <c r="C29" s="564"/>
      <c r="D29" s="564"/>
      <c r="E29" s="564"/>
      <c r="F29" s="564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65" t="s">
        <v>120</v>
      </c>
      <c r="C30" s="566"/>
      <c r="D30" s="566"/>
      <c r="E30" s="566"/>
      <c r="F30" s="56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55" t="s">
        <v>122</v>
      </c>
      <c r="C31" s="556"/>
      <c r="D31" s="556"/>
      <c r="E31" s="556"/>
      <c r="F31" s="556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55" t="s">
        <v>133</v>
      </c>
      <c r="C32" s="556"/>
      <c r="D32" s="556"/>
      <c r="E32" s="556"/>
      <c r="F32" s="556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55" t="s">
        <v>148</v>
      </c>
      <c r="C33" s="556"/>
      <c r="D33" s="556"/>
      <c r="E33" s="556"/>
      <c r="F33" s="556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55" t="s">
        <v>162</v>
      </c>
      <c r="C34" s="556"/>
      <c r="D34" s="556"/>
      <c r="E34" s="556"/>
      <c r="F34" s="556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0" t="s">
        <v>182</v>
      </c>
      <c r="C35" s="651"/>
      <c r="D35" s="651"/>
      <c r="E35" s="651"/>
      <c r="F35" s="651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55" t="s">
        <v>190</v>
      </c>
      <c r="C36" s="556"/>
      <c r="D36" s="556"/>
      <c r="E36" s="556"/>
      <c r="F36" s="556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55" t="s">
        <v>196</v>
      </c>
      <c r="C37" s="556"/>
      <c r="D37" s="556"/>
      <c r="E37" s="556"/>
      <c r="F37" s="556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55" t="s">
        <v>204</v>
      </c>
      <c r="C38" s="556"/>
      <c r="D38" s="556"/>
      <c r="E38" s="556"/>
      <c r="F38" s="556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55" t="s">
        <v>212</v>
      </c>
      <c r="C39" s="556"/>
      <c r="D39" s="556"/>
      <c r="E39" s="556"/>
      <c r="F39" s="556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71" t="s">
        <v>230</v>
      </c>
      <c r="C40" s="572"/>
      <c r="D40" s="572"/>
      <c r="E40" s="572"/>
      <c r="F40" s="572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55" t="s">
        <v>232</v>
      </c>
      <c r="C41" s="556"/>
      <c r="D41" s="556"/>
      <c r="E41" s="556"/>
      <c r="F41" s="556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55" t="s">
        <v>248</v>
      </c>
      <c r="C42" s="556"/>
      <c r="D42" s="556"/>
      <c r="E42" s="556"/>
      <c r="F42" s="556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55" t="s">
        <v>259</v>
      </c>
      <c r="C43" s="556"/>
      <c r="D43" s="556"/>
      <c r="E43" s="556"/>
      <c r="F43" s="556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55" t="s">
        <v>274</v>
      </c>
      <c r="C44" s="556"/>
      <c r="D44" s="556"/>
      <c r="E44" s="556"/>
      <c r="F44" s="556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55" t="s">
        <v>278</v>
      </c>
      <c r="C45" s="556"/>
      <c r="D45" s="556"/>
      <c r="E45" s="556"/>
      <c r="F45" s="556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69" t="s">
        <v>286</v>
      </c>
      <c r="C46" s="570"/>
      <c r="D46" s="570"/>
      <c r="E46" s="570"/>
      <c r="F46" s="570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69" t="s">
        <v>320</v>
      </c>
      <c r="C47" s="570"/>
      <c r="D47" s="570"/>
      <c r="E47" s="570"/>
      <c r="F47" s="570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48" t="s">
        <v>113</v>
      </c>
      <c r="C48" s="649"/>
      <c r="D48" s="649"/>
      <c r="E48" s="649"/>
      <c r="F48" s="64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0" t="s">
        <v>366</v>
      </c>
      <c r="C49" s="641"/>
      <c r="D49" s="641"/>
      <c r="E49" s="641"/>
      <c r="F49" s="641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5" t="s">
        <v>359</v>
      </c>
      <c r="C50" s="576"/>
      <c r="D50" s="576"/>
      <c r="E50" s="576"/>
      <c r="F50" s="57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42" t="s">
        <v>794</v>
      </c>
      <c r="C51" s="643"/>
      <c r="D51" s="643"/>
      <c r="E51" s="643"/>
      <c r="F51" s="643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44" t="s">
        <v>684</v>
      </c>
      <c r="C52" s="645"/>
      <c r="D52" s="645"/>
      <c r="E52" s="645"/>
      <c r="F52" s="645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77" t="s">
        <v>545</v>
      </c>
      <c r="C53" s="578"/>
      <c r="D53" s="578"/>
      <c r="E53" s="578"/>
      <c r="F53" s="578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79" t="s">
        <v>792</v>
      </c>
      <c r="C54" s="580"/>
      <c r="D54" s="580"/>
      <c r="E54" s="580"/>
      <c r="F54" s="580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38" t="s">
        <v>352</v>
      </c>
      <c r="C55" s="639"/>
      <c r="D55" s="639"/>
      <c r="E55" s="639"/>
      <c r="F55" s="639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97" t="s">
        <v>355</v>
      </c>
      <c r="C56" s="598"/>
      <c r="D56" s="598"/>
      <c r="E56" s="598"/>
      <c r="F56" s="598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73" t="s">
        <v>357</v>
      </c>
      <c r="C57" s="574"/>
      <c r="D57" s="574"/>
      <c r="E57" s="574"/>
      <c r="F57" s="574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56" t="s">
        <v>336</v>
      </c>
      <c r="C58" s="657"/>
      <c r="D58" s="657"/>
      <c r="E58" s="657"/>
      <c r="F58" s="657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99" t="s">
        <v>543</v>
      </c>
      <c r="C59" s="600"/>
      <c r="D59" s="600"/>
      <c r="E59" s="600"/>
      <c r="F59" s="600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63" t="s">
        <v>544</v>
      </c>
      <c r="C60" s="564"/>
      <c r="D60" s="564"/>
      <c r="E60" s="564"/>
      <c r="F60" s="564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97" t="s">
        <v>114</v>
      </c>
      <c r="C61" s="598"/>
      <c r="D61" s="598"/>
      <c r="E61" s="598"/>
      <c r="F61" s="598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73" t="s">
        <v>116</v>
      </c>
      <c r="C62" s="574"/>
      <c r="D62" s="574"/>
      <c r="E62" s="574"/>
      <c r="F62" s="574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73" t="s">
        <v>93</v>
      </c>
      <c r="C63" s="574"/>
      <c r="D63" s="574"/>
      <c r="E63" s="574"/>
      <c r="F63" s="574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27" t="s">
        <v>551</v>
      </c>
      <c r="C100" s="628"/>
      <c r="D100" s="628"/>
      <c r="E100" s="628"/>
      <c r="F100" s="628"/>
      <c r="G100" s="635">
        <v>2019</v>
      </c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7"/>
      <c r="S100" s="96" t="str">
        <f>+S7</f>
        <v>BDP</v>
      </c>
      <c r="T100" s="97">
        <f>+T7</f>
        <v>4951000000</v>
      </c>
    </row>
    <row r="101" spans="1:21" ht="15.75" customHeight="1">
      <c r="B101" s="629"/>
      <c r="C101" s="630"/>
      <c r="D101" s="630"/>
      <c r="E101" s="630"/>
      <c r="F101" s="631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35" t="s">
        <v>806</v>
      </c>
      <c r="T101" s="637">
        <f>+T8</f>
        <v>0</v>
      </c>
    </row>
    <row r="102" spans="1:21" ht="13.5" thickBot="1">
      <c r="B102" s="632"/>
      <c r="C102" s="633"/>
      <c r="D102" s="633"/>
      <c r="E102" s="633"/>
      <c r="F102" s="634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2" t="s">
        <v>680</v>
      </c>
      <c r="C103" s="653"/>
      <c r="D103" s="653"/>
      <c r="E103" s="653"/>
      <c r="F103" s="653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5" t="s">
        <v>21</v>
      </c>
      <c r="C104" s="626"/>
      <c r="D104" s="626"/>
      <c r="E104" s="626"/>
      <c r="F104" s="62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17" t="s">
        <v>23</v>
      </c>
      <c r="C105" s="618"/>
      <c r="D105" s="618"/>
      <c r="E105" s="618"/>
      <c r="F105" s="61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17" t="s">
        <v>25</v>
      </c>
      <c r="C106" s="618"/>
      <c r="D106" s="618"/>
      <c r="E106" s="618"/>
      <c r="F106" s="61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17" t="s">
        <v>27</v>
      </c>
      <c r="C107" s="618"/>
      <c r="D107" s="618"/>
      <c r="E107" s="618"/>
      <c r="F107" s="61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17" t="s">
        <v>29</v>
      </c>
      <c r="C108" s="618"/>
      <c r="D108" s="618"/>
      <c r="E108" s="618"/>
      <c r="F108" s="61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17" t="s">
        <v>31</v>
      </c>
      <c r="C109" s="618"/>
      <c r="D109" s="618"/>
      <c r="E109" s="618"/>
      <c r="F109" s="61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17" t="s">
        <v>33</v>
      </c>
      <c r="C110" s="618"/>
      <c r="D110" s="618"/>
      <c r="E110" s="618"/>
      <c r="F110" s="61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17" t="s">
        <v>721</v>
      </c>
      <c r="C111" s="618"/>
      <c r="D111" s="618"/>
      <c r="E111" s="618"/>
      <c r="F111" s="61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4" t="s">
        <v>37</v>
      </c>
      <c r="C112" s="655"/>
      <c r="D112" s="655"/>
      <c r="E112" s="655"/>
      <c r="F112" s="65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17" t="s">
        <v>39</v>
      </c>
      <c r="C113" s="618"/>
      <c r="D113" s="618"/>
      <c r="E113" s="618"/>
      <c r="F113" s="61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17" t="s">
        <v>41</v>
      </c>
      <c r="C114" s="618"/>
      <c r="D114" s="618"/>
      <c r="E114" s="618"/>
      <c r="F114" s="61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17" t="s">
        <v>43</v>
      </c>
      <c r="C115" s="618"/>
      <c r="D115" s="618"/>
      <c r="E115" s="618"/>
      <c r="F115" s="61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17" t="s">
        <v>45</v>
      </c>
      <c r="C116" s="618"/>
      <c r="D116" s="618"/>
      <c r="E116" s="618"/>
      <c r="F116" s="61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23" t="s">
        <v>47</v>
      </c>
      <c r="C117" s="624"/>
      <c r="D117" s="624"/>
      <c r="E117" s="624"/>
      <c r="F117" s="624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23" t="s">
        <v>61</v>
      </c>
      <c r="C118" s="624"/>
      <c r="D118" s="624"/>
      <c r="E118" s="624"/>
      <c r="F118" s="624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23" t="s">
        <v>81</v>
      </c>
      <c r="C119" s="624"/>
      <c r="D119" s="624"/>
      <c r="E119" s="624"/>
      <c r="F119" s="624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23" t="s">
        <v>99</v>
      </c>
      <c r="C120" s="624"/>
      <c r="D120" s="624"/>
      <c r="E120" s="624"/>
      <c r="F120" s="624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19" t="s">
        <v>105</v>
      </c>
      <c r="C121" s="620"/>
      <c r="D121" s="620"/>
      <c r="E121" s="620"/>
      <c r="F121" s="62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01" t="s">
        <v>808</v>
      </c>
      <c r="C122" s="602"/>
      <c r="D122" s="602"/>
      <c r="E122" s="602"/>
      <c r="F122" s="602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58" t="s">
        <v>773</v>
      </c>
      <c r="C123" s="659"/>
      <c r="D123" s="659"/>
      <c r="E123" s="659"/>
      <c r="F123" s="659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21" t="e">
        <v>#REF!</v>
      </c>
      <c r="C124" s="622"/>
      <c r="D124" s="622"/>
      <c r="E124" s="622"/>
      <c r="F124" s="62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17" t="s">
        <v>122</v>
      </c>
      <c r="C125" s="618"/>
      <c r="D125" s="618"/>
      <c r="E125" s="618"/>
      <c r="F125" s="61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17" t="s">
        <v>133</v>
      </c>
      <c r="C126" s="618"/>
      <c r="D126" s="618"/>
      <c r="E126" s="618"/>
      <c r="F126" s="61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17" t="s">
        <v>148</v>
      </c>
      <c r="C127" s="618"/>
      <c r="D127" s="618"/>
      <c r="E127" s="618"/>
      <c r="F127" s="61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17" t="s">
        <v>162</v>
      </c>
      <c r="C128" s="618"/>
      <c r="D128" s="618"/>
      <c r="E128" s="618"/>
      <c r="F128" s="61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17" t="s">
        <v>182</v>
      </c>
      <c r="C129" s="618"/>
      <c r="D129" s="618"/>
      <c r="E129" s="618"/>
      <c r="F129" s="61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17" t="s">
        <v>190</v>
      </c>
      <c r="C130" s="618"/>
      <c r="D130" s="618"/>
      <c r="E130" s="618"/>
      <c r="F130" s="61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17" t="s">
        <v>196</v>
      </c>
      <c r="C131" s="618"/>
      <c r="D131" s="618"/>
      <c r="E131" s="618"/>
      <c r="F131" s="61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17" t="s">
        <v>204</v>
      </c>
      <c r="C132" s="618"/>
      <c r="D132" s="618"/>
      <c r="E132" s="618"/>
      <c r="F132" s="61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17" t="s">
        <v>212</v>
      </c>
      <c r="C133" s="618"/>
      <c r="D133" s="618"/>
      <c r="E133" s="618"/>
      <c r="F133" s="61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17" t="e">
        <v>#REF!</v>
      </c>
      <c r="C134" s="618"/>
      <c r="D134" s="618"/>
      <c r="E134" s="618"/>
      <c r="F134" s="61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13" t="s">
        <v>230</v>
      </c>
      <c r="C135" s="614"/>
      <c r="D135" s="614"/>
      <c r="E135" s="614"/>
      <c r="F135" s="614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17" t="s">
        <v>232</v>
      </c>
      <c r="C136" s="618"/>
      <c r="D136" s="618"/>
      <c r="E136" s="618"/>
      <c r="F136" s="61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17" t="s">
        <v>248</v>
      </c>
      <c r="C137" s="618"/>
      <c r="D137" s="618"/>
      <c r="E137" s="618"/>
      <c r="F137" s="61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17" t="s">
        <v>259</v>
      </c>
      <c r="C138" s="618"/>
      <c r="D138" s="618"/>
      <c r="E138" s="618"/>
      <c r="F138" s="61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17" t="s">
        <v>274</v>
      </c>
      <c r="C139" s="618"/>
      <c r="D139" s="618"/>
      <c r="E139" s="618"/>
      <c r="F139" s="61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17" t="s">
        <v>278</v>
      </c>
      <c r="C140" s="618"/>
      <c r="D140" s="618"/>
      <c r="E140" s="618"/>
      <c r="F140" s="61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15" t="s">
        <v>286</v>
      </c>
      <c r="C141" s="616"/>
      <c r="D141" s="616"/>
      <c r="E141" s="616"/>
      <c r="F141" s="616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15" t="s">
        <v>809</v>
      </c>
      <c r="C142" s="616"/>
      <c r="D142" s="616"/>
      <c r="E142" s="616"/>
      <c r="F142" s="616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07" t="s">
        <v>113</v>
      </c>
      <c r="C143" s="608"/>
      <c r="D143" s="608"/>
      <c r="E143" s="608"/>
      <c r="F143" s="608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07" t="s">
        <v>366</v>
      </c>
      <c r="C144" s="608"/>
      <c r="D144" s="608"/>
      <c r="E144" s="608"/>
      <c r="F144" s="608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07" t="s">
        <v>359</v>
      </c>
      <c r="C145" s="608"/>
      <c r="D145" s="608"/>
      <c r="E145" s="608"/>
      <c r="F145" s="608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07" t="s">
        <v>365</v>
      </c>
      <c r="C146" s="608"/>
      <c r="D146" s="608"/>
      <c r="E146" s="608"/>
      <c r="F146" s="608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0" t="s">
        <v>685</v>
      </c>
      <c r="C147" s="661"/>
      <c r="D147" s="661"/>
      <c r="E147" s="661"/>
      <c r="F147" s="66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09" t="s">
        <v>545</v>
      </c>
      <c r="C148" s="610"/>
      <c r="D148" s="610"/>
      <c r="E148" s="610"/>
      <c r="F148" s="610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11" t="s">
        <v>810</v>
      </c>
      <c r="C149" s="612"/>
      <c r="D149" s="612"/>
      <c r="E149" s="612"/>
      <c r="F149" s="612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13" t="s">
        <v>352</v>
      </c>
      <c r="C150" s="614"/>
      <c r="D150" s="614"/>
      <c r="E150" s="614"/>
      <c r="F150" s="614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05" t="s">
        <v>355</v>
      </c>
      <c r="C151" s="606"/>
      <c r="D151" s="606"/>
      <c r="E151" s="606"/>
      <c r="F151" s="606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07" t="s">
        <v>357</v>
      </c>
      <c r="C152" s="608"/>
      <c r="D152" s="608"/>
      <c r="E152" s="608"/>
      <c r="F152" s="608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56" t="s">
        <v>336</v>
      </c>
      <c r="C153" s="657"/>
      <c r="D153" s="657"/>
      <c r="E153" s="657"/>
      <c r="F153" s="657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03" t="s">
        <v>543</v>
      </c>
      <c r="C154" s="604"/>
      <c r="D154" s="604"/>
      <c r="E154" s="604"/>
      <c r="F154" s="604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01" t="s">
        <v>544</v>
      </c>
      <c r="C155" s="602"/>
      <c r="D155" s="602"/>
      <c r="E155" s="602"/>
      <c r="F155" s="602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05" t="s">
        <v>114</v>
      </c>
      <c r="C156" s="606"/>
      <c r="D156" s="606"/>
      <c r="E156" s="606"/>
      <c r="F156" s="606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07" t="s">
        <v>116</v>
      </c>
      <c r="C157" s="608"/>
      <c r="D157" s="608"/>
      <c r="E157" s="608"/>
      <c r="F157" s="608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07" t="s">
        <v>93</v>
      </c>
      <c r="C158" s="608"/>
      <c r="D158" s="608"/>
      <c r="E158" s="608"/>
      <c r="F158" s="608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83" t="s">
        <v>553</v>
      </c>
      <c r="C7" s="584"/>
      <c r="D7" s="584"/>
      <c r="E7" s="584"/>
      <c r="F7" s="584"/>
      <c r="G7" s="592">
        <v>2018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">
        <v>419</v>
      </c>
      <c r="T7" s="221">
        <v>4663130000</v>
      </c>
    </row>
    <row r="8" spans="1:20" ht="16.5" customHeight="1">
      <c r="A8" s="129"/>
      <c r="B8" s="585"/>
      <c r="C8" s="586"/>
      <c r="D8" s="586"/>
      <c r="E8" s="586"/>
      <c r="F8" s="58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2" t="s">
        <v>806</v>
      </c>
      <c r="T8" s="596"/>
    </row>
    <row r="9" spans="1:20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51" t="s">
        <v>680</v>
      </c>
      <c r="C10" s="552"/>
      <c r="D10" s="552"/>
      <c r="E10" s="552"/>
      <c r="F10" s="55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53" t="s">
        <v>21</v>
      </c>
      <c r="C11" s="554"/>
      <c r="D11" s="554"/>
      <c r="E11" s="554"/>
      <c r="F11" s="55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55" t="s">
        <v>23</v>
      </c>
      <c r="C12" s="556"/>
      <c r="D12" s="556"/>
      <c r="E12" s="556"/>
      <c r="F12" s="556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55" t="s">
        <v>25</v>
      </c>
      <c r="C13" s="556"/>
      <c r="D13" s="556"/>
      <c r="E13" s="556"/>
      <c r="F13" s="556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55" t="s">
        <v>27</v>
      </c>
      <c r="C14" s="556"/>
      <c r="D14" s="556"/>
      <c r="E14" s="556"/>
      <c r="F14" s="556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55" t="s">
        <v>29</v>
      </c>
      <c r="C15" s="556"/>
      <c r="D15" s="556"/>
      <c r="E15" s="556"/>
      <c r="F15" s="556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55" t="s">
        <v>31</v>
      </c>
      <c r="C16" s="556"/>
      <c r="D16" s="556"/>
      <c r="E16" s="556"/>
      <c r="F16" s="556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55" t="s">
        <v>33</v>
      </c>
      <c r="C17" s="556"/>
      <c r="D17" s="556"/>
      <c r="E17" s="556"/>
      <c r="F17" s="556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55" t="s">
        <v>721</v>
      </c>
      <c r="C18" s="556"/>
      <c r="D18" s="556"/>
      <c r="E18" s="556"/>
      <c r="F18" s="556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59" t="s">
        <v>37</v>
      </c>
      <c r="C19" s="560"/>
      <c r="D19" s="560"/>
      <c r="E19" s="560"/>
      <c r="F19" s="56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55" t="s">
        <v>39</v>
      </c>
      <c r="C20" s="556"/>
      <c r="D20" s="556"/>
      <c r="E20" s="556"/>
      <c r="F20" s="556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55" t="s">
        <v>41</v>
      </c>
      <c r="C21" s="556"/>
      <c r="D21" s="556"/>
      <c r="E21" s="556"/>
      <c r="F21" s="556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55" t="s">
        <v>43</v>
      </c>
      <c r="C22" s="556"/>
      <c r="D22" s="556"/>
      <c r="E22" s="556"/>
      <c r="F22" s="556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55" t="s">
        <v>45</v>
      </c>
      <c r="C23" s="556"/>
      <c r="D23" s="556"/>
      <c r="E23" s="556"/>
      <c r="F23" s="556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57" t="s">
        <v>47</v>
      </c>
      <c r="C24" s="558"/>
      <c r="D24" s="558"/>
      <c r="E24" s="558"/>
      <c r="F24" s="558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57" t="s">
        <v>61</v>
      </c>
      <c r="C25" s="558"/>
      <c r="D25" s="558"/>
      <c r="E25" s="558"/>
      <c r="F25" s="558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57" t="s">
        <v>81</v>
      </c>
      <c r="C26" s="558"/>
      <c r="D26" s="558"/>
      <c r="E26" s="558"/>
      <c r="F26" s="558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57" t="s">
        <v>99</v>
      </c>
      <c r="C27" s="558"/>
      <c r="D27" s="558"/>
      <c r="E27" s="558"/>
      <c r="F27" s="558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61" t="s">
        <v>105</v>
      </c>
      <c r="C28" s="562"/>
      <c r="D28" s="562"/>
      <c r="E28" s="562"/>
      <c r="F28" s="56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63" t="s">
        <v>801</v>
      </c>
      <c r="C29" s="564"/>
      <c r="D29" s="564"/>
      <c r="E29" s="564"/>
      <c r="F29" s="564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65" t="s">
        <v>773</v>
      </c>
      <c r="C30" s="566"/>
      <c r="D30" s="566"/>
      <c r="E30" s="566"/>
      <c r="F30" s="56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67" t="s">
        <v>120</v>
      </c>
      <c r="C31" s="568"/>
      <c r="D31" s="568"/>
      <c r="E31" s="568"/>
      <c r="F31" s="56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55" t="s">
        <v>122</v>
      </c>
      <c r="C32" s="556"/>
      <c r="D32" s="556"/>
      <c r="E32" s="556"/>
      <c r="F32" s="556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55" t="s">
        <v>133</v>
      </c>
      <c r="C33" s="556"/>
      <c r="D33" s="556"/>
      <c r="E33" s="556"/>
      <c r="F33" s="556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55" t="s">
        <v>148</v>
      </c>
      <c r="C34" s="556"/>
      <c r="D34" s="556"/>
      <c r="E34" s="556"/>
      <c r="F34" s="556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55" t="s">
        <v>162</v>
      </c>
      <c r="C35" s="556"/>
      <c r="D35" s="556"/>
      <c r="E35" s="556"/>
      <c r="F35" s="556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55" t="s">
        <v>182</v>
      </c>
      <c r="C36" s="556"/>
      <c r="D36" s="556"/>
      <c r="E36" s="556"/>
      <c r="F36" s="556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55" t="s">
        <v>190</v>
      </c>
      <c r="C37" s="556"/>
      <c r="D37" s="556"/>
      <c r="E37" s="556"/>
      <c r="F37" s="556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55" t="s">
        <v>196</v>
      </c>
      <c r="C38" s="556"/>
      <c r="D38" s="556"/>
      <c r="E38" s="556"/>
      <c r="F38" s="556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55" t="s">
        <v>204</v>
      </c>
      <c r="C39" s="556"/>
      <c r="D39" s="556"/>
      <c r="E39" s="556"/>
      <c r="F39" s="556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55" t="s">
        <v>212</v>
      </c>
      <c r="C40" s="556"/>
      <c r="D40" s="556"/>
      <c r="E40" s="556"/>
      <c r="F40" s="556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55" t="s">
        <v>802</v>
      </c>
      <c r="C41" s="556"/>
      <c r="D41" s="556"/>
      <c r="E41" s="556"/>
      <c r="F41" s="556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71" t="s">
        <v>230</v>
      </c>
      <c r="C42" s="572"/>
      <c r="D42" s="572"/>
      <c r="E42" s="572"/>
      <c r="F42" s="572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55" t="s">
        <v>232</v>
      </c>
      <c r="C43" s="556"/>
      <c r="D43" s="556"/>
      <c r="E43" s="556"/>
      <c r="F43" s="556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55" t="s">
        <v>248</v>
      </c>
      <c r="C44" s="556"/>
      <c r="D44" s="556"/>
      <c r="E44" s="556"/>
      <c r="F44" s="556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55" t="s">
        <v>259</v>
      </c>
      <c r="C45" s="556"/>
      <c r="D45" s="556"/>
      <c r="E45" s="556"/>
      <c r="F45" s="556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55" t="s">
        <v>274</v>
      </c>
      <c r="C46" s="556"/>
      <c r="D46" s="556"/>
      <c r="E46" s="556"/>
      <c r="F46" s="556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2" t="s">
        <v>278</v>
      </c>
      <c r="C47" s="663"/>
      <c r="D47" s="663"/>
      <c r="E47" s="663"/>
      <c r="F47" s="663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69" t="s">
        <v>286</v>
      </c>
      <c r="C48" s="570"/>
      <c r="D48" s="570"/>
      <c r="E48" s="570"/>
      <c r="F48" s="570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69" t="s">
        <v>320</v>
      </c>
      <c r="C49" s="570"/>
      <c r="D49" s="570"/>
      <c r="E49" s="570"/>
      <c r="F49" s="570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48" t="s">
        <v>113</v>
      </c>
      <c r="C50" s="649"/>
      <c r="D50" s="649"/>
      <c r="E50" s="649"/>
      <c r="F50" s="64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73" t="s">
        <v>366</v>
      </c>
      <c r="C51" s="574"/>
      <c r="D51" s="574"/>
      <c r="E51" s="574"/>
      <c r="F51" s="574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5" t="s">
        <v>359</v>
      </c>
      <c r="C52" s="576"/>
      <c r="D52" s="576"/>
      <c r="E52" s="576"/>
      <c r="F52" s="57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42" t="s">
        <v>794</v>
      </c>
      <c r="C53" s="643"/>
      <c r="D53" s="643"/>
      <c r="E53" s="643"/>
      <c r="F53" s="643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44" t="s">
        <v>684</v>
      </c>
      <c r="C54" s="645"/>
      <c r="D54" s="645"/>
      <c r="E54" s="645"/>
      <c r="F54" s="645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77" t="s">
        <v>545</v>
      </c>
      <c r="C55" s="578"/>
      <c r="D55" s="578"/>
      <c r="E55" s="578"/>
      <c r="F55" s="578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79" t="s">
        <v>793</v>
      </c>
      <c r="C57" s="580"/>
      <c r="D57" s="580"/>
      <c r="E57" s="580"/>
      <c r="F57" s="580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38" t="s">
        <v>352</v>
      </c>
      <c r="C58" s="639"/>
      <c r="D58" s="639"/>
      <c r="E58" s="639"/>
      <c r="F58" s="639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97" t="s">
        <v>355</v>
      </c>
      <c r="C59" s="598"/>
      <c r="D59" s="598"/>
      <c r="E59" s="598"/>
      <c r="F59" s="598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73" t="s">
        <v>357</v>
      </c>
      <c r="C60" s="574"/>
      <c r="D60" s="574"/>
      <c r="E60" s="574"/>
      <c r="F60" s="574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4" t="s">
        <v>336</v>
      </c>
      <c r="C61" s="665"/>
      <c r="D61" s="665"/>
      <c r="E61" s="665"/>
      <c r="F61" s="66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99" t="s">
        <v>543</v>
      </c>
      <c r="C62" s="600"/>
      <c r="D62" s="600"/>
      <c r="E62" s="600"/>
      <c r="F62" s="600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63" t="s">
        <v>544</v>
      </c>
      <c r="C63" s="564"/>
      <c r="D63" s="564"/>
      <c r="E63" s="564"/>
      <c r="F63" s="564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97" t="s">
        <v>114</v>
      </c>
      <c r="C64" s="598"/>
      <c r="D64" s="598"/>
      <c r="E64" s="598"/>
      <c r="F64" s="598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73" t="s">
        <v>116</v>
      </c>
      <c r="C65" s="574"/>
      <c r="D65" s="574"/>
      <c r="E65" s="574"/>
      <c r="F65" s="574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73" t="s">
        <v>93</v>
      </c>
      <c r="C66" s="574"/>
      <c r="D66" s="574"/>
      <c r="E66" s="574"/>
      <c r="F66" s="574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27" t="s">
        <v>551</v>
      </c>
      <c r="C103" s="628"/>
      <c r="D103" s="628"/>
      <c r="E103" s="628"/>
      <c r="F103" s="628"/>
      <c r="G103" s="635">
        <v>2018</v>
      </c>
      <c r="H103" s="636"/>
      <c r="I103" s="636"/>
      <c r="J103" s="636"/>
      <c r="K103" s="636"/>
      <c r="L103" s="636"/>
      <c r="M103" s="636"/>
      <c r="N103" s="636"/>
      <c r="O103" s="636"/>
      <c r="P103" s="636"/>
      <c r="Q103" s="636"/>
      <c r="R103" s="637"/>
      <c r="S103" s="96" t="str">
        <f>+S7</f>
        <v>BDP</v>
      </c>
      <c r="T103" s="97">
        <f>+T7</f>
        <v>4663130000</v>
      </c>
    </row>
    <row r="104" spans="1:21" ht="15.75" customHeight="1">
      <c r="B104" s="629"/>
      <c r="C104" s="630"/>
      <c r="D104" s="630"/>
      <c r="E104" s="630"/>
      <c r="F104" s="631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35" t="s">
        <v>806</v>
      </c>
      <c r="T104" s="637">
        <f>+T8</f>
        <v>0</v>
      </c>
    </row>
    <row r="105" spans="1:21" ht="13.5" thickBot="1">
      <c r="B105" s="632"/>
      <c r="C105" s="633"/>
      <c r="D105" s="633"/>
      <c r="E105" s="633"/>
      <c r="F105" s="634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2" t="s">
        <v>680</v>
      </c>
      <c r="C106" s="653"/>
      <c r="D106" s="653"/>
      <c r="E106" s="653"/>
      <c r="F106" s="653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5" t="s">
        <v>21</v>
      </c>
      <c r="C107" s="626"/>
      <c r="D107" s="626"/>
      <c r="E107" s="626"/>
      <c r="F107" s="62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17" t="s">
        <v>23</v>
      </c>
      <c r="C108" s="618"/>
      <c r="D108" s="618"/>
      <c r="E108" s="618"/>
      <c r="F108" s="61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17" t="s">
        <v>25</v>
      </c>
      <c r="C109" s="618"/>
      <c r="D109" s="618"/>
      <c r="E109" s="618"/>
      <c r="F109" s="61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17" t="s">
        <v>27</v>
      </c>
      <c r="C110" s="618"/>
      <c r="D110" s="618"/>
      <c r="E110" s="618"/>
      <c r="F110" s="61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17" t="s">
        <v>29</v>
      </c>
      <c r="C111" s="618"/>
      <c r="D111" s="618"/>
      <c r="E111" s="618"/>
      <c r="F111" s="61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17" t="s">
        <v>31</v>
      </c>
      <c r="C112" s="618"/>
      <c r="D112" s="618"/>
      <c r="E112" s="618"/>
      <c r="F112" s="61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17" t="s">
        <v>33</v>
      </c>
      <c r="C113" s="618"/>
      <c r="D113" s="618"/>
      <c r="E113" s="618"/>
      <c r="F113" s="61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17" t="s">
        <v>721</v>
      </c>
      <c r="C114" s="618"/>
      <c r="D114" s="618"/>
      <c r="E114" s="618"/>
      <c r="F114" s="61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4" t="s">
        <v>37</v>
      </c>
      <c r="C115" s="655"/>
      <c r="D115" s="655"/>
      <c r="E115" s="655"/>
      <c r="F115" s="65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17" t="s">
        <v>39</v>
      </c>
      <c r="C116" s="618"/>
      <c r="D116" s="618"/>
      <c r="E116" s="618"/>
      <c r="F116" s="61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17" t="s">
        <v>41</v>
      </c>
      <c r="C117" s="618"/>
      <c r="D117" s="618"/>
      <c r="E117" s="618"/>
      <c r="F117" s="61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17" t="s">
        <v>43</v>
      </c>
      <c r="C118" s="618"/>
      <c r="D118" s="618"/>
      <c r="E118" s="618"/>
      <c r="F118" s="61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17" t="s">
        <v>45</v>
      </c>
      <c r="C119" s="618"/>
      <c r="D119" s="618"/>
      <c r="E119" s="618"/>
      <c r="F119" s="61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23" t="s">
        <v>47</v>
      </c>
      <c r="C120" s="624"/>
      <c r="D120" s="624"/>
      <c r="E120" s="624"/>
      <c r="F120" s="624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23" t="s">
        <v>61</v>
      </c>
      <c r="C121" s="624"/>
      <c r="D121" s="624"/>
      <c r="E121" s="624"/>
      <c r="F121" s="624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23" t="s">
        <v>81</v>
      </c>
      <c r="C122" s="624"/>
      <c r="D122" s="624"/>
      <c r="E122" s="624"/>
      <c r="F122" s="624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23" t="s">
        <v>99</v>
      </c>
      <c r="C123" s="624"/>
      <c r="D123" s="624"/>
      <c r="E123" s="624"/>
      <c r="F123" s="624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19" t="s">
        <v>105</v>
      </c>
      <c r="C124" s="620"/>
      <c r="D124" s="620"/>
      <c r="E124" s="620"/>
      <c r="F124" s="62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01" t="s">
        <v>808</v>
      </c>
      <c r="C125" s="602"/>
      <c r="D125" s="602"/>
      <c r="E125" s="602"/>
      <c r="F125" s="602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58" t="s">
        <v>773</v>
      </c>
      <c r="C126" s="659"/>
      <c r="D126" s="659"/>
      <c r="E126" s="659"/>
      <c r="F126" s="659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21" t="s">
        <v>120</v>
      </c>
      <c r="C127" s="622"/>
      <c r="D127" s="622"/>
      <c r="E127" s="622"/>
      <c r="F127" s="62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17" t="s">
        <v>122</v>
      </c>
      <c r="C128" s="618"/>
      <c r="D128" s="618"/>
      <c r="E128" s="618"/>
      <c r="F128" s="61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17" t="s">
        <v>133</v>
      </c>
      <c r="C129" s="618"/>
      <c r="D129" s="618"/>
      <c r="E129" s="618"/>
      <c r="F129" s="61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17" t="s">
        <v>148</v>
      </c>
      <c r="C130" s="618"/>
      <c r="D130" s="618"/>
      <c r="E130" s="618"/>
      <c r="F130" s="61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17" t="s">
        <v>162</v>
      </c>
      <c r="C131" s="618"/>
      <c r="D131" s="618"/>
      <c r="E131" s="618"/>
      <c r="F131" s="61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17" t="s">
        <v>182</v>
      </c>
      <c r="C132" s="618"/>
      <c r="D132" s="618"/>
      <c r="E132" s="618"/>
      <c r="F132" s="61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17" t="s">
        <v>190</v>
      </c>
      <c r="C133" s="618"/>
      <c r="D133" s="618"/>
      <c r="E133" s="618"/>
      <c r="F133" s="61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17" t="s">
        <v>196</v>
      </c>
      <c r="C134" s="618"/>
      <c r="D134" s="618"/>
      <c r="E134" s="618"/>
      <c r="F134" s="61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17" t="s">
        <v>204</v>
      </c>
      <c r="C135" s="618"/>
      <c r="D135" s="618"/>
      <c r="E135" s="618"/>
      <c r="F135" s="61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17" t="s">
        <v>212</v>
      </c>
      <c r="C136" s="618"/>
      <c r="D136" s="618"/>
      <c r="E136" s="618"/>
      <c r="F136" s="61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17" t="s">
        <v>802</v>
      </c>
      <c r="C137" s="618"/>
      <c r="D137" s="618"/>
      <c r="E137" s="618"/>
      <c r="F137" s="61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13" t="s">
        <v>230</v>
      </c>
      <c r="C138" s="614"/>
      <c r="D138" s="614"/>
      <c r="E138" s="614"/>
      <c r="F138" s="614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17" t="s">
        <v>232</v>
      </c>
      <c r="C139" s="618"/>
      <c r="D139" s="618"/>
      <c r="E139" s="618"/>
      <c r="F139" s="61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17" t="s">
        <v>248</v>
      </c>
      <c r="C140" s="618"/>
      <c r="D140" s="618"/>
      <c r="E140" s="618"/>
      <c r="F140" s="61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17" t="s">
        <v>259</v>
      </c>
      <c r="C141" s="618"/>
      <c r="D141" s="618"/>
      <c r="E141" s="618"/>
      <c r="F141" s="61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17" t="s">
        <v>274</v>
      </c>
      <c r="C142" s="618"/>
      <c r="D142" s="618"/>
      <c r="E142" s="618"/>
      <c r="F142" s="61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17" t="s">
        <v>278</v>
      </c>
      <c r="C143" s="618"/>
      <c r="D143" s="618"/>
      <c r="E143" s="618"/>
      <c r="F143" s="61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15" t="s">
        <v>286</v>
      </c>
      <c r="C144" s="616"/>
      <c r="D144" s="616"/>
      <c r="E144" s="616"/>
      <c r="F144" s="616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15" t="s">
        <v>809</v>
      </c>
      <c r="C145" s="616"/>
      <c r="D145" s="616"/>
      <c r="E145" s="616"/>
      <c r="F145" s="616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07" t="s">
        <v>113</v>
      </c>
      <c r="C146" s="608"/>
      <c r="D146" s="608"/>
      <c r="E146" s="608"/>
      <c r="F146" s="608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07" t="s">
        <v>366</v>
      </c>
      <c r="C147" s="608"/>
      <c r="D147" s="608"/>
      <c r="E147" s="608"/>
      <c r="F147" s="608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07" t="s">
        <v>359</v>
      </c>
      <c r="C148" s="608"/>
      <c r="D148" s="608"/>
      <c r="E148" s="608"/>
      <c r="F148" s="608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09" t="s">
        <v>545</v>
      </c>
      <c r="C150" s="610"/>
      <c r="D150" s="610"/>
      <c r="E150" s="610"/>
      <c r="F150" s="610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11" t="s">
        <v>810</v>
      </c>
      <c r="C151" s="612"/>
      <c r="D151" s="612"/>
      <c r="E151" s="612"/>
      <c r="F151" s="612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13" t="s">
        <v>352</v>
      </c>
      <c r="C152" s="614"/>
      <c r="D152" s="614"/>
      <c r="E152" s="614"/>
      <c r="F152" s="614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05" t="s">
        <v>355</v>
      </c>
      <c r="C153" s="606"/>
      <c r="D153" s="606"/>
      <c r="E153" s="606"/>
      <c r="F153" s="606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07" t="s">
        <v>357</v>
      </c>
      <c r="C154" s="608"/>
      <c r="D154" s="608"/>
      <c r="E154" s="608"/>
      <c r="F154" s="608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07" t="s">
        <v>365</v>
      </c>
      <c r="C155" s="608"/>
      <c r="D155" s="608"/>
      <c r="E155" s="608"/>
      <c r="F155" s="608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03" t="s">
        <v>543</v>
      </c>
      <c r="C157" s="604"/>
      <c r="D157" s="604"/>
      <c r="E157" s="604"/>
      <c r="F157" s="604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01" t="s">
        <v>544</v>
      </c>
      <c r="C158" s="602"/>
      <c r="D158" s="602"/>
      <c r="E158" s="602"/>
      <c r="F158" s="602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05" t="s">
        <v>114</v>
      </c>
      <c r="C159" s="606"/>
      <c r="D159" s="606"/>
      <c r="E159" s="606"/>
      <c r="F159" s="606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07" t="s">
        <v>116</v>
      </c>
      <c r="C160" s="608"/>
      <c r="D160" s="608"/>
      <c r="E160" s="608"/>
      <c r="F160" s="608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07" t="s">
        <v>93</v>
      </c>
      <c r="C161" s="608"/>
      <c r="D161" s="608"/>
      <c r="E161" s="608"/>
      <c r="F161" s="608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69" t="s">
        <v>554</v>
      </c>
      <c r="F6" s="667">
        <v>2006</v>
      </c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8"/>
      <c r="R6" s="667">
        <v>2007</v>
      </c>
      <c r="S6" s="666"/>
      <c r="T6" s="666"/>
      <c r="U6" s="666"/>
      <c r="V6" s="666"/>
      <c r="W6" s="666"/>
      <c r="X6" s="666"/>
      <c r="Y6" s="666"/>
      <c r="Z6" s="666"/>
      <c r="AA6" s="666"/>
      <c r="AB6" s="666"/>
      <c r="AC6" s="668"/>
      <c r="AD6" s="667">
        <v>2008</v>
      </c>
      <c r="AE6" s="666"/>
      <c r="AF6" s="666"/>
      <c r="AG6" s="666"/>
      <c r="AH6" s="666"/>
      <c r="AI6" s="666"/>
      <c r="AJ6" s="666"/>
      <c r="AK6" s="666"/>
      <c r="AL6" s="666"/>
      <c r="AM6" s="666"/>
      <c r="AN6" s="666"/>
      <c r="AO6" s="668"/>
      <c r="AP6" s="667">
        <v>2009</v>
      </c>
      <c r="AQ6" s="666"/>
      <c r="AR6" s="666"/>
      <c r="AS6" s="666"/>
      <c r="AT6" s="666"/>
      <c r="AU6" s="666"/>
      <c r="AV6" s="666"/>
      <c r="AW6" s="666"/>
      <c r="AX6" s="666"/>
      <c r="AY6" s="666"/>
      <c r="AZ6" s="666"/>
      <c r="BA6" s="668"/>
      <c r="BB6" s="667">
        <v>2010</v>
      </c>
      <c r="BC6" s="666"/>
      <c r="BD6" s="666"/>
      <c r="BE6" s="666"/>
      <c r="BF6" s="666"/>
      <c r="BG6" s="666"/>
      <c r="BH6" s="666"/>
      <c r="BI6" s="666"/>
      <c r="BJ6" s="666"/>
      <c r="BK6" s="666"/>
      <c r="BL6" s="666"/>
      <c r="BM6" s="668"/>
      <c r="BN6" s="667">
        <v>2011</v>
      </c>
      <c r="BO6" s="666"/>
      <c r="BP6" s="666"/>
      <c r="BQ6" s="666"/>
      <c r="BR6" s="666"/>
      <c r="BS6" s="666"/>
      <c r="BT6" s="666"/>
      <c r="BU6" s="666"/>
      <c r="BV6" s="666"/>
      <c r="BW6" s="666"/>
      <c r="BX6" s="666"/>
      <c r="BY6" s="668"/>
      <c r="BZ6" s="666">
        <v>2012</v>
      </c>
      <c r="CA6" s="666"/>
      <c r="CB6" s="666"/>
      <c r="CC6" s="666"/>
      <c r="CD6" s="666"/>
      <c r="CE6" s="666"/>
      <c r="CF6" s="666"/>
      <c r="CG6" s="666"/>
      <c r="CH6" s="666"/>
      <c r="CI6" s="666"/>
      <c r="CJ6" s="666"/>
      <c r="CK6" s="666"/>
      <c r="CL6" s="667">
        <v>2013</v>
      </c>
      <c r="CM6" s="666"/>
      <c r="CN6" s="666"/>
      <c r="CO6" s="666"/>
      <c r="CP6" s="666"/>
      <c r="CQ6" s="666"/>
      <c r="CR6" s="666"/>
      <c r="CS6" s="666"/>
      <c r="CT6" s="666"/>
      <c r="CU6" s="666"/>
      <c r="CV6" s="666"/>
      <c r="CW6" s="668"/>
      <c r="CX6" s="667">
        <v>2014</v>
      </c>
      <c r="CY6" s="666"/>
      <c r="CZ6" s="666"/>
      <c r="DA6" s="666"/>
      <c r="DB6" s="666"/>
      <c r="DC6" s="666"/>
      <c r="DD6" s="666"/>
      <c r="DE6" s="666"/>
      <c r="DF6" s="666"/>
      <c r="DG6" s="666"/>
      <c r="DH6" s="666"/>
      <c r="DI6" s="668"/>
      <c r="DJ6" s="667">
        <v>2015</v>
      </c>
      <c r="DK6" s="666"/>
      <c r="DL6" s="666"/>
      <c r="DM6" s="666"/>
      <c r="DN6" s="666"/>
      <c r="DO6" s="666"/>
      <c r="DP6" s="666"/>
      <c r="DQ6" s="666"/>
      <c r="DR6" s="666"/>
      <c r="DS6" s="666"/>
      <c r="DT6" s="666"/>
      <c r="DU6" s="668"/>
    </row>
    <row r="7" spans="1:321">
      <c r="E7" s="669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Total Revenues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Total Expenditures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Surplus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69" t="s">
        <v>675</v>
      </c>
      <c r="F214" s="667">
        <v>2006</v>
      </c>
      <c r="G214" s="666"/>
      <c r="H214" s="666"/>
      <c r="I214" s="666"/>
      <c r="J214" s="666"/>
      <c r="K214" s="666"/>
      <c r="L214" s="666"/>
      <c r="M214" s="666"/>
      <c r="N214" s="666"/>
      <c r="O214" s="666"/>
      <c r="P214" s="666"/>
      <c r="Q214" s="668"/>
      <c r="R214" s="667">
        <v>2007</v>
      </c>
      <c r="S214" s="666"/>
      <c r="T214" s="666"/>
      <c r="U214" s="666"/>
      <c r="V214" s="666"/>
      <c r="W214" s="666"/>
      <c r="X214" s="666"/>
      <c r="Y214" s="666"/>
      <c r="Z214" s="666"/>
      <c r="AA214" s="666"/>
      <c r="AB214" s="666"/>
      <c r="AC214" s="668"/>
      <c r="AD214" s="667">
        <v>2008</v>
      </c>
      <c r="AE214" s="666"/>
      <c r="AF214" s="666"/>
      <c r="AG214" s="666"/>
      <c r="AH214" s="666"/>
      <c r="AI214" s="666"/>
      <c r="AJ214" s="666"/>
      <c r="AK214" s="666"/>
      <c r="AL214" s="666"/>
      <c r="AM214" s="666"/>
      <c r="AN214" s="666"/>
      <c r="AO214" s="668"/>
      <c r="AP214" s="667">
        <v>2009</v>
      </c>
      <c r="AQ214" s="666"/>
      <c r="AR214" s="666"/>
      <c r="AS214" s="666"/>
      <c r="AT214" s="666"/>
      <c r="AU214" s="666"/>
      <c r="AV214" s="666"/>
      <c r="AW214" s="666"/>
      <c r="AX214" s="666"/>
      <c r="AY214" s="666"/>
      <c r="AZ214" s="666"/>
      <c r="BA214" s="668"/>
      <c r="BB214" s="667">
        <v>2010</v>
      </c>
      <c r="BC214" s="666"/>
      <c r="BD214" s="666"/>
      <c r="BE214" s="666"/>
      <c r="BF214" s="666"/>
      <c r="BG214" s="666"/>
      <c r="BH214" s="666"/>
      <c r="BI214" s="666"/>
      <c r="BJ214" s="666"/>
      <c r="BK214" s="666"/>
      <c r="BL214" s="666"/>
      <c r="BM214" s="668"/>
      <c r="BN214" s="667">
        <v>2011</v>
      </c>
      <c r="BO214" s="666"/>
      <c r="BP214" s="666"/>
      <c r="BQ214" s="666"/>
      <c r="BR214" s="666"/>
      <c r="BS214" s="666"/>
      <c r="BT214" s="666"/>
      <c r="BU214" s="666"/>
      <c r="BV214" s="666"/>
      <c r="BW214" s="666"/>
      <c r="BX214" s="666"/>
      <c r="BY214" s="668"/>
      <c r="BZ214" s="666">
        <v>2012</v>
      </c>
      <c r="CA214" s="666"/>
      <c r="CB214" s="666"/>
      <c r="CC214" s="666"/>
      <c r="CD214" s="666"/>
      <c r="CE214" s="666"/>
      <c r="CF214" s="666"/>
      <c r="CG214" s="666"/>
      <c r="CH214" s="666"/>
      <c r="CI214" s="666"/>
      <c r="CJ214" s="666"/>
      <c r="CK214" s="666"/>
      <c r="CL214" s="667">
        <v>2013</v>
      </c>
      <c r="CM214" s="666"/>
      <c r="CN214" s="666"/>
      <c r="CO214" s="666"/>
      <c r="CP214" s="666"/>
      <c r="CQ214" s="666"/>
      <c r="CR214" s="666"/>
      <c r="CS214" s="666"/>
      <c r="CT214" s="666"/>
      <c r="CU214" s="666"/>
      <c r="CV214" s="666"/>
      <c r="CW214" s="668"/>
      <c r="CX214" s="667">
        <v>2014</v>
      </c>
      <c r="CY214" s="666"/>
      <c r="CZ214" s="666"/>
      <c r="DA214" s="666"/>
      <c r="DB214" s="666"/>
      <c r="DC214" s="666"/>
      <c r="DD214" s="666"/>
      <c r="DE214" s="666"/>
      <c r="DF214" s="666"/>
      <c r="DG214" s="666"/>
      <c r="DH214" s="666"/>
      <c r="DI214" s="668"/>
      <c r="DJ214" s="667">
        <v>2015</v>
      </c>
      <c r="DK214" s="666"/>
      <c r="DL214" s="666"/>
      <c r="DM214" s="666"/>
      <c r="DN214" s="666"/>
      <c r="DO214" s="666"/>
      <c r="DP214" s="666"/>
      <c r="DQ214" s="666"/>
      <c r="DR214" s="666"/>
      <c r="DS214" s="666"/>
      <c r="DT214" s="666"/>
      <c r="DU214" s="668"/>
    </row>
    <row r="215" spans="1:187">
      <c r="E215" s="669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2</v>
      </c>
      <c r="C2" s="48" t="s">
        <v>0</v>
      </c>
    </row>
    <row r="3" spans="2:7" ht="15.75" thickBot="1">
      <c r="B3" s="245">
        <v>4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Engleski</v>
      </c>
    </row>
    <row r="4" spans="2:7" ht="15.75" thickBot="1">
      <c r="B4" s="245">
        <v>2026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Montenegro</v>
      </c>
    </row>
    <row r="7" spans="2:7">
      <c r="E7" s="7" t="s">
        <v>805</v>
      </c>
      <c r="F7" s="8" t="s">
        <v>837</v>
      </c>
      <c r="G7" s="44" t="str">
        <f t="shared" si="0"/>
        <v>Ministry of Finance</v>
      </c>
    </row>
    <row r="8" spans="2:7">
      <c r="D8" s="36"/>
      <c r="E8" s="27" t="s">
        <v>770</v>
      </c>
      <c r="F8" s="28" t="s">
        <v>804</v>
      </c>
      <c r="G8" s="45" t="str">
        <f t="shared" si="0"/>
        <v>Directorate for State Budget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Analytics Tab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Montly Data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Montly Data 2021</v>
      </c>
    </row>
    <row r="13" spans="2:7">
      <c r="E13" s="7" t="s">
        <v>788</v>
      </c>
      <c r="F13" s="8" t="s">
        <v>789</v>
      </c>
      <c r="G13" s="44" t="str">
        <f t="shared" si="0"/>
        <v>Montly Data 2020</v>
      </c>
    </row>
    <row r="14" spans="2:7">
      <c r="E14" s="7" t="s">
        <v>755</v>
      </c>
      <c r="F14" s="8" t="s">
        <v>756</v>
      </c>
      <c r="G14" s="44" t="str">
        <f t="shared" si="0"/>
        <v>Montly Data 2019</v>
      </c>
    </row>
    <row r="15" spans="2:7">
      <c r="E15" s="7" t="s">
        <v>753</v>
      </c>
      <c r="F15" s="8" t="s">
        <v>754</v>
      </c>
      <c r="G15" s="44" t="str">
        <f t="shared" si="0"/>
        <v>Montly Data 2018</v>
      </c>
    </row>
    <row r="16" spans="2:7">
      <c r="E16" s="7" t="s">
        <v>735</v>
      </c>
      <c r="F16" s="8" t="s">
        <v>736</v>
      </c>
      <c r="G16" s="44" t="str">
        <f t="shared" si="0"/>
        <v>Montly Data 2017</v>
      </c>
    </row>
    <row r="17" spans="2:7">
      <c r="E17" s="7" t="s">
        <v>716</v>
      </c>
      <c r="F17" s="8" t="s">
        <v>717</v>
      </c>
      <c r="G17" s="44" t="str">
        <f t="shared" si="0"/>
        <v>Montly Data 2016</v>
      </c>
    </row>
    <row r="18" spans="2:7">
      <c r="E18" s="7" t="s">
        <v>688</v>
      </c>
      <c r="F18" s="8" t="s">
        <v>689</v>
      </c>
      <c r="G18" s="44" t="str">
        <f t="shared" si="0"/>
        <v>Montly Data 2015</v>
      </c>
    </row>
    <row r="19" spans="2:7">
      <c r="E19" s="7" t="s">
        <v>10</v>
      </c>
      <c r="F19" s="8" t="s">
        <v>11</v>
      </c>
      <c r="G19" s="44" t="str">
        <f t="shared" si="0"/>
        <v>Montly Data 2014</v>
      </c>
    </row>
    <row r="20" spans="2:7">
      <c r="E20" s="7" t="s">
        <v>12</v>
      </c>
      <c r="F20" s="8" t="s">
        <v>13</v>
      </c>
      <c r="G20" s="44" t="str">
        <f t="shared" si="0"/>
        <v>Montly Data 2013</v>
      </c>
    </row>
    <row r="21" spans="2:7">
      <c r="E21" s="7" t="s">
        <v>737</v>
      </c>
      <c r="F21" s="8" t="s">
        <v>738</v>
      </c>
      <c r="G21" s="44" t="str">
        <f t="shared" si="0"/>
        <v>Montly Data 2012</v>
      </c>
    </row>
    <row r="22" spans="2:7">
      <c r="E22" s="7" t="s">
        <v>739</v>
      </c>
      <c r="F22" s="8" t="s">
        <v>740</v>
      </c>
      <c r="G22" s="44" t="str">
        <f t="shared" si="0"/>
        <v>Montly Data 2011</v>
      </c>
    </row>
    <row r="23" spans="2:7">
      <c r="E23" s="7" t="s">
        <v>14</v>
      </c>
      <c r="F23" s="8" t="s">
        <v>404</v>
      </c>
      <c r="G23" s="44" t="str">
        <f t="shared" si="0"/>
        <v>Historical Data, since 2006</v>
      </c>
    </row>
    <row r="24" spans="2:7">
      <c r="E24" s="7" t="s">
        <v>15</v>
      </c>
      <c r="F24" s="8" t="s">
        <v>16</v>
      </c>
      <c r="G24" s="44" t="str">
        <f t="shared" si="0"/>
        <v>Public Debt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Execution-preliminary</v>
      </c>
    </row>
    <row r="27" spans="2:7">
      <c r="D27" s="36"/>
      <c r="E27" s="27" t="s">
        <v>414</v>
      </c>
      <c r="F27" s="28" t="s">
        <v>415</v>
      </c>
      <c r="G27" s="45" t="str">
        <f t="shared" si="0"/>
        <v>Welcome tab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Total Revenues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Current Revenues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Taxes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Personal Income Tax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Corporate Income Tax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 xml:space="preserve">Taxes on Sales of Property 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Value Added Tax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Excises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Tax on International Trade and Transactions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Other Republic Taxes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Contributions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Contributions for Pension and Disability Insurance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Contributions for Health Insurance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Contributions for  Unemployment Insurance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Other contributions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Duties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Administrative Duties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Court Duties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Residential Duties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Registration Duties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Local Duties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Other duties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Fees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Fees for Use of Goods of Common Interest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Fees for Use of Natural Resources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Ecological Fees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Fees for Organizing Games of Chance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Fees for Usage of Construction Land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Fees for Regulation and Upkeep of Construction Land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>Fees for Construction and Upkeep of Local Roads and Other Local Facilities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Road fees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Other fees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Other revenues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Revenues from Capital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Fines and Seized Property Gains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Revenues from Government Body Activities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Self contributions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Other Revenues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Revenues from Selling Assets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Revenues from Selling Non-Financial Assets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Revenues from Selling Financial Assets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Receipts from Repayment of Loans and Funds Carried over from Previous Year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Receipts from Repayment of Loans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Funds Carried over from Previous Year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Grants and Transfers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Grants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Transfers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>Loans and borrowings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Loans and borrowings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Domestic Loans and Borrowings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Foreign Loans and Borrowings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Total Expenditures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Current Budgetary Consumption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Current Expenditures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Gross Salaries and Contributions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 Salaries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Personal Income Tax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Contributions Charged to Employee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Contributions Charged to Employer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Surtax on PIT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Other Personal Income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Compensation for Meals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Compensation for Living Costs and Separate Living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Compensation for Transport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Annual awards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Compensation for Early Retirement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Parliament Members Compensation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Other Compensations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 xml:space="preserve">Other 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Expenditures for Supplies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Administrative Supplies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Health Protection Supplies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Special Supplies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Expenditures for Energy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Expenditures for Fuel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Other Expenditures for Supplies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Expenditures for Services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Business trips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Representation Costs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Communication Services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 Services and FX Conversion Loss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Transport Services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Legal Services (lawyers, notars and others)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Consultancy Services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Professional Training Services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Other Services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Current Maintenance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Current Maintenance of Public Infrastructure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Current Maintenance of Buildings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Current Maintenance of Equipment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Interests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Interests on Domestic Debt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Interests on Foreign Debt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Rent of Real Estate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Rent of Equipment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Rent of Property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Subsidies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Production and Services Subsidies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Export Subsidies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Import Subsidies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Other expenditures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 xml:space="preserve">Expenditures for Service Contracts 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Expenditures for Judicial Proceeding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Expenditures for Software Maintenance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Insurance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Contribution for Domestic and International Institutions Membership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Utility Charges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Penalties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Fees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Others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Social Security Transfers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Social Security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Children benefits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Veteran and disability benefits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Assistance for the Family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Maternity leave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Care and Assistance Benefits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Pre-school Meal Plans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Support to Nurse Homes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Other rights from social protection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Funds for redundant labor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Guaranteed Earnings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Redundant Labor Benefits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Additional Insurance Payment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Compensation to Unemployed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Other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Pension and Disability Insurance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Age pension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Disability pension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Family pension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Compensations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Addendums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Other rughts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Contribution to Health Protection of Pensioners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Other Health Care Transfers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Health Treatment Abroad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Other Health Care Insurance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Orthopedic Devices and Supplies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 xml:space="preserve">Compensation for Health Leave 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Compensation for Travel Costs of Insured Person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Transfers to Institutions, Individuals, NGO and Public Sector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Transfers to Institutions, Individuals, NGO and Public Sector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>Transfers for Health Protection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 for Education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Transfers for Culture and Sports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Transfers to NGOs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Transfers to Political Parties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Transfers for Non-refundable Social Help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Trasfers for Intern's Salary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Other Transfers to Individuals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Other Transfers to Institutions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>Other Transfers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Transfers to Fund for Pension and Disability Insurance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Transfers to Health Fund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Transfers to Employment Fund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Transfers to Municipalities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Transfers to State Budget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Transfers to State Owned Enterprises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Capital Expenditure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Capital Expenditure for Public Infrastructure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Capital Expenditure for Local Infrastructure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Capital Expenditure for Building Construction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Capital Expenditure for Land Construction/Improvement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Capital Expenditure for Equipment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Capital Expenditure for Investment Upkeep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Capital Expenditure for Stock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Capital Expenditure for Securities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Other Capital Expenditure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Credits and Borrowings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Credits and Borrowings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Credits and Borrowings to Non-Financial Institutions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Credits and Borrowings to Financial Institutions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Credits and Borrowings to Individuals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Credits and Borrowings to Municipalities and State Funds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Other Credits and Borrowings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Repayment of Debt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Repayment of Debt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Repayment of Domestic Debt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Repayment of Foreign Debt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Repayment of Guarantees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Repayment of Domestic Guarantees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Repayment of Foreign Guarantees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Repayments of liabilities form the previous period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Reserves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Current Budget Reserve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Permanent Budget Reserve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Other Reserves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Surplus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Primary surplus/deficit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 xml:space="preserve"> </v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Financing needs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Financing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Increase / decrease of deposits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 increase of liabilities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January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February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March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May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June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July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August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September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October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November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December</v>
      </c>
    </row>
    <row r="244" spans="4:7">
      <c r="D244" s="41"/>
      <c r="G244"/>
    </row>
    <row r="245" spans="4:7">
      <c r="D245" s="41"/>
      <c r="G245" s="44" t="str">
        <f>+VLOOKUP($B$3,$D$232:$F$243,$B$2+1,FALSE)</f>
        <v>April</v>
      </c>
    </row>
    <row r="246" spans="4:7">
      <c r="D246" s="41"/>
      <c r="G246" s="44" t="str">
        <f>+CONCATENATE("Jan - ",LEFT(G245,3))</f>
        <v>Jan - Apr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GDP</v>
      </c>
    </row>
    <row r="250" spans="4:7">
      <c r="G250" s="44" t="str">
        <f>+CONCATENATE("% ",G249)</f>
        <v>% GDP</v>
      </c>
    </row>
    <row r="252" spans="4:7">
      <c r="E252" s="5" t="s">
        <v>553</v>
      </c>
      <c r="F252" s="6" t="s">
        <v>842</v>
      </c>
      <c r="G252" s="44" t="str">
        <f t="shared" si="3"/>
        <v>Budget Execution-preliminary</v>
      </c>
    </row>
    <row r="253" spans="4:7">
      <c r="E253" s="5" t="s">
        <v>551</v>
      </c>
      <c r="F253" s="6" t="s">
        <v>552</v>
      </c>
      <c r="G253" s="44" t="str">
        <f t="shared" si="3"/>
        <v>Planned Budget Execution</v>
      </c>
    </row>
    <row r="254" spans="4:7">
      <c r="E254" s="5" t="str">
        <f>+CONCATENATE("Analitika za period ",G246)</f>
        <v>Analitika za period Jan - Apr</v>
      </c>
      <c r="F254" s="6" t="str">
        <f>+CONCATENATE("Analytics for period ",G246)</f>
        <v>Analytics for period Jan - Apr</v>
      </c>
      <c r="G254" s="44" t="str">
        <f>+IF(ISBLANK(IF($B$2=1,E254,F254)),"",IF($B$2=1,E254,F254))</f>
        <v>Analytics for period Jan - Apr</v>
      </c>
    </row>
    <row r="255" spans="4:7">
      <c r="E255" s="5" t="str">
        <f>+CONCATENATE("Analitika za period ",G245)</f>
        <v>Analitika za period April</v>
      </c>
      <c r="F255" s="6" t="str">
        <f>+CONCATENATE("Analytics for period ",G245)</f>
        <v>Analytics for period April</v>
      </c>
      <c r="G255" s="44" t="str">
        <f>+IF(ISBLANK(IF($B$2=1,E255,F255)),"",IF($B$2=1,E255,F255))</f>
        <v>Analytics for period April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Execution</v>
      </c>
    </row>
    <row r="261" spans="4:7">
      <c r="E261" s="5" t="s">
        <v>676</v>
      </c>
      <c r="F261" s="6" t="s">
        <v>677</v>
      </c>
      <c r="G261" s="44" t="str">
        <f t="shared" si="3"/>
        <v>Deviation</v>
      </c>
    </row>
    <row r="263" spans="4:7">
      <c r="E263" s="5" t="s">
        <v>681</v>
      </c>
      <c r="F263" s="6" t="s">
        <v>682</v>
      </c>
      <c r="G263" s="44" t="str">
        <f t="shared" si="3"/>
        <v>Budget realization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Revenues for April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Expenditures for April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Deficit for April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Revenues for period January - April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Expenditures for period January - April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Surplus/Deficit for period January - April</v>
      </c>
    </row>
    <row r="278" spans="5:7">
      <c r="E278" s="5" t="s">
        <v>409</v>
      </c>
      <c r="F278" s="6" t="s">
        <v>410</v>
      </c>
      <c r="G278" s="44" t="str">
        <f t="shared" si="3"/>
        <v>Public debt (% GDP)</v>
      </c>
    </row>
    <row r="280" spans="5:7">
      <c r="E280" s="5" t="s">
        <v>407</v>
      </c>
      <c r="F280" s="6" t="s">
        <v>408</v>
      </c>
      <c r="G280" s="44" t="str">
        <f t="shared" si="3"/>
        <v>Breakdown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Contact: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opLeftCell="B1" zoomScale="90" zoomScaleNormal="90" workbookViewId="0">
      <pane ySplit="5" topLeftCell="A6" activePane="bottomLeft" state="frozen"/>
      <selection activeCell="DK219" sqref="DK219"/>
      <selection pane="bottomLeft" activeCell="J19" sqref="J19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Montenegro</v>
      </c>
      <c r="F2" s="484"/>
      <c r="G2" s="484"/>
      <c r="I2" s="115"/>
    </row>
    <row r="3" spans="3:10" s="113" customFormat="1">
      <c r="E3" s="485" t="str">
        <f>+Master!G7</f>
        <v>Ministry of Finance</v>
      </c>
      <c r="F3" s="484"/>
      <c r="G3" s="484"/>
    </row>
    <row r="4" spans="3:10" s="113" customFormat="1">
      <c r="E4" s="485" t="str">
        <f>+Master!G8</f>
        <v>Directorate for State Budget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Revenues for April</v>
      </c>
      <c r="G11" s="122" t="str">
        <f>+Master!G274</f>
        <v>Revenues for period January - April</v>
      </c>
      <c r="J11" s="121"/>
    </row>
    <row r="12" spans="3:10">
      <c r="C12" s="120"/>
      <c r="D12" s="123">
        <f>+'Analitika 2026'!N10</f>
        <v>335842987.45999998</v>
      </c>
      <c r="E12" s="427">
        <f>+D12/'2026'!T7</f>
        <v>3.9212921497793242E-2</v>
      </c>
      <c r="G12" s="123">
        <f>+'Analitika 2026'!G10</f>
        <v>971326603.22000003</v>
      </c>
      <c r="H12" s="427">
        <f>+G12/'2026'!T7</f>
        <v>0.11341178843378559</v>
      </c>
      <c r="J12" s="121"/>
    </row>
    <row r="13" spans="3:10">
      <c r="C13" s="120"/>
      <c r="D13" s="124" t="s">
        <v>417</v>
      </c>
      <c r="E13" s="124" t="str">
        <f>+Master!G250</f>
        <v>% GDP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Expenditures for April</v>
      </c>
      <c r="G15" s="122" t="str">
        <f>+Master!G275</f>
        <v>Expenditures for period January - April</v>
      </c>
      <c r="J15" s="121"/>
    </row>
    <row r="16" spans="3:10">
      <c r="C16" s="120"/>
      <c r="D16" s="123">
        <f>+'Analitika 2026'!N29</f>
        <v>236942884.52000001</v>
      </c>
      <c r="E16" s="427">
        <f>+D16/'2026'!T7</f>
        <v>2.7665376610699857E-2</v>
      </c>
      <c r="G16" s="123">
        <f>+'Analitika 2026'!G29</f>
        <v>996340809.82999992</v>
      </c>
      <c r="H16" s="427">
        <f>+G16/'2026'!T7</f>
        <v>0.11633243932349438</v>
      </c>
      <c r="J16" s="121"/>
    </row>
    <row r="17" spans="3:11">
      <c r="C17" s="120"/>
      <c r="D17" s="124" t="str">
        <f>+D13</f>
        <v>mil. €</v>
      </c>
      <c r="E17" s="124" t="str">
        <f>+E13</f>
        <v>% GDP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Deficit for April</v>
      </c>
      <c r="G19" s="122" t="str">
        <f>+Master!G276</f>
        <v>Surplus/Deficit for period January - April</v>
      </c>
      <c r="J19" s="121"/>
    </row>
    <row r="20" spans="3:11">
      <c r="C20" s="120"/>
      <c r="D20" s="123">
        <f>+'Analitika 2026'!N53</f>
        <v>98900102.939999968</v>
      </c>
      <c r="E20" s="427">
        <f>+D20/'2026'!T7</f>
        <v>1.1547544887093381E-2</v>
      </c>
      <c r="G20" s="123">
        <f>+'Analitika 2026'!G53</f>
        <v>-25014206.610000044</v>
      </c>
      <c r="H20" s="550">
        <f>+G20/'2026'!T7</f>
        <v>-2.9206508897088065E-3</v>
      </c>
      <c r="J20" s="121"/>
    </row>
    <row r="21" spans="3:11">
      <c r="C21" s="120"/>
      <c r="D21" s="124" t="str">
        <f>+D17</f>
        <v>mil. €</v>
      </c>
      <c r="E21" s="124" t="str">
        <f>+E17</f>
        <v>% GDP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HMZuSCH/0VFBOhLctvGU5ShDhEXaEJKte+oNOx7h4s4zDjr9IvjGmK0mCaLIK14wMdjNdq9BC25wCCuojwVODw==" saltValue="0v0k0UTOP5Jpnjjk6J/Pq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2024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7459213000</v>
      </c>
    </row>
    <row r="8" spans="1:24" ht="16.5" customHeight="1">
      <c r="A8" s="129"/>
      <c r="B8" s="585"/>
      <c r="C8" s="586"/>
      <c r="D8" s="586"/>
      <c r="E8" s="586"/>
      <c r="F8" s="58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4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4" ht="13.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506">
        <f>G11+G19+G24+G25+G26+G27+G28</f>
        <v>150930624.55999997</v>
      </c>
      <c r="H10" s="506">
        <f t="shared" ref="H10:L10" si="2">+H11+H19+SUM(H24:H28)</f>
        <v>180248657.53999999</v>
      </c>
      <c r="I10" s="506">
        <f t="shared" si="2"/>
        <v>244547107.82000002</v>
      </c>
      <c r="J10" s="506">
        <f t="shared" si="2"/>
        <v>317574569.87000006</v>
      </c>
      <c r="K10" s="506">
        <f t="shared" si="2"/>
        <v>195199293.29999998</v>
      </c>
      <c r="L10" s="506">
        <f t="shared" si="2"/>
        <v>221230415.70000005</v>
      </c>
      <c r="M10" s="506">
        <f t="shared" ref="M10:R10" si="3">+M11+M19+SUM(M24:M28)</f>
        <v>263236934.85000002</v>
      </c>
      <c r="N10" s="506">
        <f t="shared" si="3"/>
        <v>254940204.98000008</v>
      </c>
      <c r="O10" s="506">
        <f t="shared" si="3"/>
        <v>247911142.52000001</v>
      </c>
      <c r="P10" s="506">
        <f t="shared" si="3"/>
        <v>242863704.44000006</v>
      </c>
      <c r="Q10" s="506">
        <f t="shared" si="3"/>
        <v>178969307.88</v>
      </c>
      <c r="R10" s="506">
        <f t="shared" si="3"/>
        <v>258065306.41000003</v>
      </c>
      <c r="S10" s="507">
        <f>+SUM(G10:R10)</f>
        <v>2755717269.8699999</v>
      </c>
      <c r="T10" s="508">
        <f>+S10/$T$7*100</f>
        <v>36.943807206872897</v>
      </c>
      <c r="V10" s="493"/>
    </row>
    <row r="11" spans="1:24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509">
        <f t="shared" ref="G11:I11" si="4">+SUM(G12:G18)</f>
        <v>122011952.05999999</v>
      </c>
      <c r="H11" s="509">
        <f t="shared" si="4"/>
        <v>121308599.17</v>
      </c>
      <c r="I11" s="509">
        <f t="shared" si="4"/>
        <v>184557374.95000002</v>
      </c>
      <c r="J11" s="509">
        <f>+SUM(J12:J18)</f>
        <v>237707133</v>
      </c>
      <c r="K11" s="509">
        <f>+SUM(K12:K18)</f>
        <v>140725508.57999998</v>
      </c>
      <c r="L11" s="509">
        <f>+SUM(L12:L18)</f>
        <v>153003406.79000002</v>
      </c>
      <c r="M11" s="509">
        <f t="shared" ref="M11:R11" si="5">+SUM(M12:M18)</f>
        <v>176287449.86999997</v>
      </c>
      <c r="N11" s="509">
        <f t="shared" si="5"/>
        <v>187772027.16000003</v>
      </c>
      <c r="O11" s="509">
        <f t="shared" si="5"/>
        <v>174666714.85999998</v>
      </c>
      <c r="P11" s="509">
        <f t="shared" si="5"/>
        <v>170940704.73000002</v>
      </c>
      <c r="Q11" s="509">
        <f t="shared" si="5"/>
        <v>130980738.95999999</v>
      </c>
      <c r="R11" s="510">
        <f t="shared" si="5"/>
        <v>168637973.13</v>
      </c>
      <c r="S11" s="511">
        <f>+SUM(G11:R11)</f>
        <v>1968599583.2599998</v>
      </c>
      <c r="T11" s="512">
        <f t="shared" ref="T11:T66" si="6">+S11/$T$7*100</f>
        <v>26.391518559129491</v>
      </c>
      <c r="V11" s="276"/>
    </row>
    <row r="12" spans="1:24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1998079.1499999992</v>
      </c>
      <c r="H12" s="148">
        <v>6162755.9099999974</v>
      </c>
      <c r="I12" s="148">
        <v>6774640.8399999999</v>
      </c>
      <c r="J12" s="148">
        <v>9120679.6699999962</v>
      </c>
      <c r="K12" s="148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1951464.9</v>
      </c>
      <c r="H13" s="148">
        <v>5771727.9400000023</v>
      </c>
      <c r="I13" s="148">
        <v>71210822.510000005</v>
      </c>
      <c r="J13" s="148">
        <v>100269900.83999997</v>
      </c>
      <c r="K13" s="148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91572726.909999996</v>
      </c>
      <c r="H15" s="148">
        <v>81980319.979999989</v>
      </c>
      <c r="I15" s="148">
        <v>78800496.590000004</v>
      </c>
      <c r="J15" s="148">
        <v>94537941.62000002</v>
      </c>
      <c r="K15" s="148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22556344.95999999</v>
      </c>
      <c r="H16" s="148">
        <v>22366846.550000004</v>
      </c>
      <c r="I16" s="148">
        <v>21994790.36999999</v>
      </c>
      <c r="J16" s="148">
        <v>26932676.209999997</v>
      </c>
      <c r="K16" s="148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2997811.1100000008</v>
      </c>
      <c r="H17" s="148">
        <v>3849203.2799999993</v>
      </c>
      <c r="I17" s="148">
        <v>4636318.0900000017</v>
      </c>
      <c r="J17" s="148">
        <v>5632584.1600000011</v>
      </c>
      <c r="K17" s="148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935525.02999999968</v>
      </c>
      <c r="H18" s="148">
        <v>1177745.5100000002</v>
      </c>
      <c r="I18" s="148">
        <v>1140306.55</v>
      </c>
      <c r="J18" s="148">
        <v>1213350.5000000002</v>
      </c>
      <c r="K18" s="148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513">
        <f t="shared" ref="G19" si="8">SUM(G20:G23)</f>
        <v>13548213.420000004</v>
      </c>
      <c r="H19" s="513">
        <f t="shared" ref="H19:L19" si="9">SUM(H20:H23)</f>
        <v>51209301.960000008</v>
      </c>
      <c r="I19" s="513">
        <f t="shared" si="9"/>
        <v>50079162.990000017</v>
      </c>
      <c r="J19" s="513">
        <f t="shared" si="9"/>
        <v>58312079.650000051</v>
      </c>
      <c r="K19" s="513">
        <f t="shared" si="9"/>
        <v>44239433.410000004</v>
      </c>
      <c r="L19" s="513">
        <f t="shared" si="9"/>
        <v>48567223.640000008</v>
      </c>
      <c r="M19" s="513">
        <f t="shared" ref="M19:R19" si="10">SUM(M20:M23)</f>
        <v>55016979.530000024</v>
      </c>
      <c r="N19" s="513">
        <f t="shared" si="10"/>
        <v>54498567.900000021</v>
      </c>
      <c r="O19" s="513">
        <f t="shared" si="10"/>
        <v>54697462.290000021</v>
      </c>
      <c r="P19" s="513">
        <f t="shared" si="10"/>
        <v>54762650.330000028</v>
      </c>
      <c r="Q19" s="513">
        <f t="shared" si="10"/>
        <v>37399955.219999999</v>
      </c>
      <c r="R19" s="513">
        <f t="shared" si="10"/>
        <v>62375513.170000002</v>
      </c>
      <c r="S19" s="514">
        <f t="shared" si="7"/>
        <v>584706543.51000023</v>
      </c>
      <c r="T19" s="515">
        <f t="shared" si="6"/>
        <v>7.8387162762345071</v>
      </c>
      <c r="V19" s="276"/>
      <c r="W19" s="276"/>
      <c r="X19" s="494"/>
    </row>
    <row r="20" spans="1:24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12277377.310000004</v>
      </c>
      <c r="H20" s="148">
        <v>47091163.350000009</v>
      </c>
      <c r="I20" s="148">
        <v>45892077.740000017</v>
      </c>
      <c r="J20" s="148">
        <v>53612426.220000051</v>
      </c>
      <c r="K20" s="148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307850.36</v>
      </c>
      <c r="H21" s="148">
        <v>382153.79999999981</v>
      </c>
      <c r="I21" s="148">
        <v>494660.43000000023</v>
      </c>
      <c r="J21" s="148">
        <v>456232.43000000005</v>
      </c>
      <c r="K21" s="148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569229.31000000017</v>
      </c>
      <c r="H22" s="148">
        <v>2203988.56</v>
      </c>
      <c r="I22" s="148">
        <v>2137007.6800000002</v>
      </c>
      <c r="J22" s="148">
        <v>2464722.0799999996</v>
      </c>
      <c r="K22" s="148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393756.44</v>
      </c>
      <c r="H23" s="148">
        <v>1531996.2499999995</v>
      </c>
      <c r="I23" s="148">
        <v>1555417.1400000006</v>
      </c>
      <c r="J23" s="148">
        <v>1778698.9200000009</v>
      </c>
      <c r="K23" s="148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16">
        <v>1305037.7399999998</v>
      </c>
      <c r="M24" s="516">
        <v>1842088.0599999998</v>
      </c>
      <c r="N24" s="516">
        <v>1839749.1399999992</v>
      </c>
      <c r="O24" s="516">
        <v>1512960.9899999998</v>
      </c>
      <c r="P24" s="516">
        <v>1483761.4700000002</v>
      </c>
      <c r="Q24" s="516">
        <v>1124852.74</v>
      </c>
      <c r="R24" s="516">
        <v>1630932.8199999994</v>
      </c>
      <c r="S24" s="514">
        <f t="shared" si="7"/>
        <v>16259315.629999999</v>
      </c>
      <c r="T24" s="515">
        <f t="shared" si="6"/>
        <v>0.21797628824917586</v>
      </c>
    </row>
    <row r="25" spans="1:24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16">
        <v>4104367.62</v>
      </c>
      <c r="M25" s="516">
        <v>6739444.4200000018</v>
      </c>
      <c r="N25" s="516">
        <v>3916013.2500000005</v>
      </c>
      <c r="O25" s="516">
        <v>4184422.2199999993</v>
      </c>
      <c r="P25" s="516">
        <v>5561939.7699999977</v>
      </c>
      <c r="Q25" s="516">
        <v>4081588.330000001</v>
      </c>
      <c r="R25" s="516">
        <v>5674135.9900000002</v>
      </c>
      <c r="S25" s="514">
        <f t="shared" si="7"/>
        <v>53128166.680000007</v>
      </c>
      <c r="T25" s="515">
        <f t="shared" si="6"/>
        <v>0.71224895548632283</v>
      </c>
    </row>
    <row r="26" spans="1:24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16">
        <v>11737785.010000005</v>
      </c>
      <c r="M26" s="516">
        <v>20189939.060000002</v>
      </c>
      <c r="N26" s="516">
        <v>3567908.3100000024</v>
      </c>
      <c r="O26" s="516">
        <v>9667575.4800000004</v>
      </c>
      <c r="P26" s="516">
        <v>4545482.1499999976</v>
      </c>
      <c r="Q26" s="516">
        <v>2028102.13</v>
      </c>
      <c r="R26" s="516">
        <v>11227784.880000001</v>
      </c>
      <c r="S26" s="514">
        <f t="shared" si="7"/>
        <v>92168307.409999996</v>
      </c>
      <c r="T26" s="515">
        <f t="shared" si="6"/>
        <v>1.2356304533735663</v>
      </c>
    </row>
    <row r="27" spans="1:24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16">
        <v>0</v>
      </c>
      <c r="M27" s="516">
        <v>0</v>
      </c>
      <c r="N27" s="516">
        <v>0</v>
      </c>
      <c r="O27" s="516">
        <v>0</v>
      </c>
      <c r="P27" s="516">
        <v>0</v>
      </c>
      <c r="Q27" s="516">
        <v>0</v>
      </c>
      <c r="R27" s="516">
        <v>0</v>
      </c>
      <c r="S27" s="514">
        <f t="shared" si="7"/>
        <v>0</v>
      </c>
      <c r="T27" s="515">
        <f t="shared" si="6"/>
        <v>0</v>
      </c>
    </row>
    <row r="28" spans="1:24" ht="13.5" thickBot="1">
      <c r="A28" s="135">
        <v>74</v>
      </c>
      <c r="B28" s="557" t="str">
        <f>+VLOOKUP($A28,Master!$D$30:$G$226,4,FALSE)</f>
        <v>Grants and Transfers</v>
      </c>
      <c r="C28" s="558"/>
      <c r="D28" s="558"/>
      <c r="E28" s="558"/>
      <c r="F28" s="558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16">
        <v>2512594.8999999994</v>
      </c>
      <c r="M28" s="516">
        <v>3161033.91</v>
      </c>
      <c r="N28" s="516">
        <v>3345939.2199999997</v>
      </c>
      <c r="O28" s="516">
        <v>3182006.6799999997</v>
      </c>
      <c r="P28" s="516">
        <v>5569165.9900000002</v>
      </c>
      <c r="Q28" s="516">
        <v>3354070.4999999995</v>
      </c>
      <c r="R28" s="516">
        <v>8518966.4200000018</v>
      </c>
      <c r="S28" s="514">
        <f t="shared" si="7"/>
        <v>40855353.379999995</v>
      </c>
      <c r="T28" s="517">
        <f t="shared" si="6"/>
        <v>0.54771667439983274</v>
      </c>
    </row>
    <row r="29" spans="1:24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18">
        <f t="shared" si="7"/>
        <v>3003265592.9499998</v>
      </c>
      <c r="T29" s="519">
        <f t="shared" si="6"/>
        <v>40.26249944799806</v>
      </c>
    </row>
    <row r="30" spans="1:24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0">
        <f t="shared" si="7"/>
        <v>1191701976.5</v>
      </c>
      <c r="T30" s="512">
        <f t="shared" si="6"/>
        <v>15.976242755100303</v>
      </c>
      <c r="U30" s="472"/>
    </row>
    <row r="31" spans="1:24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55136605.750000007</v>
      </c>
      <c r="H31" s="148">
        <v>55692234.729999967</v>
      </c>
      <c r="I31" s="148">
        <v>55409710.469999999</v>
      </c>
      <c r="J31" s="148">
        <v>52206356.690000013</v>
      </c>
      <c r="K31" s="148">
        <v>59775777.14000003</v>
      </c>
      <c r="L31" s="148">
        <v>56817583.930000015</v>
      </c>
      <c r="M31" s="148">
        <v>56265870.18000003</v>
      </c>
      <c r="N31" s="148">
        <v>55237690.129999988</v>
      </c>
      <c r="O31" s="148">
        <v>57435269.210000031</v>
      </c>
      <c r="P31" s="148">
        <v>57178613.530000001</v>
      </c>
      <c r="Q31" s="148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104790.61</v>
      </c>
      <c r="H32" s="148">
        <v>1837884.4900000005</v>
      </c>
      <c r="I32" s="148">
        <v>2257740.919999999</v>
      </c>
      <c r="J32" s="148">
        <v>1683604.5899999994</v>
      </c>
      <c r="K32" s="148">
        <v>1510365</v>
      </c>
      <c r="L32" s="148">
        <v>1609176.6600000001</v>
      </c>
      <c r="M32" s="148">
        <v>1737204.9199999995</v>
      </c>
      <c r="N32" s="148">
        <v>1253291.9899999998</v>
      </c>
      <c r="O32" s="148">
        <v>1536869.6700000002</v>
      </c>
      <c r="P32" s="148">
        <v>1989821.8199999996</v>
      </c>
      <c r="Q32" s="148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201738.93999999997</v>
      </c>
      <c r="H33" s="148">
        <v>3185464.5300000003</v>
      </c>
      <c r="I33" s="148">
        <v>3529714.7899999991</v>
      </c>
      <c r="J33" s="148">
        <v>3285232.91</v>
      </c>
      <c r="K33" s="148">
        <v>2227446.2700000005</v>
      </c>
      <c r="L33" s="148">
        <v>2342625.54</v>
      </c>
      <c r="M33" s="148">
        <v>3340983.5300000003</v>
      </c>
      <c r="N33" s="148">
        <v>1736766.3599999999</v>
      </c>
      <c r="O33" s="148">
        <v>4477978.9600000018</v>
      </c>
      <c r="P33" s="148">
        <v>3454251.1000000006</v>
      </c>
      <c r="Q33" s="148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757981.92</v>
      </c>
      <c r="H34" s="148">
        <v>3300375.67</v>
      </c>
      <c r="I34" s="148">
        <v>6875965.6500000004</v>
      </c>
      <c r="J34" s="148">
        <v>6034145.7299999995</v>
      </c>
      <c r="K34" s="148">
        <v>4158479.13</v>
      </c>
      <c r="L34" s="148">
        <v>5569605.379999999</v>
      </c>
      <c r="M34" s="148">
        <v>6877088.6399999997</v>
      </c>
      <c r="N34" s="148">
        <v>3795777.2799999993</v>
      </c>
      <c r="O34" s="148">
        <v>4358161.21</v>
      </c>
      <c r="P34" s="148">
        <v>7251119.8099999996</v>
      </c>
      <c r="Q34" s="148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4201.5999999999995</v>
      </c>
      <c r="H35" s="148">
        <v>1444596.6199999996</v>
      </c>
      <c r="I35" s="148">
        <v>1881519.3199999998</v>
      </c>
      <c r="J35" s="148">
        <v>3225823.8199999994</v>
      </c>
      <c r="K35" s="148">
        <v>501842.64999999991</v>
      </c>
      <c r="L35" s="148">
        <v>3134652.47</v>
      </c>
      <c r="M35" s="148">
        <v>3729643.08</v>
      </c>
      <c r="N35" s="148">
        <v>2811315.1200000006</v>
      </c>
      <c r="O35" s="148">
        <v>4060157.3499999996</v>
      </c>
      <c r="P35" s="148">
        <v>2529921.85</v>
      </c>
      <c r="Q35" s="148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4029329.47</v>
      </c>
      <c r="H36" s="148">
        <v>4134269.1400000006</v>
      </c>
      <c r="I36" s="148">
        <v>7187851.2999999989</v>
      </c>
      <c r="J36" s="148">
        <v>31152460.929999992</v>
      </c>
      <c r="K36" s="148">
        <v>8072726.5900000008</v>
      </c>
      <c r="L36" s="148">
        <v>5854358.290000001</v>
      </c>
      <c r="M36" s="148">
        <v>3738849.7</v>
      </c>
      <c r="N36" s="148">
        <v>3976245.2199999993</v>
      </c>
      <c r="O36" s="148">
        <v>25966444.500000007</v>
      </c>
      <c r="P36" s="148">
        <v>14869850.659999998</v>
      </c>
      <c r="Q36" s="148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155.47</v>
      </c>
      <c r="H37" s="148">
        <v>1060132.9999999998</v>
      </c>
      <c r="I37" s="148">
        <v>1228548.2700000005</v>
      </c>
      <c r="J37" s="148">
        <v>1368144.23</v>
      </c>
      <c r="K37" s="148">
        <v>707637.62000000023</v>
      </c>
      <c r="L37" s="148">
        <v>996164.27000000014</v>
      </c>
      <c r="M37" s="148">
        <v>1022257.5800000002</v>
      </c>
      <c r="N37" s="148">
        <v>1097677.0900000001</v>
      </c>
      <c r="O37" s="148">
        <v>456664.22999999986</v>
      </c>
      <c r="P37" s="148">
        <v>871596.95000000007</v>
      </c>
      <c r="Q37" s="148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1261570.01</v>
      </c>
      <c r="H38" s="148">
        <v>3823193.8399999947</v>
      </c>
      <c r="I38" s="148">
        <v>6034941.5099999914</v>
      </c>
      <c r="J38" s="148">
        <v>4256461.24</v>
      </c>
      <c r="K38" s="148">
        <v>4091213.4399999962</v>
      </c>
      <c r="L38" s="148">
        <v>5603254.6099999947</v>
      </c>
      <c r="M38" s="148">
        <v>6020163.6199999992</v>
      </c>
      <c r="N38" s="148">
        <v>5377628.459999999</v>
      </c>
      <c r="O38" s="148">
        <v>8420721.0699999966</v>
      </c>
      <c r="P38" s="148">
        <v>11936637.319999993</v>
      </c>
      <c r="Q38" s="148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v>98362.579999999987</v>
      </c>
      <c r="H39" s="148">
        <v>7565592.3899999987</v>
      </c>
      <c r="I39" s="148">
        <v>5572488.79</v>
      </c>
      <c r="J39" s="148">
        <v>4450664.4799999995</v>
      </c>
      <c r="K39" s="148">
        <v>5347489.51</v>
      </c>
      <c r="L39" s="148">
        <v>3999898.1399999997</v>
      </c>
      <c r="M39" s="148">
        <v>5530243.1799999997</v>
      </c>
      <c r="N39" s="148">
        <v>3399820.2400000007</v>
      </c>
      <c r="O39" s="148">
        <v>3056347.6999999997</v>
      </c>
      <c r="P39" s="148">
        <v>4834785.4400000004</v>
      </c>
      <c r="Q39" s="148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1">
        <f t="shared" si="7"/>
        <v>1008167754.3099997</v>
      </c>
      <c r="T40" s="522">
        <f t="shared" si="6"/>
        <v>13.51573891655862</v>
      </c>
      <c r="U40" s="472"/>
    </row>
    <row r="41" spans="1:24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17183646.739999998</v>
      </c>
      <c r="H41" s="148">
        <v>17507547.41</v>
      </c>
      <c r="I41" s="148">
        <v>16928238.349999998</v>
      </c>
      <c r="J41" s="148">
        <v>17627062.289999999</v>
      </c>
      <c r="K41" s="148">
        <v>17001906.07</v>
      </c>
      <c r="L41" s="148">
        <v>17979185.619999997</v>
      </c>
      <c r="M41" s="148">
        <v>16917527.130000003</v>
      </c>
      <c r="N41" s="148">
        <v>18622201.02</v>
      </c>
      <c r="O41" s="148">
        <v>16239772.940000001</v>
      </c>
      <c r="P41" s="148">
        <v>18952775.550000001</v>
      </c>
      <c r="Q41" s="148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0</v>
      </c>
      <c r="H42" s="148">
        <v>1977301.41</v>
      </c>
      <c r="I42" s="148">
        <v>1962698.7999999998</v>
      </c>
      <c r="J42" s="148">
        <v>1911485.76</v>
      </c>
      <c r="K42" s="148">
        <v>1876474.2999999998</v>
      </c>
      <c r="L42" s="148">
        <v>1850184.16</v>
      </c>
      <c r="M42" s="148">
        <v>1906089.0599999998</v>
      </c>
      <c r="N42" s="148">
        <v>1848788.09</v>
      </c>
      <c r="O42" s="148">
        <v>1914382.2699999998</v>
      </c>
      <c r="P42" s="148">
        <v>1817889.25</v>
      </c>
      <c r="Q42" s="148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49992836.859999999</v>
      </c>
      <c r="H43" s="148">
        <v>60436837.38000001</v>
      </c>
      <c r="I43" s="148">
        <v>61009059.659999989</v>
      </c>
      <c r="J43" s="148">
        <v>61180414.659999989</v>
      </c>
      <c r="K43" s="148">
        <v>60912897.669999979</v>
      </c>
      <c r="L43" s="148">
        <v>61972227.06999997</v>
      </c>
      <c r="M43" s="148">
        <v>61550827.919999987</v>
      </c>
      <c r="N43" s="148">
        <v>62111987.969999999</v>
      </c>
      <c r="O43" s="148">
        <v>62041259.769999973</v>
      </c>
      <c r="P43" s="148">
        <v>62741828.979999989</v>
      </c>
      <c r="Q43" s="148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893164.23999999976</v>
      </c>
      <c r="H44" s="148">
        <v>857362.14999999991</v>
      </c>
      <c r="I44" s="148">
        <v>1257824.81</v>
      </c>
      <c r="J44" s="148">
        <v>1233497.5799999998</v>
      </c>
      <c r="K44" s="148">
        <v>1005825.6500000001</v>
      </c>
      <c r="L44" s="148">
        <v>1033640.7399999999</v>
      </c>
      <c r="M44" s="148">
        <v>6613796.0999999978</v>
      </c>
      <c r="N44" s="148">
        <v>1831545.69</v>
      </c>
      <c r="O44" s="148">
        <v>1235670.44</v>
      </c>
      <c r="P44" s="148">
        <v>1750407.2899999998</v>
      </c>
      <c r="Q44" s="148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34748.049999999996</v>
      </c>
      <c r="H45" s="148">
        <v>1222905.4799999997</v>
      </c>
      <c r="I45" s="148">
        <v>2373259.1799999997</v>
      </c>
      <c r="J45" s="148">
        <v>1410333.5000000005</v>
      </c>
      <c r="K45" s="148">
        <v>1163295.2799999991</v>
      </c>
      <c r="L45" s="148">
        <v>1245194.8499999999</v>
      </c>
      <c r="M45" s="148">
        <v>1669001.1999999997</v>
      </c>
      <c r="N45" s="148">
        <v>679384.87999999989</v>
      </c>
      <c r="O45" s="148">
        <v>1758483.149999999</v>
      </c>
      <c r="P45" s="148">
        <v>1449378.36</v>
      </c>
      <c r="Q45" s="148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14">
        <f t="shared" si="7"/>
        <v>429186147.31999999</v>
      </c>
      <c r="T46" s="515">
        <f t="shared" si="6"/>
        <v>5.7537725135346047</v>
      </c>
      <c r="U46" s="472"/>
    </row>
    <row r="47" spans="1:24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14">
        <f t="shared" si="7"/>
        <v>299128487.52999997</v>
      </c>
      <c r="T47" s="515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0</v>
      </c>
      <c r="H49" s="148">
        <v>0</v>
      </c>
      <c r="I49" s="148">
        <v>754804.72</v>
      </c>
      <c r="J49" s="148">
        <v>2241991.63</v>
      </c>
      <c r="K49" s="148">
        <v>8144950</v>
      </c>
      <c r="L49" s="148">
        <v>3778637.8999999994</v>
      </c>
      <c r="M49" s="148">
        <v>5528221.54</v>
      </c>
      <c r="N49" s="148">
        <v>13662.199999999999</v>
      </c>
      <c r="O49" s="148">
        <v>5725</v>
      </c>
      <c r="P49" s="148">
        <v>2349062.9400000004</v>
      </c>
      <c r="Q49" s="148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0</v>
      </c>
      <c r="H50" s="148">
        <v>2301161.16</v>
      </c>
      <c r="I50" s="148">
        <v>0</v>
      </c>
      <c r="J50" s="148">
        <v>0</v>
      </c>
      <c r="K50" s="148">
        <v>0</v>
      </c>
      <c r="L50" s="148">
        <v>0</v>
      </c>
      <c r="M50" s="148">
        <v>0</v>
      </c>
      <c r="N50" s="148">
        <v>3548206.51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23">
        <f>SUM(G53:R53)</f>
        <v>-247548323.07999954</v>
      </c>
      <c r="T53" s="524">
        <f t="shared" si="6"/>
        <v>-3.3186922411251638</v>
      </c>
    </row>
    <row r="54" spans="1:21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23">
        <f t="shared" si="7"/>
        <v>-98261922.689999536</v>
      </c>
      <c r="T54" s="524">
        <f t="shared" si="6"/>
        <v>-1.3173229225388727</v>
      </c>
    </row>
    <row r="55" spans="1:21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25">
        <f t="shared" si="7"/>
        <v>495640543.03000009</v>
      </c>
      <c r="T55" s="526">
        <f t="shared" si="6"/>
        <v>6.644676094247477</v>
      </c>
    </row>
    <row r="56" spans="1:21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2494755.4500000002</v>
      </c>
      <c r="H56" s="196">
        <v>2954245.6799999997</v>
      </c>
      <c r="I56" s="196">
        <v>23477657.120000001</v>
      </c>
      <c r="J56" s="196">
        <v>95643965.920000002</v>
      </c>
      <c r="K56" s="196">
        <v>9858911.2699999996</v>
      </c>
      <c r="L56" s="196">
        <v>27246632.220000003</v>
      </c>
      <c r="M56" s="196">
        <v>2591103.59</v>
      </c>
      <c r="N56" s="196">
        <v>3042001.86</v>
      </c>
      <c r="O56" s="196">
        <v>13593166.439999999</v>
      </c>
      <c r="P56" s="196">
        <v>2641469.5200000005</v>
      </c>
      <c r="Q56" s="196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32313186.740000002</v>
      </c>
      <c r="H57" s="196">
        <v>3787783.5300000007</v>
      </c>
      <c r="I57" s="196">
        <v>36280570.130000003</v>
      </c>
      <c r="J57" s="196">
        <v>21527356.229999997</v>
      </c>
      <c r="K57" s="196">
        <v>29335488.089999996</v>
      </c>
      <c r="L57" s="196">
        <v>22679727.629999999</v>
      </c>
      <c r="M57" s="196">
        <v>32746191.469999999</v>
      </c>
      <c r="N57" s="196">
        <v>4539309.4100000011</v>
      </c>
      <c r="O57" s="196">
        <v>30932476.600000001</v>
      </c>
      <c r="P57" s="196">
        <v>4512450.2399999993</v>
      </c>
      <c r="Q57" s="196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25">
        <f>SUM(G58:R58)</f>
        <v>3269563.45</v>
      </c>
      <c r="T58" s="527">
        <f t="shared" si="6"/>
        <v>4.3832552442194639E-2</v>
      </c>
    </row>
    <row r="59" spans="1:21" ht="13.5" thickBot="1">
      <c r="A59" s="135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148">
        <v>714721.61</v>
      </c>
      <c r="H59" s="148">
        <v>511310</v>
      </c>
      <c r="I59" s="148">
        <v>913671.44</v>
      </c>
      <c r="J59" s="148">
        <v>968084.1</v>
      </c>
      <c r="K59" s="148">
        <v>667226.13</v>
      </c>
      <c r="L59" s="148">
        <v>1012363.69</v>
      </c>
      <c r="M59" s="148">
        <v>136349.23000000001</v>
      </c>
      <c r="N59" s="148">
        <v>1003067.94</v>
      </c>
      <c r="O59" s="148">
        <v>841263.3</v>
      </c>
      <c r="P59" s="148">
        <v>716355.96</v>
      </c>
      <c r="Q59" s="148">
        <v>341504.15</v>
      </c>
      <c r="R59" s="432">
        <v>1326787.44</v>
      </c>
      <c r="S59" s="525">
        <f>SUM(G59:R59)</f>
        <v>9152704.9900000002</v>
      </c>
      <c r="T59" s="527">
        <f t="shared" si="6"/>
        <v>0.12270336012659781</v>
      </c>
    </row>
    <row r="60" spans="1:21" ht="13.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25">
        <f t="shared" si="33"/>
        <v>-755611134.54999971</v>
      </c>
      <c r="T60" s="528">
        <f t="shared" si="6"/>
        <v>-10.129904247941434</v>
      </c>
    </row>
    <row r="61" spans="1:21" ht="13.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29">
        <f t="shared" si="7"/>
        <v>755611134.54999959</v>
      </c>
      <c r="T61" s="530">
        <f t="shared" si="6"/>
        <v>10.129904247941433</v>
      </c>
    </row>
    <row r="62" spans="1:21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457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73" t="str">
        <f>+VLOOKUP($A63,Master!$D$30:$G$226,4,FALSE)</f>
        <v>Foreign Loans and Borrowings</v>
      </c>
      <c r="C63" s="574"/>
      <c r="D63" s="574"/>
      <c r="E63" s="574"/>
      <c r="F63" s="574"/>
      <c r="G63" s="196">
        <v>1570614.04</v>
      </c>
      <c r="H63" s="196">
        <v>1799527.23</v>
      </c>
      <c r="I63" s="196">
        <v>691084422.79999995</v>
      </c>
      <c r="J63" s="196">
        <v>4579976.1000000006</v>
      </c>
      <c r="K63" s="196">
        <v>275366.86</v>
      </c>
      <c r="L63" s="196">
        <v>3040803.26</v>
      </c>
      <c r="M63" s="457">
        <v>7067114.0599999996</v>
      </c>
      <c r="N63" s="196">
        <v>1379630.82</v>
      </c>
      <c r="O63" s="196">
        <v>6297708.2599999998</v>
      </c>
      <c r="P63" s="196">
        <v>5933627.7299999995</v>
      </c>
      <c r="Q63" s="196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96">
        <v>29140.719999999998</v>
      </c>
      <c r="H64" s="196">
        <v>223106.54</v>
      </c>
      <c r="I64" s="196">
        <v>24726.440000000002</v>
      </c>
      <c r="J64" s="196">
        <v>107366.27000000003</v>
      </c>
      <c r="K64" s="196">
        <v>292415.26</v>
      </c>
      <c r="L64" s="196">
        <v>390561.8</v>
      </c>
      <c r="M64" s="457">
        <v>369935.11</v>
      </c>
      <c r="N64" s="196">
        <v>79361.94</v>
      </c>
      <c r="O64" s="196">
        <v>51811.229999999996</v>
      </c>
      <c r="P64" s="196">
        <v>128331.11000000003</v>
      </c>
      <c r="Q64" s="196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27" t="str">
        <f>+Master!G253</f>
        <v>Planned Budget Execution</v>
      </c>
      <c r="C83" s="628"/>
      <c r="D83" s="628"/>
      <c r="E83" s="628"/>
      <c r="F83" s="628"/>
      <c r="G83" s="635">
        <v>2024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96" t="str">
        <f>+S7</f>
        <v>GDP</v>
      </c>
      <c r="T83" s="97">
        <v>7279700000</v>
      </c>
    </row>
    <row r="84" spans="1:26" ht="15.75" customHeight="1">
      <c r="B84" s="629"/>
      <c r="C84" s="630"/>
      <c r="D84" s="630"/>
      <c r="E84" s="630"/>
      <c r="F84" s="631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July</v>
      </c>
      <c r="N84" s="62" t="str">
        <f t="shared" si="41"/>
        <v>August</v>
      </c>
      <c r="O84" s="62" t="str">
        <f t="shared" si="41"/>
        <v>September</v>
      </c>
      <c r="P84" s="62" t="str">
        <f t="shared" si="41"/>
        <v>October</v>
      </c>
      <c r="Q84" s="62" t="str">
        <f t="shared" si="41"/>
        <v>November</v>
      </c>
      <c r="R84" s="62" t="str">
        <f t="shared" si="41"/>
        <v>December</v>
      </c>
      <c r="S84" s="635" t="str">
        <f>+Master!G247</f>
        <v>Jan - Dec</v>
      </c>
      <c r="T84" s="637">
        <f>+T8</f>
        <v>0</v>
      </c>
    </row>
    <row r="85" spans="1:26" ht="13.5" thickBot="1">
      <c r="B85" s="632"/>
      <c r="C85" s="633"/>
      <c r="D85" s="633"/>
      <c r="E85" s="633"/>
      <c r="F85" s="63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GDP</v>
      </c>
    </row>
    <row r="86" spans="1:26" ht="13.5" thickBot="1">
      <c r="A86" s="105" t="str">
        <f t="shared" ref="A86:A117" si="42">+CONCATENATE(A10,"p")</f>
        <v>7p</v>
      </c>
      <c r="B86" s="601" t="str">
        <f>+VLOOKUP(LEFT($A86,LEN(A86)-1)*1,Master!$D$30:$G$226,4,FALSE)</f>
        <v>Total Revenues</v>
      </c>
      <c r="C86" s="602"/>
      <c r="D86" s="602"/>
      <c r="E86" s="602"/>
      <c r="F86" s="602"/>
      <c r="G86" s="497">
        <f t="shared" ref="G86:L86" si="43">+G87+G95+SUM(G100:G104)</f>
        <v>150930823.45999998</v>
      </c>
      <c r="H86" s="497">
        <f t="shared" si="43"/>
        <v>180248667.54000002</v>
      </c>
      <c r="I86" s="497">
        <f t="shared" si="43"/>
        <v>244547117.82000002</v>
      </c>
      <c r="J86" s="497">
        <f t="shared" si="43"/>
        <v>317572444.20999998</v>
      </c>
      <c r="K86" s="497">
        <f t="shared" si="43"/>
        <v>193296652.43999997</v>
      </c>
      <c r="L86" s="497">
        <f t="shared" si="43"/>
        <v>222625769.17000002</v>
      </c>
      <c r="M86" s="497">
        <f t="shared" ref="M86:Q86" si="44">+M87+M95+SUM(M100:M104)</f>
        <v>261554283.82000002</v>
      </c>
      <c r="N86" s="497">
        <f t="shared" si="44"/>
        <v>254538932.34000003</v>
      </c>
      <c r="O86" s="497">
        <f t="shared" si="44"/>
        <v>222707674.54760152</v>
      </c>
      <c r="P86" s="497">
        <f t="shared" si="44"/>
        <v>235724553.51601768</v>
      </c>
      <c r="Q86" s="497">
        <f t="shared" si="44"/>
        <v>206397291.22064134</v>
      </c>
      <c r="R86" s="497">
        <f>+R87+R95+SUM(R100:R104)</f>
        <v>282503938.44611555</v>
      </c>
      <c r="S86" s="531">
        <f>+SUM(G86:R86)</f>
        <v>2772648148.530376</v>
      </c>
      <c r="T86" s="532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5" t="str">
        <f>+VLOOKUP(LEFT($A87,LEN(A87)-1)*1,Master!$D$30:$G$226,4,FALSE)</f>
        <v>Taxes</v>
      </c>
      <c r="C87" s="626"/>
      <c r="D87" s="626"/>
      <c r="E87" s="626"/>
      <c r="F87" s="626"/>
      <c r="G87" s="533">
        <f t="shared" ref="G87:L87" si="45">+SUM(G88:G94)</f>
        <v>122011952.05999999</v>
      </c>
      <c r="H87" s="533">
        <f t="shared" si="45"/>
        <v>121308599.17000002</v>
      </c>
      <c r="I87" s="533">
        <f t="shared" si="45"/>
        <v>184557374.95000002</v>
      </c>
      <c r="J87" s="533">
        <f t="shared" si="45"/>
        <v>237707133</v>
      </c>
      <c r="K87" s="533">
        <f t="shared" si="45"/>
        <v>140725508.57999998</v>
      </c>
      <c r="L87" s="533">
        <f t="shared" si="45"/>
        <v>153003406.79000002</v>
      </c>
      <c r="M87" s="533">
        <f t="shared" ref="M87:R87" si="46">+SUM(M88:M94)</f>
        <v>176287449.87000003</v>
      </c>
      <c r="N87" s="533">
        <f t="shared" si="46"/>
        <v>187772027.16000003</v>
      </c>
      <c r="O87" s="533">
        <f t="shared" si="46"/>
        <v>163682565.97560155</v>
      </c>
      <c r="P87" s="533">
        <f t="shared" si="46"/>
        <v>153706833.67658257</v>
      </c>
      <c r="Q87" s="533">
        <f t="shared" si="46"/>
        <v>137653378.33863866</v>
      </c>
      <c r="R87" s="534">
        <f t="shared" si="46"/>
        <v>151899426.82955331</v>
      </c>
      <c r="S87" s="535">
        <f t="shared" ref="S87:S141" si="47">+SUM(G87:R87)</f>
        <v>1930315656.4003761</v>
      </c>
      <c r="T87" s="512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17" t="str">
        <f>+VLOOKUP(LEFT($A88,LEN(A88)-1)*1,Master!$D$30:$G$229,4,FALSE)</f>
        <v>Personal Income Tax</v>
      </c>
      <c r="C88" s="618"/>
      <c r="D88" s="618"/>
      <c r="E88" s="618"/>
      <c r="F88" s="618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17" t="str">
        <f>+VLOOKUP(LEFT($A89,LEN(A89)-1)*1,Master!$D$30:$G$229,4,FALSE)</f>
        <v>Corporate Income Tax</v>
      </c>
      <c r="C89" s="618"/>
      <c r="D89" s="618"/>
      <c r="E89" s="618"/>
      <c r="F89" s="618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17" t="str">
        <f>+VLOOKUP(LEFT($A90,LEN(A90)-1)*1,Master!$D$30:$G$229,4,FALSE)</f>
        <v xml:space="preserve">Taxes on Sales of Property </v>
      </c>
      <c r="C90" s="618"/>
      <c r="D90" s="618"/>
      <c r="E90" s="618"/>
      <c r="F90" s="61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17" t="str">
        <f>+VLOOKUP(LEFT($A91,LEN(A91)-1)*1,Master!$D$30:$G$229,4,FALSE)</f>
        <v>Value Added Tax</v>
      </c>
      <c r="C91" s="618"/>
      <c r="D91" s="618"/>
      <c r="E91" s="618"/>
      <c r="F91" s="618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17" t="str">
        <f>+VLOOKUP(LEFT($A92,LEN(A92)-1)*1,Master!$D$30:$G$229,4,FALSE)</f>
        <v>Excises</v>
      </c>
      <c r="C92" s="618"/>
      <c r="D92" s="618"/>
      <c r="E92" s="618"/>
      <c r="F92" s="618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17" t="str">
        <f>+VLOOKUP(LEFT($A93,LEN(A93)-1)*1,Master!$D$30:$G$229,4,FALSE)</f>
        <v>Tax on International Trade and Transactions</v>
      </c>
      <c r="C93" s="618"/>
      <c r="D93" s="618"/>
      <c r="E93" s="618"/>
      <c r="F93" s="618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17" t="str">
        <f>+VLOOKUP(LEFT($A94,LEN(A94)-1)*1,Master!$D$30:$G$229,4,FALSE)</f>
        <v>Other Republic Taxes</v>
      </c>
      <c r="C94" s="618"/>
      <c r="D94" s="618"/>
      <c r="E94" s="618"/>
      <c r="F94" s="618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23" t="str">
        <f>+VLOOKUP(LEFT($A95,LEN(A95)-1)*1,Master!$D$30:$G$229,4,FALSE)</f>
        <v>Contributions</v>
      </c>
      <c r="C95" s="624"/>
      <c r="D95" s="624"/>
      <c r="E95" s="624"/>
      <c r="F95" s="624"/>
      <c r="G95" s="536">
        <f>+SUM(G96:G99)</f>
        <v>13548213.42</v>
      </c>
      <c r="H95" s="536">
        <f t="shared" ref="H95:L95" si="49">+SUM(H96:H99)</f>
        <v>51209301.960000001</v>
      </c>
      <c r="I95" s="537">
        <f t="shared" si="49"/>
        <v>50079162.990000002</v>
      </c>
      <c r="J95" s="536">
        <f t="shared" si="49"/>
        <v>58312079.649999999</v>
      </c>
      <c r="K95" s="536">
        <f t="shared" si="49"/>
        <v>44239433.410000004</v>
      </c>
      <c r="L95" s="536">
        <f t="shared" si="49"/>
        <v>48567223.640000001</v>
      </c>
      <c r="M95" s="536">
        <f t="shared" ref="M95:R95" si="50">+SUM(M96:M99)</f>
        <v>55016979.530000001</v>
      </c>
      <c r="N95" s="536">
        <f t="shared" si="50"/>
        <v>54208064.920000002</v>
      </c>
      <c r="O95" s="536">
        <f t="shared" si="50"/>
        <v>47755833.769999966</v>
      </c>
      <c r="P95" s="536">
        <f t="shared" si="50"/>
        <v>53465829.031868093</v>
      </c>
      <c r="Q95" s="536">
        <f t="shared" si="50"/>
        <v>38858209.981027149</v>
      </c>
      <c r="R95" s="538">
        <f t="shared" si="50"/>
        <v>70138715.6471048</v>
      </c>
      <c r="S95" s="539">
        <f t="shared" si="47"/>
        <v>585399047.95000005</v>
      </c>
      <c r="T95" s="515">
        <f t="shared" si="48"/>
        <v>8.0415270952099682</v>
      </c>
      <c r="V95" s="292"/>
    </row>
    <row r="96" spans="1:26">
      <c r="A96" s="105" t="str">
        <f t="shared" si="42"/>
        <v>7121p</v>
      </c>
      <c r="B96" s="617" t="str">
        <f>+VLOOKUP(LEFT($A96,LEN(A96)-1)*1,Master!$D$30:$G$229,4,FALSE)</f>
        <v>Contributions for Pension and Disability Insurance</v>
      </c>
      <c r="C96" s="618"/>
      <c r="D96" s="618"/>
      <c r="E96" s="618"/>
      <c r="F96" s="618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17" t="str">
        <f>+VLOOKUP(LEFT($A97,LEN(A97)-1)*1,Master!$D$30:$G$229,4,FALSE)</f>
        <v>Contributions for Health Insurance</v>
      </c>
      <c r="C97" s="618"/>
      <c r="D97" s="618"/>
      <c r="E97" s="618"/>
      <c r="F97" s="618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17" t="str">
        <f>+VLOOKUP(LEFT($A98,LEN(A98)-1)*1,Master!$D$30:$G$229,4,FALSE)</f>
        <v>Contributions for  Unemployment Insurance</v>
      </c>
      <c r="C98" s="618"/>
      <c r="D98" s="618"/>
      <c r="E98" s="618"/>
      <c r="F98" s="618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17" t="str">
        <f>+VLOOKUP(LEFT($A99,LEN(A99)-1)*1,Master!$D$30:$G$229,4,FALSE)</f>
        <v>Other contributions</v>
      </c>
      <c r="C99" s="618"/>
      <c r="D99" s="618"/>
      <c r="E99" s="618"/>
      <c r="F99" s="618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23" t="str">
        <f>+VLOOKUP(LEFT($A100,LEN(A100)-1)*1,Master!$D$30:$G$229,4,FALSE)</f>
        <v>Duties</v>
      </c>
      <c r="C100" s="624"/>
      <c r="D100" s="624"/>
      <c r="E100" s="624"/>
      <c r="F100" s="624"/>
      <c r="G100" s="503">
        <v>859681.09</v>
      </c>
      <c r="H100" s="503">
        <v>998586.78</v>
      </c>
      <c r="I100" s="503">
        <v>986568.83000000007</v>
      </c>
      <c r="J100" s="503">
        <v>1424375.7499999998</v>
      </c>
      <c r="K100" s="503">
        <v>1250720.22</v>
      </c>
      <c r="L100" s="503">
        <v>1305037.74</v>
      </c>
      <c r="M100" s="503">
        <v>1800426.57</v>
      </c>
      <c r="N100" s="503">
        <v>1808424.72</v>
      </c>
      <c r="O100" s="503">
        <v>1276524.3220000002</v>
      </c>
      <c r="P100" s="503">
        <v>1366751.5629573569</v>
      </c>
      <c r="Q100" s="503">
        <v>1263472.9773286572</v>
      </c>
      <c r="R100" s="503">
        <v>1510973.937713986</v>
      </c>
      <c r="S100" s="539">
        <f t="shared" si="47"/>
        <v>15851544.500000002</v>
      </c>
      <c r="T100" s="515">
        <f t="shared" si="48"/>
        <v>0.21774996909213296</v>
      </c>
      <c r="V100" s="292"/>
    </row>
    <row r="101" spans="1:23">
      <c r="A101" s="105" t="str">
        <f t="shared" si="42"/>
        <v>714p</v>
      </c>
      <c r="B101" s="623" t="str">
        <f>+VLOOKUP(LEFT($A101,LEN(A101)-1)*1,Master!$D$30:$G$229,4,FALSE)</f>
        <v>Fees</v>
      </c>
      <c r="C101" s="624"/>
      <c r="D101" s="624"/>
      <c r="E101" s="624"/>
      <c r="F101" s="624"/>
      <c r="G101" s="503">
        <v>2491580.6799999997</v>
      </c>
      <c r="H101" s="503">
        <v>4111753.23</v>
      </c>
      <c r="I101" s="503">
        <v>3497306.59</v>
      </c>
      <c r="J101" s="503">
        <v>5307671.18</v>
      </c>
      <c r="K101" s="503">
        <v>3457943.4</v>
      </c>
      <c r="L101" s="503">
        <v>4104367.62</v>
      </c>
      <c r="M101" s="503">
        <v>6739444.4199999999</v>
      </c>
      <c r="N101" s="503">
        <v>3916013.25</v>
      </c>
      <c r="O101" s="503">
        <v>3596943.34</v>
      </c>
      <c r="P101" s="503">
        <v>8444856.5697788838</v>
      </c>
      <c r="Q101" s="503">
        <v>9539829.9106435124</v>
      </c>
      <c r="R101" s="503">
        <v>7615370.4595776051</v>
      </c>
      <c r="S101" s="539">
        <f t="shared" si="47"/>
        <v>62823080.649999991</v>
      </c>
      <c r="T101" s="515">
        <f t="shared" si="48"/>
        <v>0.86298996730634481</v>
      </c>
      <c r="V101" s="292"/>
    </row>
    <row r="102" spans="1:23">
      <c r="A102" s="105" t="str">
        <f t="shared" si="42"/>
        <v>715p</v>
      </c>
      <c r="B102" s="623" t="str">
        <f>+VLOOKUP(LEFT($A102,LEN(A102)-1)*1,Master!$D$30:$G$229,4,FALSE)</f>
        <v>Other revenues</v>
      </c>
      <c r="C102" s="624"/>
      <c r="D102" s="624"/>
      <c r="E102" s="624"/>
      <c r="F102" s="624"/>
      <c r="G102" s="503">
        <v>7787071.8500000006</v>
      </c>
      <c r="H102" s="503">
        <v>2506490.67</v>
      </c>
      <c r="I102" s="503">
        <v>2145824.85</v>
      </c>
      <c r="J102" s="503">
        <v>12834932.449999999</v>
      </c>
      <c r="K102" s="503">
        <v>2024117.15</v>
      </c>
      <c r="L102" s="503">
        <v>13130823.48</v>
      </c>
      <c r="M102" s="503">
        <v>18548149.52</v>
      </c>
      <c r="N102" s="503">
        <v>3488463.0699999994</v>
      </c>
      <c r="O102" s="503">
        <v>4235278.4899999993</v>
      </c>
      <c r="P102" s="503">
        <v>14669178.907052923</v>
      </c>
      <c r="Q102" s="503">
        <v>14632746.418558965</v>
      </c>
      <c r="R102" s="503">
        <v>25955742.174388066</v>
      </c>
      <c r="S102" s="539">
        <f t="shared" si="47"/>
        <v>121958819.02999996</v>
      </c>
      <c r="T102" s="515">
        <f t="shared" si="48"/>
        <v>1.6753275413821993</v>
      </c>
      <c r="V102" s="292"/>
    </row>
    <row r="103" spans="1:23">
      <c r="A103" s="105" t="str">
        <f t="shared" si="42"/>
        <v>73p</v>
      </c>
      <c r="B103" s="623" t="str">
        <f>+VLOOKUP(LEFT($A103,LEN(A103)-1)*1,Master!$D$30:$G$229,4,FALSE)</f>
        <v>Receipts from Repayment of Loans and Funds Carried over from Previous Year</v>
      </c>
      <c r="C103" s="624"/>
      <c r="D103" s="624"/>
      <c r="E103" s="624"/>
      <c r="F103" s="624"/>
      <c r="G103" s="503">
        <v>0</v>
      </c>
      <c r="H103" s="503">
        <v>0</v>
      </c>
      <c r="I103" s="503">
        <v>0</v>
      </c>
      <c r="J103" s="503">
        <v>0</v>
      </c>
      <c r="K103" s="503">
        <v>0</v>
      </c>
      <c r="L103" s="503">
        <v>0</v>
      </c>
      <c r="M103" s="503">
        <v>0</v>
      </c>
      <c r="N103" s="503">
        <v>0</v>
      </c>
      <c r="O103" s="503">
        <v>0</v>
      </c>
      <c r="P103" s="503">
        <v>0</v>
      </c>
      <c r="Q103" s="503">
        <v>0</v>
      </c>
      <c r="R103" s="503">
        <v>0</v>
      </c>
      <c r="S103" s="539">
        <f t="shared" si="47"/>
        <v>0</v>
      </c>
      <c r="T103" s="515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19" t="str">
        <f>+VLOOKUP(LEFT($A104,LEN(A104)-1)*1,Master!$D$30:$G$229,4,FALSE)</f>
        <v>Grants and Transfers</v>
      </c>
      <c r="C104" s="620"/>
      <c r="D104" s="620"/>
      <c r="E104" s="620"/>
      <c r="F104" s="620"/>
      <c r="G104" s="503">
        <v>4232324.3600000003</v>
      </c>
      <c r="H104" s="503">
        <v>113935.73</v>
      </c>
      <c r="I104" s="503">
        <v>3280879.61</v>
      </c>
      <c r="J104" s="503">
        <v>1986252.18</v>
      </c>
      <c r="K104" s="503">
        <v>1598929.68</v>
      </c>
      <c r="L104" s="503">
        <v>2514909.9</v>
      </c>
      <c r="M104" s="503">
        <v>3161833.91</v>
      </c>
      <c r="N104" s="503">
        <v>3345939.22</v>
      </c>
      <c r="O104" s="503">
        <v>2160528.65</v>
      </c>
      <c r="P104" s="503">
        <v>4071103.767777822</v>
      </c>
      <c r="Q104" s="503">
        <v>4449653.5944444016</v>
      </c>
      <c r="R104" s="503">
        <v>25383709.397777781</v>
      </c>
      <c r="S104" s="540">
        <f t="shared" si="47"/>
        <v>56300000</v>
      </c>
      <c r="T104" s="517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01" t="str">
        <f>+VLOOKUP(LEFT($A105,LEN(A105)-1)*1,Master!$D$30:$G$229,4,FALSE)</f>
        <v>Total Expenditures</v>
      </c>
      <c r="C105" s="602"/>
      <c r="D105" s="602"/>
      <c r="E105" s="602"/>
      <c r="F105" s="602"/>
      <c r="G105" s="498">
        <f t="shared" ref="G105:L105" si="51">+G106+G116+G122+SUM(G123:G127)</f>
        <v>183820665.53</v>
      </c>
      <c r="H105" s="498">
        <f t="shared" si="51"/>
        <v>209034546.72</v>
      </c>
      <c r="I105" s="498">
        <f t="shared" si="51"/>
        <v>223389951.12</v>
      </c>
      <c r="J105" s="498">
        <f t="shared" si="51"/>
        <v>245922148.61000001</v>
      </c>
      <c r="K105" s="498">
        <f t="shared" si="51"/>
        <v>229395964.30000001</v>
      </c>
      <c r="L105" s="498">
        <f t="shared" si="51"/>
        <v>225770245.25999999</v>
      </c>
      <c r="M105" s="498">
        <f t="shared" ref="M105:R105" si="52">+M106+M116+M122+SUM(M123:M127)</f>
        <v>241789206.27000004</v>
      </c>
      <c r="N105" s="498">
        <f t="shared" si="52"/>
        <v>195775083.89999995</v>
      </c>
      <c r="O105" s="498">
        <f t="shared" si="52"/>
        <v>324683120.88</v>
      </c>
      <c r="P105" s="498">
        <f t="shared" si="52"/>
        <v>309512241.25</v>
      </c>
      <c r="Q105" s="498">
        <f t="shared" si="52"/>
        <v>309512241.24000001</v>
      </c>
      <c r="R105" s="498">
        <f t="shared" si="52"/>
        <v>309512211.62999994</v>
      </c>
      <c r="S105" s="541">
        <f>+SUM(G105:R105)</f>
        <v>3008117626.71</v>
      </c>
      <c r="T105" s="542">
        <f t="shared" si="48"/>
        <v>41.321999899858511</v>
      </c>
      <c r="V105" s="275"/>
    </row>
    <row r="106" spans="1:23">
      <c r="A106" s="105" t="str">
        <f t="shared" si="42"/>
        <v>41p</v>
      </c>
      <c r="B106" s="621" t="str">
        <f>+VLOOKUP(LEFT($A106,LEN(A106)-1)*1,Master!$D$30:$G$229,4,FALSE)</f>
        <v>Current Expenditures</v>
      </c>
      <c r="C106" s="622"/>
      <c r="D106" s="622"/>
      <c r="E106" s="622"/>
      <c r="F106" s="622"/>
      <c r="G106" s="504">
        <f t="shared" ref="G106:L106" si="53">+SUM(G107:G115)</f>
        <v>78841206.859999985</v>
      </c>
      <c r="H106" s="504">
        <f t="shared" si="53"/>
        <v>83014021.199999973</v>
      </c>
      <c r="I106" s="504">
        <f t="shared" si="53"/>
        <v>92048933.290000007</v>
      </c>
      <c r="J106" s="504">
        <f t="shared" si="53"/>
        <v>107050346.88000001</v>
      </c>
      <c r="K106" s="504">
        <f t="shared" si="53"/>
        <v>97740761.239999995</v>
      </c>
      <c r="L106" s="504">
        <f t="shared" si="53"/>
        <v>88589892.949999973</v>
      </c>
      <c r="M106" s="504">
        <f t="shared" ref="M106:R106" si="54">+SUM(M107:M115)</f>
        <v>89195136.260000035</v>
      </c>
      <c r="N106" s="504">
        <f t="shared" si="54"/>
        <v>74903604.239999965</v>
      </c>
      <c r="O106" s="504">
        <f t="shared" si="54"/>
        <v>136034959.76000002</v>
      </c>
      <c r="P106" s="504">
        <f t="shared" si="54"/>
        <v>126609704.89000003</v>
      </c>
      <c r="Q106" s="504">
        <f t="shared" si="54"/>
        <v>126609704.88000003</v>
      </c>
      <c r="R106" s="505">
        <f t="shared" si="54"/>
        <v>126609678.25999996</v>
      </c>
      <c r="S106" s="535">
        <f t="shared" si="47"/>
        <v>1227247950.71</v>
      </c>
      <c r="T106" s="512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17" t="str">
        <f>+VLOOKUP(LEFT($A107,LEN(A107)-1)*1,Master!$D$30:$G$229,4,FALSE)</f>
        <v>Gross Salaries and Contributions</v>
      </c>
      <c r="C107" s="618"/>
      <c r="D107" s="618"/>
      <c r="E107" s="618"/>
      <c r="F107" s="618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17" t="str">
        <f>+VLOOKUP(LEFT($A108,LEN(A108)-1)*1,Master!$D$30:$G$229,4,FALSE)</f>
        <v>Other Personal Income</v>
      </c>
      <c r="C108" s="618"/>
      <c r="D108" s="618"/>
      <c r="E108" s="618"/>
      <c r="F108" s="618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17" t="str">
        <f>+VLOOKUP(LEFT($A109,LEN(A109)-1)*1,Master!$D$30:$G$229,4,FALSE)</f>
        <v>Expenditures for Supplies</v>
      </c>
      <c r="C109" s="618"/>
      <c r="D109" s="618"/>
      <c r="E109" s="618"/>
      <c r="F109" s="618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17" t="str">
        <f>+VLOOKUP(LEFT($A110,LEN(A110)-1)*1,Master!$D$30:$G$229,4,FALSE)</f>
        <v>Expenditures for Services</v>
      </c>
      <c r="C110" s="618"/>
      <c r="D110" s="618"/>
      <c r="E110" s="618"/>
      <c r="F110" s="618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17" t="str">
        <f>+VLOOKUP(LEFT($A111,LEN(A111)-1)*1,Master!$D$30:$G$229,4,FALSE)</f>
        <v>Current Maintenance</v>
      </c>
      <c r="C111" s="618"/>
      <c r="D111" s="618"/>
      <c r="E111" s="618"/>
      <c r="F111" s="618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17" t="str">
        <f>+VLOOKUP(LEFT($A112,LEN(A112)-1)*1,Master!$D$30:$G$229,4,FALSE)</f>
        <v>Interests</v>
      </c>
      <c r="C112" s="618"/>
      <c r="D112" s="618"/>
      <c r="E112" s="618"/>
      <c r="F112" s="618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17" t="str">
        <f>+VLOOKUP(LEFT($A113,LEN(A113)-1)*1,Master!$D$30:$G$229,4,FALSE)</f>
        <v>Rent</v>
      </c>
      <c r="C113" s="618"/>
      <c r="D113" s="618"/>
      <c r="E113" s="618"/>
      <c r="F113" s="618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17" t="str">
        <f>+VLOOKUP(LEFT($A114,LEN(A114)-1)*1,Master!$D$30:$G$229,4,FALSE)</f>
        <v>Subsidies</v>
      </c>
      <c r="C114" s="618"/>
      <c r="D114" s="618"/>
      <c r="E114" s="618"/>
      <c r="F114" s="618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17" t="str">
        <f>+VLOOKUP(LEFT($A115,LEN(A115)-1)*1,Master!$D$30:$G$229,4,FALSE)</f>
        <v>Other expenditures</v>
      </c>
      <c r="C115" s="618"/>
      <c r="D115" s="618"/>
      <c r="E115" s="618"/>
      <c r="F115" s="618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13" t="str">
        <f>+VLOOKUP(LEFT($A116,LEN(A116)-1)*1,Master!$D$30:$G$229,4,FALSE)</f>
        <v>Social Security Transfers</v>
      </c>
      <c r="C116" s="614"/>
      <c r="D116" s="614"/>
      <c r="E116" s="614"/>
      <c r="F116" s="614"/>
      <c r="G116" s="500">
        <f t="shared" ref="G116:L116" si="55">+SUM(G117:G121)</f>
        <v>73494600.770000011</v>
      </c>
      <c r="H116" s="500">
        <f t="shared" si="55"/>
        <v>82093000.99000001</v>
      </c>
      <c r="I116" s="500">
        <f t="shared" si="55"/>
        <v>81100925.239999995</v>
      </c>
      <c r="J116" s="500">
        <f t="shared" si="55"/>
        <v>83912019.790000007</v>
      </c>
      <c r="K116" s="500">
        <f t="shared" si="55"/>
        <v>82988777.170000002</v>
      </c>
      <c r="L116" s="500">
        <f t="shared" si="55"/>
        <v>87080191.770000011</v>
      </c>
      <c r="M116" s="500">
        <f t="shared" ref="M116:R116" si="56">+SUM(M117:M121)</f>
        <v>83205495.530000001</v>
      </c>
      <c r="N116" s="500">
        <f t="shared" si="56"/>
        <v>85610351.370000005</v>
      </c>
      <c r="O116" s="500">
        <f t="shared" si="56"/>
        <v>87439444.099999994</v>
      </c>
      <c r="P116" s="500">
        <f t="shared" si="56"/>
        <v>86802593.00999999</v>
      </c>
      <c r="Q116" s="500">
        <f t="shared" si="56"/>
        <v>86802593.00999999</v>
      </c>
      <c r="R116" s="500">
        <f t="shared" si="56"/>
        <v>86802592.889999986</v>
      </c>
      <c r="S116" s="539">
        <f t="shared" si="47"/>
        <v>1007332585.64</v>
      </c>
      <c r="T116" s="515">
        <f t="shared" si="48"/>
        <v>13.837556295451737</v>
      </c>
      <c r="V116" s="292"/>
    </row>
    <row r="117" spans="1:22">
      <c r="A117" s="105" t="str">
        <f t="shared" si="42"/>
        <v>421p</v>
      </c>
      <c r="B117" s="617" t="str">
        <f>+VLOOKUP(LEFT($A117,LEN(A117)-1)*1,Master!$D$30:$G$229,4,FALSE)</f>
        <v>Social Security</v>
      </c>
      <c r="C117" s="618"/>
      <c r="D117" s="618"/>
      <c r="E117" s="618"/>
      <c r="F117" s="618"/>
      <c r="G117" s="148">
        <v>17263673.050000001</v>
      </c>
      <c r="H117" s="148">
        <v>17437731.979999997</v>
      </c>
      <c r="I117" s="148">
        <v>16920688.470000003</v>
      </c>
      <c r="J117" s="148">
        <v>17626340.169999998</v>
      </c>
      <c r="K117" s="148">
        <v>17001906.07</v>
      </c>
      <c r="L117" s="148">
        <v>17977246.739999998</v>
      </c>
      <c r="M117" s="148">
        <v>16917527.130000003</v>
      </c>
      <c r="N117" s="148">
        <v>18622201.02</v>
      </c>
      <c r="O117" s="148">
        <v>18073921.359999999</v>
      </c>
      <c r="P117" s="148">
        <v>18073921.359999999</v>
      </c>
      <c r="Q117" s="148">
        <v>18073921.359999999</v>
      </c>
      <c r="R117" s="148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17" t="str">
        <f>+VLOOKUP(LEFT($A118,LEN(A118)-1)*1,Master!$D$30:$G$229,4,FALSE)</f>
        <v>Funds for redundant labor</v>
      </c>
      <c r="C118" s="618"/>
      <c r="D118" s="618"/>
      <c r="E118" s="618"/>
      <c r="F118" s="618"/>
      <c r="G118" s="148">
        <v>2042355.51</v>
      </c>
      <c r="H118" s="148">
        <v>2083858.33</v>
      </c>
      <c r="I118" s="148">
        <v>8025</v>
      </c>
      <c r="J118" s="148">
        <v>1913496.3</v>
      </c>
      <c r="K118" s="148">
        <v>1869681.84</v>
      </c>
      <c r="L118" s="148">
        <v>1844784.76</v>
      </c>
      <c r="M118" s="148">
        <v>1856591.34</v>
      </c>
      <c r="N118" s="148">
        <v>1850620.4200000002</v>
      </c>
      <c r="O118" s="148">
        <v>2013882.0499999998</v>
      </c>
      <c r="P118" s="148">
        <v>1817334.8199999998</v>
      </c>
      <c r="Q118" s="148">
        <v>1817334.8199999998</v>
      </c>
      <c r="R118" s="148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17" t="str">
        <f>+VLOOKUP(LEFT($A119,LEN(A119)-1)*1,Master!$D$30:$G$229,4,FALSE)</f>
        <v>Pension and Disability Insurance</v>
      </c>
      <c r="C119" s="618"/>
      <c r="D119" s="618"/>
      <c r="E119" s="618"/>
      <c r="F119" s="618"/>
      <c r="G119" s="148">
        <v>51133572.210000001</v>
      </c>
      <c r="H119" s="148">
        <v>59516410.680000007</v>
      </c>
      <c r="I119" s="148">
        <v>61117211.769999996</v>
      </c>
      <c r="J119" s="148">
        <v>61317183.320000008</v>
      </c>
      <c r="K119" s="148">
        <v>61062189.260000005</v>
      </c>
      <c r="L119" s="148">
        <v>61903160.270000003</v>
      </c>
      <c r="M119" s="148">
        <v>61711377.060000002</v>
      </c>
      <c r="N119" s="148">
        <v>62111529.930000007</v>
      </c>
      <c r="O119" s="148">
        <v>64325640.68999999</v>
      </c>
      <c r="P119" s="148">
        <v>64325640.68999999</v>
      </c>
      <c r="Q119" s="148">
        <v>64325640.68999999</v>
      </c>
      <c r="R119" s="148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17" t="str">
        <f>+VLOOKUP(LEFT($A120,LEN(A120)-1)*1,Master!$D$30:$G$229,4,FALSE)</f>
        <v>Other Health Care Transfers</v>
      </c>
      <c r="C120" s="618"/>
      <c r="D120" s="618"/>
      <c r="E120" s="618"/>
      <c r="F120" s="618"/>
      <c r="G120" s="148">
        <v>1755000</v>
      </c>
      <c r="H120" s="148">
        <v>1755000</v>
      </c>
      <c r="I120" s="148">
        <v>1755000</v>
      </c>
      <c r="J120" s="148">
        <v>1755000</v>
      </c>
      <c r="K120" s="148">
        <v>1755000</v>
      </c>
      <c r="L120" s="148">
        <v>4055000</v>
      </c>
      <c r="M120" s="148">
        <v>1200000</v>
      </c>
      <c r="N120" s="148">
        <v>1506000</v>
      </c>
      <c r="O120" s="148">
        <v>1506000</v>
      </c>
      <c r="P120" s="148">
        <v>1506000</v>
      </c>
      <c r="Q120" s="148">
        <v>1506000</v>
      </c>
      <c r="R120" s="148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17" t="str">
        <f>+VLOOKUP(LEFT($A121,LEN(A121)-1)*1,Master!$D$30:$G$229,4,FALSE)</f>
        <v>Other Health Care Insurance</v>
      </c>
      <c r="C121" s="618"/>
      <c r="D121" s="618"/>
      <c r="E121" s="618"/>
      <c r="F121" s="618"/>
      <c r="G121" s="148">
        <v>1300000</v>
      </c>
      <c r="H121" s="148">
        <v>1300000</v>
      </c>
      <c r="I121" s="148">
        <v>1300000</v>
      </c>
      <c r="J121" s="148">
        <v>1300000</v>
      </c>
      <c r="K121" s="148">
        <v>1300000</v>
      </c>
      <c r="L121" s="148">
        <v>1300000</v>
      </c>
      <c r="M121" s="148">
        <v>1520000</v>
      </c>
      <c r="N121" s="148">
        <v>1520000</v>
      </c>
      <c r="O121" s="148">
        <v>1520000</v>
      </c>
      <c r="P121" s="148">
        <v>1079696.1400000001</v>
      </c>
      <c r="Q121" s="148">
        <v>1079696.1400000001</v>
      </c>
      <c r="R121" s="148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15" t="str">
        <f>+VLOOKUP(LEFT($A122,LEN(A122)-1)*1,Master!$D$30:$G$229,4,FALSE)</f>
        <v xml:space="preserve">Transfers to Institutions, Individuals, NGO and Public Sector </v>
      </c>
      <c r="C122" s="616"/>
      <c r="D122" s="616"/>
      <c r="E122" s="616"/>
      <c r="F122" s="616"/>
      <c r="G122" s="503">
        <v>28564147.63000001</v>
      </c>
      <c r="H122" s="503">
        <v>32536023.690000009</v>
      </c>
      <c r="I122" s="503">
        <v>33620505.540000007</v>
      </c>
      <c r="J122" s="503">
        <v>33996126.920000002</v>
      </c>
      <c r="K122" s="503">
        <v>28169682.809999999</v>
      </c>
      <c r="L122" s="503">
        <v>32301939.990000006</v>
      </c>
      <c r="M122" s="503">
        <v>48116062.330000006</v>
      </c>
      <c r="N122" s="503">
        <v>28573392.820000008</v>
      </c>
      <c r="O122" s="503">
        <v>41344037.339999996</v>
      </c>
      <c r="P122" s="503">
        <v>37535806.099999994</v>
      </c>
      <c r="Q122" s="503">
        <v>37535806.099999994</v>
      </c>
      <c r="R122" s="503">
        <v>37535805.210000001</v>
      </c>
      <c r="S122" s="539">
        <f>+SUM(G122:R122)</f>
        <v>419829336.48000008</v>
      </c>
      <c r="T122" s="515">
        <f t="shared" si="48"/>
        <v>5.7671241463247123</v>
      </c>
      <c r="V122" s="488"/>
    </row>
    <row r="123" spans="1:22">
      <c r="A123" s="105" t="str">
        <f t="shared" si="57"/>
        <v>44p</v>
      </c>
      <c r="B123" s="615" t="str">
        <f>+VLOOKUP(LEFT($A123,LEN(A123)-1)*1,Master!$D$30:$G$229,4,FALSE)</f>
        <v>Capital Expenditure</v>
      </c>
      <c r="C123" s="616"/>
      <c r="D123" s="616"/>
      <c r="E123" s="616"/>
      <c r="F123" s="616"/>
      <c r="G123" s="503">
        <v>2493461.69</v>
      </c>
      <c r="H123" s="503">
        <v>10868981.66</v>
      </c>
      <c r="I123" s="503">
        <v>15828943.68</v>
      </c>
      <c r="J123" s="503">
        <v>18716642.889999997</v>
      </c>
      <c r="K123" s="503">
        <v>12175709.51</v>
      </c>
      <c r="L123" s="503">
        <v>13530154.32</v>
      </c>
      <c r="M123" s="503">
        <v>16336899.660000002</v>
      </c>
      <c r="N123" s="503">
        <v>6646856.0699999994</v>
      </c>
      <c r="O123" s="503">
        <v>44278288.799999982</v>
      </c>
      <c r="P123" s="503">
        <v>42977746.36999999</v>
      </c>
      <c r="Q123" s="503">
        <v>42977746.36999999</v>
      </c>
      <c r="R123" s="503">
        <v>42977744.680000007</v>
      </c>
      <c r="S123" s="539">
        <f>+SUM(G123:R123)</f>
        <v>269809175.69999999</v>
      </c>
      <c r="T123" s="515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07" t="str">
        <f>+VLOOKUP(LEFT($A124,LEN(A124)-1)*1,Master!$D$30:$G$229,4,FALSE)</f>
        <v>Credits and Borrowings</v>
      </c>
      <c r="C124" s="608"/>
      <c r="D124" s="608"/>
      <c r="E124" s="608"/>
      <c r="F124" s="608"/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07" t="str">
        <f>+VLOOKUP(LEFT($A125,LEN(A125)-1)*1,Master!$D$30:$G$229,4,FALSE)</f>
        <v>Reserves</v>
      </c>
      <c r="C125" s="608"/>
      <c r="D125" s="608"/>
      <c r="E125" s="608"/>
      <c r="F125" s="608"/>
      <c r="G125" s="77">
        <v>0</v>
      </c>
      <c r="H125" s="77">
        <v>0</v>
      </c>
      <c r="I125" s="77">
        <v>754804.72</v>
      </c>
      <c r="J125" s="77">
        <v>2241991.67</v>
      </c>
      <c r="K125" s="77">
        <v>8318950</v>
      </c>
      <c r="L125" s="77">
        <v>4247049.5</v>
      </c>
      <c r="M125" s="77">
        <v>4935612.49</v>
      </c>
      <c r="N125" s="77">
        <v>10879.4</v>
      </c>
      <c r="O125" s="77">
        <v>10387962.93</v>
      </c>
      <c r="P125" s="77">
        <v>10387962.93</v>
      </c>
      <c r="Q125" s="77">
        <v>10387962.93</v>
      </c>
      <c r="R125" s="77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07" t="str">
        <f>+VLOOKUP(LEFT($A126,LEN(A126)-1)*1,Master!$D$30:$G$229,4,FALSE)</f>
        <v>Repayment of Guarantees</v>
      </c>
      <c r="C126" s="608"/>
      <c r="D126" s="608"/>
      <c r="E126" s="608"/>
      <c r="F126" s="608"/>
      <c r="G126" s="148">
        <v>0</v>
      </c>
      <c r="H126" s="148">
        <v>0</v>
      </c>
      <c r="I126" s="148">
        <v>0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0.5</v>
      </c>
      <c r="P126" s="148">
        <v>0.5</v>
      </c>
      <c r="Q126" s="148">
        <v>0.5</v>
      </c>
      <c r="R126" s="148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07" t="str">
        <f>+VLOOKUP(LEFT($A127,LEN(A127)-1)*1,Master!$D$30:$G$229,4,FALSE)</f>
        <v>Repayments of liabilities form the previous period</v>
      </c>
      <c r="C127" s="608"/>
      <c r="D127" s="608"/>
      <c r="E127" s="608"/>
      <c r="F127" s="608"/>
      <c r="G127" s="85">
        <v>427248.58</v>
      </c>
      <c r="H127" s="77">
        <v>522519.18</v>
      </c>
      <c r="I127" s="77">
        <v>35838.65</v>
      </c>
      <c r="J127" s="77">
        <v>5020.46</v>
      </c>
      <c r="K127" s="77">
        <v>2083.5699999999997</v>
      </c>
      <c r="L127" s="77">
        <v>21016.73</v>
      </c>
      <c r="M127" s="77">
        <v>0</v>
      </c>
      <c r="N127" s="77">
        <v>30000</v>
      </c>
      <c r="O127" s="77">
        <v>5198427.45</v>
      </c>
      <c r="P127" s="77">
        <v>5198427.45</v>
      </c>
      <c r="Q127" s="77">
        <v>5198427.45</v>
      </c>
      <c r="R127" s="77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07" t="str">
        <f>+VLOOKUP(LEFT($A128,LEN(A128)-1)*1,Master!$D$30:$G$229,4,FALSE)</f>
        <v>Net increase of liabilities</v>
      </c>
      <c r="C128" s="608"/>
      <c r="D128" s="608"/>
      <c r="E128" s="608"/>
      <c r="F128" s="60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09" t="str">
        <f>+VLOOKUP(LEFT($A129,LEN(A129)-1)*1,Master!$D$30:$G$226,4,FALSE)</f>
        <v>Surplus / deficit</v>
      </c>
      <c r="C129" s="610"/>
      <c r="D129" s="610"/>
      <c r="E129" s="610"/>
      <c r="F129" s="610"/>
      <c r="G129" s="497">
        <f t="shared" ref="G129:L129" si="58">+G86-G105</f>
        <v>-32889842.070000023</v>
      </c>
      <c r="H129" s="498">
        <f t="shared" si="58"/>
        <v>-28785879.179999977</v>
      </c>
      <c r="I129" s="497">
        <f t="shared" si="58"/>
        <v>21157166.700000018</v>
      </c>
      <c r="J129" s="497">
        <f t="shared" si="58"/>
        <v>71650295.599999964</v>
      </c>
      <c r="K129" s="497">
        <f t="shared" si="58"/>
        <v>-36099311.860000044</v>
      </c>
      <c r="L129" s="497">
        <f t="shared" si="58"/>
        <v>-3144476.0899999738</v>
      </c>
      <c r="M129" s="497">
        <f t="shared" ref="M129:R129" si="59">+M86-M105</f>
        <v>19765077.549999982</v>
      </c>
      <c r="N129" s="497">
        <f t="shared" si="59"/>
        <v>58763848.440000087</v>
      </c>
      <c r="O129" s="497">
        <f t="shared" si="59"/>
        <v>-101975446.33239847</v>
      </c>
      <c r="P129" s="497">
        <f t="shared" si="59"/>
        <v>-73787687.733982325</v>
      </c>
      <c r="Q129" s="497">
        <f t="shared" si="59"/>
        <v>-103114950.01935866</v>
      </c>
      <c r="R129" s="497">
        <f t="shared" si="59"/>
        <v>-27008273.183884382</v>
      </c>
      <c r="S129" s="543">
        <f t="shared" si="47"/>
        <v>-235469478.17962381</v>
      </c>
      <c r="T129" s="524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11" t="str">
        <f>+VLOOKUP(LEFT($A130,LEN(A130)-1)*1,Master!$D$30:$G$226,4,FALSE)</f>
        <v>Primary surplus/deficit</v>
      </c>
      <c r="C130" s="612"/>
      <c r="D130" s="612"/>
      <c r="E130" s="612"/>
      <c r="F130" s="612"/>
      <c r="G130" s="499">
        <f>+G129+G112</f>
        <v>-28385892.810000021</v>
      </c>
      <c r="H130" s="499">
        <f t="shared" ref="H130:L130" si="60">+H129+H112</f>
        <v>-25029586.909999978</v>
      </c>
      <c r="I130" s="499">
        <f t="shared" si="60"/>
        <v>28249269.900000017</v>
      </c>
      <c r="J130" s="499">
        <f t="shared" si="60"/>
        <v>95495007.239999965</v>
      </c>
      <c r="K130" s="499">
        <f t="shared" si="60"/>
        <v>-20043719.980000041</v>
      </c>
      <c r="L130" s="499">
        <f t="shared" si="60"/>
        <v>2234255.5200000275</v>
      </c>
      <c r="M130" s="499">
        <f t="shared" ref="M130:R130" si="61">+M129+M112</f>
        <v>23539453.469999984</v>
      </c>
      <c r="N130" s="499">
        <f t="shared" si="61"/>
        <v>63165217.430000089</v>
      </c>
      <c r="O130" s="499">
        <f t="shared" si="61"/>
        <v>-76184015.492398471</v>
      </c>
      <c r="P130" s="499">
        <f t="shared" si="61"/>
        <v>-56132200.983982325</v>
      </c>
      <c r="Q130" s="499">
        <f t="shared" si="61"/>
        <v>-85459463.269358665</v>
      </c>
      <c r="R130" s="499">
        <f t="shared" si="61"/>
        <v>-9352786.4738843814</v>
      </c>
      <c r="S130" s="543">
        <f t="shared" si="47"/>
        <v>-87904462.35962379</v>
      </c>
      <c r="T130" s="524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13" t="str">
        <f>+VLOOKUP(LEFT($A131,LEN(A131)-1)*1,Master!$D$30:$G$226,4,FALSE)</f>
        <v>Repayment of Debt</v>
      </c>
      <c r="C131" s="614"/>
      <c r="D131" s="614"/>
      <c r="E131" s="614"/>
      <c r="F131" s="614"/>
      <c r="G131" s="500">
        <f>+SUM(G132:G133)</f>
        <v>34814310.539999999</v>
      </c>
      <c r="H131" s="500">
        <f t="shared" ref="H131:L131" si="62">+SUM(H132:H133)</f>
        <v>6742175.8300000001</v>
      </c>
      <c r="I131" s="500">
        <f t="shared" si="62"/>
        <v>59755086.909999996</v>
      </c>
      <c r="J131" s="500">
        <f t="shared" si="62"/>
        <v>101926654.03</v>
      </c>
      <c r="K131" s="500">
        <f t="shared" si="62"/>
        <v>54360722.859999999</v>
      </c>
      <c r="L131" s="500">
        <f t="shared" si="62"/>
        <v>43636763.079999998</v>
      </c>
      <c r="M131" s="501">
        <f t="shared" ref="M131" si="63">+SUM(M132:M133)</f>
        <v>42476800.75</v>
      </c>
      <c r="N131" s="500">
        <f t="shared" ref="N131:R131" si="64">+SUM(N132:N133)</f>
        <v>7860172.6500000004</v>
      </c>
      <c r="O131" s="500">
        <f t="shared" si="64"/>
        <v>39327175.670000002</v>
      </c>
      <c r="P131" s="500">
        <f t="shared" si="64"/>
        <v>37862418.009999998</v>
      </c>
      <c r="Q131" s="500">
        <f t="shared" si="64"/>
        <v>37862418.009999998</v>
      </c>
      <c r="R131" s="500">
        <f t="shared" si="64"/>
        <v>37862417.960000001</v>
      </c>
      <c r="S131" s="544">
        <f t="shared" si="47"/>
        <v>504487116.29999995</v>
      </c>
      <c r="T131" s="526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05" t="str">
        <f>+VLOOKUP(LEFT($A132,LEN(A132)-1)*1,Master!$D$30:$G$226,4,FALSE)</f>
        <v>Repayment of Domestic Debt</v>
      </c>
      <c r="C132" s="606"/>
      <c r="D132" s="606"/>
      <c r="E132" s="606"/>
      <c r="F132" s="606"/>
      <c r="G132" s="85">
        <v>2501123.7999999998</v>
      </c>
      <c r="H132" s="85">
        <v>2949295.9899999998</v>
      </c>
      <c r="I132" s="85">
        <v>23477657.120000001</v>
      </c>
      <c r="J132" s="85">
        <v>95643965.920000002</v>
      </c>
      <c r="K132" s="85">
        <v>9857492.6099999994</v>
      </c>
      <c r="L132" s="85">
        <v>28020972.040000003</v>
      </c>
      <c r="M132" s="455">
        <v>2591776.0299999998</v>
      </c>
      <c r="N132" s="455">
        <v>3040506.12</v>
      </c>
      <c r="O132" s="455">
        <v>12819649.92</v>
      </c>
      <c r="P132" s="455">
        <v>11354892.26</v>
      </c>
      <c r="Q132" s="455">
        <v>11354892.26</v>
      </c>
      <c r="R132" s="455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07" t="str">
        <f>+VLOOKUP(LEFT($A133,LEN(A133)-1)*1,Master!$D$30:$G$226,4,FALSE)</f>
        <v>Repayment of Foreign Debt</v>
      </c>
      <c r="C133" s="608"/>
      <c r="D133" s="608"/>
      <c r="E133" s="608"/>
      <c r="F133" s="608"/>
      <c r="G133" s="85">
        <v>32313186.739999998</v>
      </c>
      <c r="H133" s="85">
        <v>3792879.84</v>
      </c>
      <c r="I133" s="85">
        <v>36277429.789999999</v>
      </c>
      <c r="J133" s="85">
        <v>6282688.1099999994</v>
      </c>
      <c r="K133" s="85">
        <v>44503230.25</v>
      </c>
      <c r="L133" s="85">
        <v>15615791.039999999</v>
      </c>
      <c r="M133" s="455">
        <v>39885024.719999999</v>
      </c>
      <c r="N133" s="455">
        <v>4819666.53</v>
      </c>
      <c r="O133" s="455">
        <v>26507525.75</v>
      </c>
      <c r="P133" s="455">
        <v>26507525.75</v>
      </c>
      <c r="Q133" s="455">
        <v>26507525.75</v>
      </c>
      <c r="R133" s="455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01" t="str">
        <f>+VLOOKUP(LEFT($A134,LEN(A134)-1)*1,Master!$D$30:$G$226,4,FALSE)</f>
        <v>Capital Expenditure for Securities</v>
      </c>
      <c r="C134" s="602"/>
      <c r="D134" s="602"/>
      <c r="E134" s="602"/>
      <c r="F134" s="602"/>
      <c r="G134" s="497">
        <v>0.08</v>
      </c>
      <c r="H134" s="497">
        <v>0.08</v>
      </c>
      <c r="I134" s="497">
        <v>1560695.5</v>
      </c>
      <c r="J134" s="497">
        <v>0</v>
      </c>
      <c r="K134" s="497">
        <v>1500000</v>
      </c>
      <c r="L134" s="497">
        <v>0</v>
      </c>
      <c r="M134" s="497">
        <v>360695.5</v>
      </c>
      <c r="N134" s="497">
        <v>0</v>
      </c>
      <c r="O134" s="497">
        <v>89402.709999999992</v>
      </c>
      <c r="P134" s="497">
        <v>89402.709999999992</v>
      </c>
      <c r="Q134" s="497">
        <v>89402.709999999992</v>
      </c>
      <c r="R134" s="497">
        <v>89402.709999999992</v>
      </c>
      <c r="S134" s="543">
        <f t="shared" si="47"/>
        <v>3779002</v>
      </c>
      <c r="T134" s="524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01" t="s">
        <v>113</v>
      </c>
      <c r="C135" s="602"/>
      <c r="D135" s="602"/>
      <c r="E135" s="602"/>
      <c r="F135" s="602"/>
      <c r="G135" s="496">
        <v>0.08</v>
      </c>
      <c r="H135" s="496">
        <v>1111649.74</v>
      </c>
      <c r="I135" s="496">
        <v>0</v>
      </c>
      <c r="J135" s="496">
        <v>952060.38</v>
      </c>
      <c r="K135" s="496">
        <v>524490.6</v>
      </c>
      <c r="L135" s="496">
        <v>453252.32</v>
      </c>
      <c r="M135" s="496">
        <v>0</v>
      </c>
      <c r="N135" s="496">
        <v>0</v>
      </c>
      <c r="O135" s="496">
        <v>476013.97</v>
      </c>
      <c r="P135" s="496">
        <v>476013.97</v>
      </c>
      <c r="Q135" s="496">
        <v>476013.97</v>
      </c>
      <c r="R135" s="496">
        <v>476013.97</v>
      </c>
      <c r="S135" s="543">
        <f t="shared" si="47"/>
        <v>4945508.9999999991</v>
      </c>
      <c r="T135" s="524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03" t="str">
        <f>+VLOOKUP(LEFT($A136,LEN(A136)-1)*1,Master!$D$30:$G$226,4,FALSE)</f>
        <v>Financing needs</v>
      </c>
      <c r="C136" s="604"/>
      <c r="D136" s="604"/>
      <c r="E136" s="604"/>
      <c r="F136" s="604"/>
      <c r="G136" s="502">
        <f>+G129-G131-G134-G135</f>
        <v>-67704152.770000011</v>
      </c>
      <c r="H136" s="502">
        <f t="shared" ref="H136:R136" si="65">+H129-H131-H134-H135</f>
        <v>-36639704.829999976</v>
      </c>
      <c r="I136" s="502">
        <f t="shared" si="65"/>
        <v>-40158615.709999979</v>
      </c>
      <c r="J136" s="502">
        <f t="shared" si="65"/>
        <v>-31228418.810000036</v>
      </c>
      <c r="K136" s="502">
        <f t="shared" si="65"/>
        <v>-92484525.320000038</v>
      </c>
      <c r="L136" s="502">
        <f t="shared" si="65"/>
        <v>-47234491.489999972</v>
      </c>
      <c r="M136" s="502">
        <f t="shared" si="65"/>
        <v>-23072418.700000018</v>
      </c>
      <c r="N136" s="502">
        <f t="shared" si="65"/>
        <v>50903675.790000089</v>
      </c>
      <c r="O136" s="502">
        <f t="shared" si="65"/>
        <v>-141868038.6823985</v>
      </c>
      <c r="P136" s="502">
        <f t="shared" si="65"/>
        <v>-112215522.42398231</v>
      </c>
      <c r="Q136" s="502">
        <f t="shared" si="65"/>
        <v>-141542784.70935866</v>
      </c>
      <c r="R136" s="502">
        <f t="shared" si="65"/>
        <v>-65436107.823884383</v>
      </c>
      <c r="S136" s="545">
        <f t="shared" si="47"/>
        <v>-748681105.47962379</v>
      </c>
      <c r="T136" s="528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01" t="str">
        <f>+VLOOKUP(LEFT($A137,LEN(A137)-1)*1,Master!$D$30:$G$226,4,FALSE)</f>
        <v>Financing</v>
      </c>
      <c r="C137" s="602"/>
      <c r="D137" s="602"/>
      <c r="E137" s="602"/>
      <c r="F137" s="602"/>
      <c r="G137" s="497">
        <f t="shared" ref="G137:L137" si="66">+SUM(G138:G142)</f>
        <v>67704152.770000011</v>
      </c>
      <c r="H137" s="497">
        <f t="shared" si="66"/>
        <v>36639704.829999976</v>
      </c>
      <c r="I137" s="497">
        <f t="shared" si="66"/>
        <v>40158615.709999919</v>
      </c>
      <c r="J137" s="497">
        <f t="shared" si="66"/>
        <v>31228418.810000036</v>
      </c>
      <c r="K137" s="497">
        <f t="shared" si="66"/>
        <v>92484525.320000038</v>
      </c>
      <c r="L137" s="497">
        <f t="shared" si="66"/>
        <v>47234491.489999972</v>
      </c>
      <c r="M137" s="497">
        <f t="shared" ref="M137:R137" si="67">+SUM(M138:M142)</f>
        <v>23072418.700000018</v>
      </c>
      <c r="N137" s="497">
        <f t="shared" si="67"/>
        <v>-50903675.790000089</v>
      </c>
      <c r="O137" s="497">
        <f t="shared" si="67"/>
        <v>141868038.6823985</v>
      </c>
      <c r="P137" s="497">
        <f t="shared" si="67"/>
        <v>112215522.42398231</v>
      </c>
      <c r="Q137" s="497">
        <f t="shared" si="67"/>
        <v>141542784.70935866</v>
      </c>
      <c r="R137" s="497">
        <f t="shared" si="67"/>
        <v>65436107.823884383</v>
      </c>
      <c r="S137" s="546">
        <f t="shared" si="47"/>
        <v>748681105.47962379</v>
      </c>
      <c r="T137" s="530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05" t="str">
        <f>+VLOOKUP(LEFT($A138,LEN(A138)-1)*1,Master!$D$30:$G$226,4,FALSE)</f>
        <v>Domestic Loans and Borrowings</v>
      </c>
      <c r="C138" s="606"/>
      <c r="D138" s="606"/>
      <c r="E138" s="606"/>
      <c r="F138" s="606"/>
      <c r="G138" s="85">
        <v>0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07" t="str">
        <f>+VLOOKUP(LEFT($A139,LEN(A139)-1)*1,Master!$D$30:$G$226,4,FALSE)</f>
        <v>Foreign Loans and Borrowings</v>
      </c>
      <c r="C139" s="608"/>
      <c r="D139" s="608"/>
      <c r="E139" s="608"/>
      <c r="F139" s="608"/>
      <c r="G139" s="85">
        <v>0</v>
      </c>
      <c r="H139" s="85">
        <v>0</v>
      </c>
      <c r="I139" s="85">
        <v>687000000</v>
      </c>
      <c r="J139" s="85">
        <v>0</v>
      </c>
      <c r="K139" s="85">
        <v>0</v>
      </c>
      <c r="L139" s="85">
        <v>0</v>
      </c>
      <c r="M139" s="85">
        <v>180000000</v>
      </c>
      <c r="N139" s="85">
        <v>0</v>
      </c>
      <c r="O139" s="85">
        <v>0</v>
      </c>
      <c r="P139" s="85">
        <v>0</v>
      </c>
      <c r="Q139" s="85">
        <v>0</v>
      </c>
      <c r="R139" s="85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07" t="str">
        <f>+VLOOKUP(LEFT($A140,LEN(A140)-1)*1,Master!$D$30:$G$226,4,FALSE)</f>
        <v>Revenues from Selling Assets</v>
      </c>
      <c r="C140" s="608"/>
      <c r="D140" s="608"/>
      <c r="E140" s="608"/>
      <c r="F140" s="608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81522.336514710114</v>
      </c>
      <c r="H141" s="85">
        <v>445973.11311571056</v>
      </c>
      <c r="I141" s="85">
        <v>303147.50930105889</v>
      </c>
      <c r="J141" s="85">
        <v>411671.2919196891</v>
      </c>
      <c r="K141" s="85">
        <v>953218.81017704192</v>
      </c>
      <c r="L141" s="85">
        <v>1530930.5926958604</v>
      </c>
      <c r="M141" s="85">
        <v>158719.86425742233</v>
      </c>
      <c r="N141" s="85">
        <v>1527452.9651282593</v>
      </c>
      <c r="O141" s="85">
        <v>216436.80971001115</v>
      </c>
      <c r="P141" s="85">
        <v>263186.6897599264</v>
      </c>
      <c r="Q141" s="85">
        <v>1703592.4757162347</v>
      </c>
      <c r="R141" s="85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Increase / decrease of deposits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abSelected="1" topLeftCell="A34" zoomScale="90" zoomScaleNormal="90" workbookViewId="0">
      <selection activeCell="T1" sqref="A1:T6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Montenegro</v>
      </c>
      <c r="G2" s="328"/>
      <c r="I2" s="3"/>
      <c r="P2" s="336"/>
    </row>
    <row r="3" spans="1:25" s="1" customFormat="1">
      <c r="B3" s="148"/>
      <c r="E3" s="3" t="str">
        <f>+Master!G7</f>
        <v>Ministry of Finance</v>
      </c>
      <c r="G3" s="328"/>
    </row>
    <row r="4" spans="1:25" s="1" customFormat="1">
      <c r="B4" s="148"/>
      <c r="E4" s="3" t="str">
        <f>+Master!G8</f>
        <v>Directorate for State Budget</v>
      </c>
      <c r="G4" s="328"/>
      <c r="H4" s="336"/>
      <c r="I4" s="336"/>
      <c r="J4" s="336"/>
      <c r="N4" s="454" t="s">
        <v>893</v>
      </c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2026-04</v>
      </c>
      <c r="O6" s="128" t="str">
        <f>+CONCATENATE(N6,"p")</f>
        <v>2026-04p</v>
      </c>
      <c r="P6" s="116"/>
      <c r="Q6" s="116"/>
      <c r="R6" s="128" t="str">
        <f>+IF(Master!B3-10&gt;=0,CONCATENATE(Master!B4-1,"-",Master!B3),CONCATENATE(Master!B4-1,"-0",Master!B3))</f>
        <v>2025-04</v>
      </c>
      <c r="S6" s="116"/>
      <c r="T6" s="116"/>
    </row>
    <row r="7" spans="1:25" ht="14.25" customHeight="1">
      <c r="A7" s="129"/>
      <c r="B7" s="583" t="str">
        <f>+Master!G254</f>
        <v>Analytics for period Jan - Apr</v>
      </c>
      <c r="C7" s="584"/>
      <c r="D7" s="584"/>
      <c r="E7" s="584"/>
      <c r="F7" s="584"/>
      <c r="G7" s="592" t="str">
        <f>+Master!G246</f>
        <v>Jan - Apr</v>
      </c>
      <c r="H7" s="593"/>
      <c r="I7" s="593"/>
      <c r="J7" s="593"/>
      <c r="K7" s="593"/>
      <c r="L7" s="593"/>
      <c r="M7" s="596"/>
      <c r="N7" s="593" t="str">
        <f>+Master!G245</f>
        <v>April</v>
      </c>
      <c r="O7" s="593"/>
      <c r="P7" s="593"/>
      <c r="Q7" s="593"/>
      <c r="R7" s="593"/>
      <c r="S7" s="593"/>
      <c r="T7" s="596"/>
    </row>
    <row r="8" spans="1:25" ht="29.25" customHeight="1">
      <c r="A8" s="129"/>
      <c r="B8" s="585"/>
      <c r="C8" s="586"/>
      <c r="D8" s="586"/>
      <c r="E8" s="586"/>
      <c r="F8" s="587"/>
      <c r="G8" s="487" t="str">
        <f>+Master!G26</f>
        <v>Execution-preliminary</v>
      </c>
      <c r="H8" s="330" t="str">
        <f>+Master!G25</f>
        <v>Plan</v>
      </c>
      <c r="I8" s="581" t="str">
        <f>+Master!G261</f>
        <v>Deviation</v>
      </c>
      <c r="J8" s="581"/>
      <c r="K8" s="130" t="str">
        <f>+CONCATENATE(Master!G246," ",Master!B4-1)</f>
        <v>Jan - Apr 2025</v>
      </c>
      <c r="L8" s="581" t="str">
        <f>+I8</f>
        <v>Deviation</v>
      </c>
      <c r="M8" s="582"/>
      <c r="N8" s="487" t="str">
        <f>+G8</f>
        <v>Execution-preliminary</v>
      </c>
      <c r="O8" s="130" t="str">
        <f>+H8</f>
        <v>Plan</v>
      </c>
      <c r="P8" s="581" t="str">
        <f>+I8</f>
        <v>Deviation</v>
      </c>
      <c r="Q8" s="581"/>
      <c r="R8" s="130" t="str">
        <f>+CONCATENATE(Master!G245," ",Master!B4-1)</f>
        <v>April 2025</v>
      </c>
      <c r="S8" s="581" t="str">
        <f>+P8</f>
        <v>Deviation</v>
      </c>
      <c r="T8" s="582"/>
    </row>
    <row r="9" spans="1:25" ht="15.75" thickBot="1">
      <c r="A9" s="129"/>
      <c r="B9" s="588"/>
      <c r="C9" s="589"/>
      <c r="D9" s="589"/>
      <c r="E9" s="589"/>
      <c r="F9" s="590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136">
        <f>'2026'!S10</f>
        <v>971326603.22000003</v>
      </c>
      <c r="H10" s="136">
        <f>SUM('2026'!G86:J86)</f>
        <v>938610532.29289985</v>
      </c>
      <c r="I10" s="137">
        <f>+G10-H10</f>
        <v>32716070.927100182</v>
      </c>
      <c r="J10" s="139">
        <f>IF(+IF(ISERROR(G10/H10),"…",G10/H10-1)&gt;200%,"...",IF(ISERROR(G10/H10),"…",G10/H10-1))</f>
        <v>3.4855853201624765E-2</v>
      </c>
      <c r="K10" s="136">
        <f>SUM('2025'!G10:J10)</f>
        <v>897564848.26999998</v>
      </c>
      <c r="L10" s="137">
        <f>+G10-K10</f>
        <v>73761754.950000048</v>
      </c>
      <c r="M10" s="141">
        <f>IF(+IF(ISERROR(G10/K10),"…",G10/K10-1)&gt;200%,"...",IF(ISERROR(G10/K10),"…",G10/K10-1))</f>
        <v>8.2179861535543797E-2</v>
      </c>
      <c r="N10" s="136">
        <f>'2026'!J10</f>
        <v>335842987.45999998</v>
      </c>
      <c r="O10" s="136">
        <f>'2026'!J86</f>
        <v>329238762.8309508</v>
      </c>
      <c r="P10" s="137">
        <f>+N10-O10</f>
        <v>6604224.6290491819</v>
      </c>
      <c r="Q10" s="139">
        <f>IF(+IF(ISERROR(N10/O10),"…",N10/O10-1)&gt;200%,"...",IF(ISERROR(N10/O10),"…",N10/O10-1))</f>
        <v>2.0059073762344726E-2</v>
      </c>
      <c r="R10" s="136">
        <f>'2025'!J10</f>
        <v>317114367.18000001</v>
      </c>
      <c r="S10" s="137">
        <f>+N10-R10</f>
        <v>18728620.279999971</v>
      </c>
      <c r="T10" s="141">
        <f>IF(+IF(ISERROR(N10/R10),"…",N10/R10-1)&gt;200%,"...",IF(ISERROR(N10/R10),"…",N10/R10-1))</f>
        <v>5.9059513596144475E-2</v>
      </c>
      <c r="U10" s="547"/>
      <c r="W10" s="470"/>
      <c r="Y10" s="470"/>
    </row>
    <row r="11" spans="1:25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262">
        <f>'2026'!S11</f>
        <v>765545417.21000004</v>
      </c>
      <c r="H11" s="262">
        <f>SUM('2026'!G87:J87)</f>
        <v>767552189.49786568</v>
      </c>
      <c r="I11" s="143">
        <f t="shared" ref="I11:I57" si="0">+G11-H11</f>
        <v>-2006772.2878656387</v>
      </c>
      <c r="J11" s="145">
        <f t="shared" ref="J11:J66" si="1">IF(+IF(ISERROR(G11/H11-1),"…",G11/H11-1)&gt;200%,"...",IF(ISERROR(G11/H11-1),"…",G11/H11-1))</f>
        <v>-2.6145092351028687E-3</v>
      </c>
      <c r="K11" s="262">
        <f>SUM('2025'!G11:J11)</f>
        <v>735585541.56000006</v>
      </c>
      <c r="L11" s="143">
        <f>+G11-K11</f>
        <v>29959875.649999976</v>
      </c>
      <c r="M11" s="147">
        <f t="shared" ref="M11:M66" si="2">IF(+IF(ISERROR(G11/K11),"…",G11/K11-1)&gt;200%,"...",IF(ISERROR(G11/K11),"…",G11/K11-1))</f>
        <v>4.0729288379516282E-2</v>
      </c>
      <c r="N11" s="262">
        <f>'2026'!J11</f>
        <v>254016557</v>
      </c>
      <c r="O11" s="262">
        <f>'2026'!J87</f>
        <v>277228426.81346524</v>
      </c>
      <c r="P11" s="143">
        <f>+N11-O11</f>
        <v>-23211869.813465238</v>
      </c>
      <c r="Q11" s="145">
        <f t="shared" ref="Q11:Q66" si="3">IF(+IF(ISERROR(N11/O11),"…",N11/O11-1)&gt;200%,"...",IF(ISERROR(N11/O11),"…",N11/O11-1))</f>
        <v>-8.3728317764049098E-2</v>
      </c>
      <c r="R11" s="262">
        <f>'2025'!J11</f>
        <v>265707637.31999999</v>
      </c>
      <c r="S11" s="143">
        <f t="shared" ref="S11:S57" si="4">+N11-R11</f>
        <v>-11691080.319999993</v>
      </c>
      <c r="T11" s="147">
        <f t="shared" ref="T11:T66" si="5">IF(+IF(ISERROR(N11/R11),"…",N11/R11-1)&gt;200%,"...",IF(ISERROR(N11/R11),"…",N11/R11-1))</f>
        <v>-4.3999790288000162E-2</v>
      </c>
      <c r="W11" s="470"/>
      <c r="Y11" s="470"/>
    </row>
    <row r="12" spans="1:25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f>'2026'!S12</f>
        <v>31090906.740000006</v>
      </c>
      <c r="H12" s="148">
        <f>SUM('2026'!G88:J88)</f>
        <v>30504511.228702702</v>
      </c>
      <c r="I12" s="149">
        <f t="shared" si="0"/>
        <v>586395.51129730418</v>
      </c>
      <c r="J12" s="151">
        <f t="shared" si="1"/>
        <v>1.9223239044903861E-2</v>
      </c>
      <c r="K12" s="148">
        <f>SUM('2025'!G12:J12)</f>
        <v>30880744.030000001</v>
      </c>
      <c r="L12" s="149">
        <f>+G12-K12</f>
        <v>210162.71000000462</v>
      </c>
      <c r="M12" s="153">
        <f t="shared" si="2"/>
        <v>6.8056232646414028E-3</v>
      </c>
      <c r="N12" s="148">
        <f>'2026'!J12</f>
        <v>11197954.540000003</v>
      </c>
      <c r="O12" s="148">
        <f>'2026'!J88</f>
        <v>10315826.050880101</v>
      </c>
      <c r="P12" s="149">
        <f t="shared" ref="P12:P57" si="6">+N12-O12</f>
        <v>882128.48911990225</v>
      </c>
      <c r="Q12" s="151">
        <f t="shared" si="3"/>
        <v>8.5512152373356853E-2</v>
      </c>
      <c r="R12" s="148">
        <f>'2025'!J12</f>
        <v>10595893.429999994</v>
      </c>
      <c r="S12" s="149">
        <f t="shared" si="4"/>
        <v>602061.11000000872</v>
      </c>
      <c r="T12" s="153">
        <f t="shared" si="5"/>
        <v>5.6820230778784842E-2</v>
      </c>
      <c r="W12" s="470"/>
      <c r="Y12" s="470"/>
    </row>
    <row r="13" spans="1:25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f>'2026'!S13</f>
        <v>188931476.28000003</v>
      </c>
      <c r="H13" s="148">
        <f>SUM('2026'!G89:J89)</f>
        <v>211356782.67211741</v>
      </c>
      <c r="I13" s="149">
        <f t="shared" si="0"/>
        <v>-22425306.392117381</v>
      </c>
      <c r="J13" s="151">
        <f t="shared" si="1"/>
        <v>-0.10610166425037926</v>
      </c>
      <c r="K13" s="148">
        <f>SUM('2025'!G13:J13)</f>
        <v>191037839.81</v>
      </c>
      <c r="L13" s="149">
        <f t="shared" ref="L13:L57" si="7">+G13-K13</f>
        <v>-2106363.5299999714</v>
      </c>
      <c r="M13" s="153">
        <f t="shared" si="2"/>
        <v>-1.1025896922279288E-2</v>
      </c>
      <c r="N13" s="148">
        <f>'2026'!J13</f>
        <v>101480142.86999999</v>
      </c>
      <c r="O13" s="148">
        <f>'2026'!J89</f>
        <v>123410301.130749</v>
      </c>
      <c r="P13" s="149">
        <f t="shared" si="6"/>
        <v>-21930158.260749012</v>
      </c>
      <c r="Q13" s="151">
        <f t="shared" si="3"/>
        <v>-0.17770119722432864</v>
      </c>
      <c r="R13" s="148">
        <f>'2025'!J13</f>
        <v>112838365.88</v>
      </c>
      <c r="S13" s="149">
        <f t="shared" si="4"/>
        <v>-11358223.010000005</v>
      </c>
      <c r="T13" s="153">
        <f t="shared" si="5"/>
        <v>-0.10065922987646869</v>
      </c>
      <c r="W13" s="470"/>
      <c r="Y13" s="470"/>
    </row>
    <row r="14" spans="1:25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f>'2026'!S14</f>
        <v>0</v>
      </c>
      <c r="H14" s="148">
        <f>SUM('2026'!G90:J90)</f>
        <v>0</v>
      </c>
      <c r="I14" s="149">
        <f t="shared" si="0"/>
        <v>0</v>
      </c>
      <c r="J14" s="151" t="str">
        <f t="shared" si="1"/>
        <v>...</v>
      </c>
      <c r="K14" s="148">
        <f>SUM('2025'!G14:J14)</f>
        <v>0</v>
      </c>
      <c r="L14" s="149">
        <f t="shared" si="7"/>
        <v>0</v>
      </c>
      <c r="M14" s="153" t="str">
        <f t="shared" si="2"/>
        <v>...</v>
      </c>
      <c r="N14" s="148">
        <f>'2026'!J14</f>
        <v>0</v>
      </c>
      <c r="O14" s="148">
        <f>'2026'!J90</f>
        <v>0</v>
      </c>
      <c r="P14" s="149">
        <f t="shared" si="6"/>
        <v>0</v>
      </c>
      <c r="Q14" s="151" t="str">
        <f t="shared" si="3"/>
        <v>...</v>
      </c>
      <c r="R14" s="148">
        <f>'2025'!J14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f>'2026'!S15</f>
        <v>408054343.59000003</v>
      </c>
      <c r="H15" s="148">
        <f>SUM('2026'!G91:J91)</f>
        <v>393087209.20987797</v>
      </c>
      <c r="I15" s="149">
        <f t="shared" si="0"/>
        <v>14967134.380122066</v>
      </c>
      <c r="J15" s="151">
        <f t="shared" si="1"/>
        <v>3.8075862122826765E-2</v>
      </c>
      <c r="K15" s="148">
        <f>SUM('2025'!G15:J15)</f>
        <v>383904566.78000003</v>
      </c>
      <c r="L15" s="149">
        <f t="shared" si="7"/>
        <v>24149776.810000002</v>
      </c>
      <c r="M15" s="153">
        <f t="shared" si="2"/>
        <v>6.2905677347254052E-2</v>
      </c>
      <c r="N15" s="148">
        <f>'2026'!J15</f>
        <v>105556931.34999999</v>
      </c>
      <c r="O15" s="148">
        <f>'2026'!J91</f>
        <v>102894956.134937</v>
      </c>
      <c r="P15" s="149">
        <f t="shared" si="6"/>
        <v>2661975.2150629908</v>
      </c>
      <c r="Q15" s="151">
        <f t="shared" si="3"/>
        <v>2.5870803730865699E-2</v>
      </c>
      <c r="R15" s="148">
        <f>'2025'!J15</f>
        <v>101620940.56000002</v>
      </c>
      <c r="S15" s="149">
        <f t="shared" si="4"/>
        <v>3935990.7899999768</v>
      </c>
      <c r="T15" s="153">
        <f t="shared" si="5"/>
        <v>3.8732083843251219E-2</v>
      </c>
      <c r="W15" s="470"/>
      <c r="Y15" s="470"/>
    </row>
    <row r="16" spans="1:25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f>'2026'!S16</f>
        <v>111338819.50999999</v>
      </c>
      <c r="H16" s="148">
        <f>SUM('2026'!G92:J92)</f>
        <v>108396732.6327509</v>
      </c>
      <c r="I16" s="149">
        <f t="shared" si="0"/>
        <v>2942086.8772490919</v>
      </c>
      <c r="J16" s="151">
        <f t="shared" si="1"/>
        <v>2.7141840955823948E-2</v>
      </c>
      <c r="K16" s="148">
        <f>SUM('2025'!G16:J16)</f>
        <v>104719942.96000002</v>
      </c>
      <c r="L16" s="149">
        <f t="shared" si="7"/>
        <v>6618876.5499999672</v>
      </c>
      <c r="M16" s="153">
        <f t="shared" si="2"/>
        <v>6.3205501864417313E-2</v>
      </c>
      <c r="N16" s="148">
        <f>'2026'!J16</f>
        <v>28123004.540000007</v>
      </c>
      <c r="O16" s="148">
        <f>'2026'!J92</f>
        <v>33290334.5724907</v>
      </c>
      <c r="P16" s="149">
        <f t="shared" si="6"/>
        <v>-5167330.032490693</v>
      </c>
      <c r="Q16" s="151">
        <f t="shared" si="3"/>
        <v>-0.15522012917108652</v>
      </c>
      <c r="R16" s="148">
        <f>'2025'!J16</f>
        <v>33254768.049999993</v>
      </c>
      <c r="S16" s="149">
        <f t="shared" si="4"/>
        <v>-5131763.5099999867</v>
      </c>
      <c r="T16" s="153">
        <f t="shared" si="5"/>
        <v>-0.15431662317668726</v>
      </c>
      <c r="W16" s="470"/>
      <c r="Y16" s="470"/>
    </row>
    <row r="17" spans="1:25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f>'2026'!S17</f>
        <v>21051290.230000008</v>
      </c>
      <c r="H17" s="148">
        <f>SUM('2026'!G93:J93)</f>
        <v>18785642.299059119</v>
      </c>
      <c r="I17" s="149">
        <f t="shared" si="0"/>
        <v>2265647.9309408888</v>
      </c>
      <c r="J17" s="151">
        <f t="shared" si="1"/>
        <v>0.12060529498394446</v>
      </c>
      <c r="K17" s="148">
        <f>SUM('2025'!G17:J17)</f>
        <v>20307959.309999999</v>
      </c>
      <c r="L17" s="149">
        <f t="shared" si="7"/>
        <v>743330.92000000924</v>
      </c>
      <c r="M17" s="153">
        <f t="shared" si="2"/>
        <v>3.6602935265582337E-2</v>
      </c>
      <c r="N17" s="148">
        <f>'2026'!J17</f>
        <v>6218969.6700000009</v>
      </c>
      <c r="O17" s="148">
        <f>'2026'!J93</f>
        <v>5521131.0428255089</v>
      </c>
      <c r="P17" s="149">
        <f t="shared" si="6"/>
        <v>697838.62717449199</v>
      </c>
      <c r="Q17" s="151">
        <f>IF(+IF(ISERROR(N17/O17),"…",N17/O17-1)&gt;200%,"...",IF(ISERROR(N17/O17),"…",N17/O17-1))</f>
        <v>0.12639414311335817</v>
      </c>
      <c r="R17" s="148">
        <f>'2025'!J17</f>
        <v>6146881.0000000009</v>
      </c>
      <c r="S17" s="149">
        <f t="shared" si="4"/>
        <v>72088.669999999925</v>
      </c>
      <c r="T17" s="153">
        <f t="shared" si="5"/>
        <v>1.1727682706074827E-2</v>
      </c>
      <c r="W17" s="470"/>
      <c r="Y17" s="470"/>
    </row>
    <row r="18" spans="1:25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f>'2026'!S18</f>
        <v>5078580.8599999985</v>
      </c>
      <c r="H18" s="148">
        <f>SUM('2026'!G94:J94)</f>
        <v>5421311.4553576391</v>
      </c>
      <c r="I18" s="149">
        <f t="shared" si="0"/>
        <v>-342730.59535764065</v>
      </c>
      <c r="J18" s="151">
        <f t="shared" si="1"/>
        <v>-6.3219130311898075E-2</v>
      </c>
      <c r="K18" s="148">
        <f>SUM('2025'!G18:J18)</f>
        <v>4734488.6700000009</v>
      </c>
      <c r="L18" s="149">
        <f t="shared" si="7"/>
        <v>344092.18999999762</v>
      </c>
      <c r="M18" s="153">
        <f t="shared" si="2"/>
        <v>7.2677793524004164E-2</v>
      </c>
      <c r="N18" s="148">
        <f>'2026'!J18</f>
        <v>1439554.0299999996</v>
      </c>
      <c r="O18" s="148">
        <f>'2026'!J94</f>
        <v>1795877.881582927</v>
      </c>
      <c r="P18" s="149">
        <f t="shared" si="6"/>
        <v>-356323.8515829274</v>
      </c>
      <c r="Q18" s="151">
        <f t="shared" si="3"/>
        <v>-0.19841207202176547</v>
      </c>
      <c r="R18" s="148">
        <f>'2025'!J18</f>
        <v>1250788.4000000001</v>
      </c>
      <c r="S18" s="149">
        <f t="shared" si="4"/>
        <v>188765.62999999942</v>
      </c>
      <c r="T18" s="153">
        <f t="shared" si="5"/>
        <v>0.15091731742955039</v>
      </c>
      <c r="W18" s="470"/>
      <c r="Y18" s="470"/>
    </row>
    <row r="19" spans="1:25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154">
        <f>'2026'!S19</f>
        <v>145619574.22999996</v>
      </c>
      <c r="H19" s="154">
        <f>SUM('2026'!G95:J95)</f>
        <v>123936137.00881344</v>
      </c>
      <c r="I19" s="155">
        <f t="shared" si="0"/>
        <v>21683437.221186519</v>
      </c>
      <c r="J19" s="157">
        <f t="shared" si="1"/>
        <v>0.17495653603956174</v>
      </c>
      <c r="K19" s="154">
        <f>SUM('2025'!G19:J19)</f>
        <v>118155699.17000002</v>
      </c>
      <c r="L19" s="155">
        <f t="shared" si="7"/>
        <v>27463875.059999943</v>
      </c>
      <c r="M19" s="159">
        <f t="shared" si="2"/>
        <v>0.23243800555473393</v>
      </c>
      <c r="N19" s="154">
        <f>'2026'!J19</f>
        <v>53793525.349999964</v>
      </c>
      <c r="O19" s="154">
        <f>'2026'!J95</f>
        <v>36861095.016813256</v>
      </c>
      <c r="P19" s="155">
        <f t="shared" si="6"/>
        <v>16932430.333186708</v>
      </c>
      <c r="Q19" s="157">
        <f t="shared" si="3"/>
        <v>0.45935776800617045</v>
      </c>
      <c r="R19" s="154">
        <f>'2025'!J19</f>
        <v>33755127.570000015</v>
      </c>
      <c r="S19" s="155">
        <f t="shared" si="4"/>
        <v>20038397.779999949</v>
      </c>
      <c r="T19" s="159">
        <f t="shared" si="5"/>
        <v>0.59364011403734529</v>
      </c>
      <c r="W19" s="470"/>
      <c r="Y19" s="470"/>
    </row>
    <row r="20" spans="1:25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f>'2026'!S20</f>
        <v>128077017.28999998</v>
      </c>
      <c r="H20" s="148">
        <f>SUM('2026'!G96:J96)</f>
        <v>110158499.93178165</v>
      </c>
      <c r="I20" s="149">
        <f t="shared" si="0"/>
        <v>17918517.358218327</v>
      </c>
      <c r="J20" s="151">
        <f t="shared" si="1"/>
        <v>0.16266123239981312</v>
      </c>
      <c r="K20" s="148">
        <f>SUM('2025'!G20:J20)</f>
        <v>99806545.560000017</v>
      </c>
      <c r="L20" s="149">
        <f t="shared" si="7"/>
        <v>28270471.729999959</v>
      </c>
      <c r="M20" s="153">
        <f t="shared" si="2"/>
        <v>0.28325268219011535</v>
      </c>
      <c r="N20" s="148">
        <f>'2026'!J20</f>
        <v>47179254.269999966</v>
      </c>
      <c r="O20" s="148">
        <f>'2026'!J96</f>
        <v>32746003.592248771</v>
      </c>
      <c r="P20" s="149">
        <f t="shared" si="6"/>
        <v>14433250.677751195</v>
      </c>
      <c r="Q20" s="151">
        <f t="shared" si="3"/>
        <v>0.44076372975075517</v>
      </c>
      <c r="R20" s="148">
        <f>'2025'!J20</f>
        <v>28513630.080000013</v>
      </c>
      <c r="S20" s="149">
        <f t="shared" si="4"/>
        <v>18665624.189999953</v>
      </c>
      <c r="T20" s="153">
        <f t="shared" si="5"/>
        <v>0.65462111059273242</v>
      </c>
      <c r="W20" s="470"/>
      <c r="Y20" s="470"/>
    </row>
    <row r="21" spans="1:25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f>'2026'!S21</f>
        <v>1586289.5799999998</v>
      </c>
      <c r="H21" s="148">
        <f>SUM('2026'!G97:J97)</f>
        <v>1160489.2238888601</v>
      </c>
      <c r="I21" s="149">
        <f t="shared" si="0"/>
        <v>425800.35611113976</v>
      </c>
      <c r="J21" s="151">
        <f t="shared" si="1"/>
        <v>0.3669145282403059</v>
      </c>
      <c r="K21" s="148">
        <f>SUM('2025'!G21:J21)</f>
        <v>2577231.2399999993</v>
      </c>
      <c r="L21" s="149">
        <f t="shared" si="7"/>
        <v>-990941.65999999945</v>
      </c>
      <c r="M21" s="153">
        <f t="shared" si="2"/>
        <v>-0.38449854425945873</v>
      </c>
      <c r="N21" s="148">
        <f>'2026'!J21</f>
        <v>930383.91999999969</v>
      </c>
      <c r="O21" s="148">
        <f>'2026'!J97</f>
        <v>416686.55694443011</v>
      </c>
      <c r="P21" s="149">
        <f t="shared" si="6"/>
        <v>513697.36305556959</v>
      </c>
      <c r="Q21" s="151">
        <f t="shared" si="3"/>
        <v>1.2328148208632443</v>
      </c>
      <c r="R21" s="148">
        <f>'2025'!J21</f>
        <v>524440.96000000008</v>
      </c>
      <c r="S21" s="149">
        <f t="shared" si="4"/>
        <v>405942.95999999961</v>
      </c>
      <c r="T21" s="153">
        <f t="shared" si="5"/>
        <v>0.77404892249453505</v>
      </c>
      <c r="W21" s="470"/>
      <c r="Y21" s="470"/>
    </row>
    <row r="22" spans="1:25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f>'2026'!S22</f>
        <v>9216611.450000003</v>
      </c>
      <c r="H22" s="148">
        <f>SUM('2026'!G98:J98)</f>
        <v>7122367.7535129609</v>
      </c>
      <c r="I22" s="149">
        <f t="shared" si="0"/>
        <v>2094243.6964870421</v>
      </c>
      <c r="J22" s="151">
        <f t="shared" si="1"/>
        <v>0.29403756853949292</v>
      </c>
      <c r="K22" s="148">
        <f>SUM('2025'!G22:J22)</f>
        <v>9275203.4199999999</v>
      </c>
      <c r="L22" s="149">
        <f t="shared" si="7"/>
        <v>-58591.969999996945</v>
      </c>
      <c r="M22" s="153">
        <f t="shared" si="2"/>
        <v>-6.3170549848703406E-3</v>
      </c>
      <c r="N22" s="148">
        <f>'2026'!J22</f>
        <v>3276767.8700000006</v>
      </c>
      <c r="O22" s="148">
        <f>'2026'!J98</f>
        <v>2128817.712025594</v>
      </c>
      <c r="P22" s="149">
        <f t="shared" si="6"/>
        <v>1147950.1579744066</v>
      </c>
      <c r="Q22" s="151">
        <f t="shared" si="3"/>
        <v>0.53924305096189706</v>
      </c>
      <c r="R22" s="148">
        <f>'2025'!J22</f>
        <v>2726994.09</v>
      </c>
      <c r="S22" s="149">
        <f t="shared" si="4"/>
        <v>549773.78000000073</v>
      </c>
      <c r="T22" s="153">
        <f t="shared" si="5"/>
        <v>0.20160431664155198</v>
      </c>
      <c r="W22" s="470"/>
      <c r="Y22" s="470"/>
    </row>
    <row r="23" spans="1:25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f>'2026'!S23</f>
        <v>6739655.9099999983</v>
      </c>
      <c r="H23" s="148">
        <f>SUM('2026'!G99:J99)</f>
        <v>5494780.0996299526</v>
      </c>
      <c r="I23" s="149">
        <f t="shared" si="0"/>
        <v>1244875.8103700457</v>
      </c>
      <c r="J23" s="151">
        <f t="shared" si="1"/>
        <v>0.22655607463779703</v>
      </c>
      <c r="K23" s="148">
        <f>SUM('2025'!G23:J23)</f>
        <v>6496718.9500000002</v>
      </c>
      <c r="L23" s="149">
        <f t="shared" si="7"/>
        <v>242936.9599999981</v>
      </c>
      <c r="M23" s="153">
        <f t="shared" si="2"/>
        <v>3.7393792446569929E-2</v>
      </c>
      <c r="N23" s="148">
        <f>'2026'!J23</f>
        <v>2407119.2899999991</v>
      </c>
      <c r="O23" s="148">
        <f>'2026'!J99</f>
        <v>1569587.1555944581</v>
      </c>
      <c r="P23" s="149">
        <f t="shared" si="6"/>
        <v>837532.134405541</v>
      </c>
      <c r="Q23" s="151">
        <f t="shared" si="3"/>
        <v>0.53360027279806443</v>
      </c>
      <c r="R23" s="148">
        <f>'2025'!J23</f>
        <v>1990062.4400000002</v>
      </c>
      <c r="S23" s="149">
        <f t="shared" si="4"/>
        <v>417056.84999999893</v>
      </c>
      <c r="T23" s="153">
        <f t="shared" si="5"/>
        <v>0.20956973088743824</v>
      </c>
      <c r="W23" s="470"/>
      <c r="Y23" s="470"/>
    </row>
    <row r="24" spans="1:25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f>'2026'!S24</f>
        <v>4616158.1199999992</v>
      </c>
      <c r="H24" s="160">
        <f>SUM('2026'!G100:J100)</f>
        <v>4535882.6036178749</v>
      </c>
      <c r="I24" s="161">
        <f t="shared" si="0"/>
        <v>80275.516382124275</v>
      </c>
      <c r="J24" s="163">
        <f t="shared" si="1"/>
        <v>1.7697882286039635E-2</v>
      </c>
      <c r="K24" s="160">
        <f>SUM('2025'!G24:J24)</f>
        <v>4319344.97</v>
      </c>
      <c r="L24" s="161">
        <f t="shared" si="7"/>
        <v>296813.14999999944</v>
      </c>
      <c r="M24" s="165">
        <f t="shared" si="2"/>
        <v>6.8717167084711761E-2</v>
      </c>
      <c r="N24" s="160">
        <f>'2026'!J24</f>
        <v>1634723.7999999996</v>
      </c>
      <c r="O24" s="160">
        <f>'2026'!J100</f>
        <v>1548621.4762266001</v>
      </c>
      <c r="P24" s="161">
        <f t="shared" si="6"/>
        <v>86102.323773399461</v>
      </c>
      <c r="Q24" s="163">
        <f t="shared" si="3"/>
        <v>5.5599334695524139E-2</v>
      </c>
      <c r="R24" s="160">
        <f>'2025'!J24</f>
        <v>1282834.4600000002</v>
      </c>
      <c r="S24" s="161">
        <f t="shared" si="4"/>
        <v>351889.33999999939</v>
      </c>
      <c r="T24" s="165">
        <f t="shared" si="5"/>
        <v>0.27430611740816446</v>
      </c>
      <c r="W24" s="470"/>
      <c r="Y24" s="470"/>
    </row>
    <row r="25" spans="1:25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f>'2026'!S25</f>
        <v>23927991.049999997</v>
      </c>
      <c r="H25" s="160">
        <f>SUM('2026'!G101:J101)</f>
        <v>22906596.198857203</v>
      </c>
      <c r="I25" s="161">
        <f t="shared" si="0"/>
        <v>1021394.8511427939</v>
      </c>
      <c r="J25" s="163">
        <f t="shared" si="1"/>
        <v>4.4589551510658243E-2</v>
      </c>
      <c r="K25" s="160">
        <f>SUM('2025'!G25:J25)</f>
        <v>19468189.77</v>
      </c>
      <c r="L25" s="161">
        <f t="shared" si="7"/>
        <v>4459801.2799999975</v>
      </c>
      <c r="M25" s="165">
        <f t="shared" si="2"/>
        <v>0.22908145711998551</v>
      </c>
      <c r="N25" s="160">
        <f>'2026'!J25</f>
        <v>7807101.879999999</v>
      </c>
      <c r="O25" s="160">
        <f>'2026'!J101</f>
        <v>6077852.1208678391</v>
      </c>
      <c r="P25" s="161">
        <f t="shared" si="6"/>
        <v>1729249.7591321599</v>
      </c>
      <c r="Q25" s="163">
        <f t="shared" si="3"/>
        <v>0.2845165898648494</v>
      </c>
      <c r="R25" s="160">
        <f>'2025'!J25</f>
        <v>7314217.71</v>
      </c>
      <c r="S25" s="161">
        <f t="shared" si="4"/>
        <v>492884.16999999899</v>
      </c>
      <c r="T25" s="165">
        <f t="shared" si="5"/>
        <v>6.7387134146434713E-2</v>
      </c>
      <c r="W25" s="470"/>
      <c r="Y25" s="470"/>
    </row>
    <row r="26" spans="1:25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f>'2026'!S26</f>
        <v>21962351.369999997</v>
      </c>
      <c r="H26" s="160">
        <f>SUM('2026'!G102:J102)</f>
        <v>12395068.515967896</v>
      </c>
      <c r="I26" s="161">
        <f t="shared" si="0"/>
        <v>9567282.8540321011</v>
      </c>
      <c r="J26" s="163">
        <f t="shared" si="1"/>
        <v>0.77186203865731673</v>
      </c>
      <c r="K26" s="160">
        <f>SUM('2025'!G26:J26)</f>
        <v>16567184.669999998</v>
      </c>
      <c r="L26" s="161">
        <f t="shared" si="7"/>
        <v>5395166.6999999993</v>
      </c>
      <c r="M26" s="165">
        <f t="shared" si="2"/>
        <v>0.32565380343527006</v>
      </c>
      <c r="N26" s="160">
        <f>'2026'!J26</f>
        <v>12176579.980000002</v>
      </c>
      <c r="O26" s="160">
        <f>'2026'!J102</f>
        <v>4369058.0058000032</v>
      </c>
      <c r="P26" s="161">
        <f t="shared" si="6"/>
        <v>7807521.9741999991</v>
      </c>
      <c r="Q26" s="163">
        <f t="shared" si="3"/>
        <v>1.7870035059812373</v>
      </c>
      <c r="R26" s="160">
        <f>'2025'!J26</f>
        <v>8456369.5600000005</v>
      </c>
      <c r="S26" s="161">
        <f t="shared" si="4"/>
        <v>3720210.4200000018</v>
      </c>
      <c r="T26" s="165">
        <f t="shared" si="5"/>
        <v>0.43992997155625746</v>
      </c>
      <c r="W26" s="470"/>
      <c r="Y26" s="470"/>
    </row>
    <row r="27" spans="1:25" hidden="1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f>'2026'!S27</f>
        <v>0</v>
      </c>
      <c r="H27" s="160">
        <f>SUM('2026'!G103:J103)</f>
        <v>0</v>
      </c>
      <c r="I27" s="161">
        <f t="shared" si="0"/>
        <v>0</v>
      </c>
      <c r="J27" s="163" t="str">
        <f t="shared" si="1"/>
        <v>...</v>
      </c>
      <c r="K27" s="160">
        <f>SUM('2025'!G27:J27)</f>
        <v>0</v>
      </c>
      <c r="L27" s="161">
        <f t="shared" si="7"/>
        <v>0</v>
      </c>
      <c r="M27" s="165" t="str">
        <f t="shared" si="2"/>
        <v>...</v>
      </c>
      <c r="N27" s="160">
        <f>'2026'!J27</f>
        <v>0</v>
      </c>
      <c r="O27" s="160">
        <f>'2026'!J103</f>
        <v>0</v>
      </c>
      <c r="P27" s="161">
        <f t="shared" si="6"/>
        <v>0</v>
      </c>
      <c r="Q27" s="163" t="str">
        <f t="shared" si="3"/>
        <v>...</v>
      </c>
      <c r="R27" s="160">
        <f>'2025'!J27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61" t="str">
        <f>+VLOOKUP($A28,Master!$D$30:$G$226,4,FALSE)</f>
        <v>Grants and Transfers</v>
      </c>
      <c r="C28" s="562"/>
      <c r="D28" s="562"/>
      <c r="E28" s="562"/>
      <c r="F28" s="562"/>
      <c r="G28" s="160">
        <f>'2026'!S28</f>
        <v>9655111.2400000002</v>
      </c>
      <c r="H28" s="160">
        <f>SUM('2026'!G104:J104)</f>
        <v>7284658.4677777784</v>
      </c>
      <c r="I28" s="161">
        <f t="shared" si="0"/>
        <v>2370452.7722222218</v>
      </c>
      <c r="J28" s="163">
        <f t="shared" si="1"/>
        <v>0.3254034190768782</v>
      </c>
      <c r="K28" s="160">
        <f>SUM('2025'!G28:J28)</f>
        <v>3468888.1300000004</v>
      </c>
      <c r="L28" s="161">
        <f t="shared" si="7"/>
        <v>6186223.1099999994</v>
      </c>
      <c r="M28" s="165">
        <f t="shared" si="2"/>
        <v>1.783344656317873</v>
      </c>
      <c r="N28" s="160">
        <f>'2026'!J28</f>
        <v>6414499.4500000002</v>
      </c>
      <c r="O28" s="160">
        <f>'2026'!J104</f>
        <v>3153709.3977777781</v>
      </c>
      <c r="P28" s="161">
        <f t="shared" si="6"/>
        <v>3260790.0522222221</v>
      </c>
      <c r="Q28" s="163">
        <f t="shared" si="3"/>
        <v>1.0339538749257926</v>
      </c>
      <c r="R28" s="160">
        <f>'2025'!J28</f>
        <v>598180.56000000006</v>
      </c>
      <c r="S28" s="161">
        <f t="shared" si="4"/>
        <v>5816318.8900000006</v>
      </c>
      <c r="T28" s="165" t="str">
        <f t="shared" si="5"/>
        <v>...</v>
      </c>
      <c r="W28" s="470"/>
      <c r="Y28" s="470"/>
    </row>
    <row r="29" spans="1:25" ht="15.7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'2026'!S29</f>
        <v>996340809.82999992</v>
      </c>
      <c r="H29" s="136">
        <f>SUM('2026'!G105:J105)</f>
        <v>1141036871.6100001</v>
      </c>
      <c r="I29" s="137">
        <f t="shared" si="0"/>
        <v>-144696061.78000021</v>
      </c>
      <c r="J29" s="139">
        <f t="shared" si="1"/>
        <v>-0.12681103072141253</v>
      </c>
      <c r="K29" s="136">
        <f>SUM('2025'!G29:J29)</f>
        <v>930136594.30000007</v>
      </c>
      <c r="L29" s="137">
        <f t="shared" si="7"/>
        <v>66204215.529999852</v>
      </c>
      <c r="M29" s="141">
        <f t="shared" si="2"/>
        <v>7.1176874381362998E-2</v>
      </c>
      <c r="N29" s="136">
        <f>'2026'!J29</f>
        <v>236942884.52000001</v>
      </c>
      <c r="O29" s="136">
        <f>'2026'!J105</f>
        <v>311206838.67000002</v>
      </c>
      <c r="P29" s="137">
        <f t="shared" si="6"/>
        <v>-74263954.150000006</v>
      </c>
      <c r="Q29" s="139">
        <f t="shared" si="3"/>
        <v>-0.23863214082113604</v>
      </c>
      <c r="R29" s="136">
        <f>'2025'!J29</f>
        <v>284490758.29000008</v>
      </c>
      <c r="S29" s="137">
        <f t="shared" si="4"/>
        <v>-47547873.77000007</v>
      </c>
      <c r="T29" s="141">
        <f t="shared" si="5"/>
        <v>-0.1671332807286886</v>
      </c>
      <c r="V29" s="470"/>
      <c r="W29" s="470"/>
      <c r="Y29" s="470"/>
    </row>
    <row r="30" spans="1:25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294">
        <f>'2026'!S30</f>
        <v>412987380.67000002</v>
      </c>
      <c r="H30" s="294">
        <f>SUM('2026'!G106:J106)</f>
        <v>447693054.97000003</v>
      </c>
      <c r="I30" s="173">
        <f t="shared" si="0"/>
        <v>-34705674.300000012</v>
      </c>
      <c r="J30" s="181">
        <f t="shared" si="1"/>
        <v>-7.7521136222061027E-2</v>
      </c>
      <c r="K30" s="294">
        <f>SUM('2025'!G30:J30)</f>
        <v>370641745.42000008</v>
      </c>
      <c r="L30" s="173">
        <f t="shared" si="7"/>
        <v>42345635.24999994</v>
      </c>
      <c r="M30" s="177">
        <f t="shared" si="2"/>
        <v>0.1142495031206352</v>
      </c>
      <c r="N30" s="294">
        <f>'2026'!J30</f>
        <v>102455302.88000001</v>
      </c>
      <c r="O30" s="294">
        <f>'2026'!J106</f>
        <v>142348016.90000001</v>
      </c>
      <c r="P30" s="173">
        <f t="shared" si="6"/>
        <v>-39892714.019999996</v>
      </c>
      <c r="Q30" s="175">
        <f t="shared" si="3"/>
        <v>-0.28024776803195484</v>
      </c>
      <c r="R30" s="294">
        <f>'2025'!J30</f>
        <v>122533148.02000006</v>
      </c>
      <c r="S30" s="173">
        <f t="shared" si="4"/>
        <v>-20077845.140000045</v>
      </c>
      <c r="T30" s="177">
        <f t="shared" si="5"/>
        <v>-0.16385643774305791</v>
      </c>
      <c r="W30" s="470"/>
      <c r="Y30" s="470"/>
    </row>
    <row r="31" spans="1:25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f>'2026'!S31</f>
        <v>236299573.82000008</v>
      </c>
      <c r="H31" s="148">
        <f>SUM('2026'!G107:J107)</f>
        <v>242399082.83000004</v>
      </c>
      <c r="I31" s="149">
        <f t="shared" si="0"/>
        <v>-6099509.0099999607</v>
      </c>
      <c r="J31" s="151">
        <f t="shared" si="1"/>
        <v>-2.5163086175031824E-2</v>
      </c>
      <c r="K31" s="148">
        <f>SUM('2025'!G31:J31)</f>
        <v>227559463.47000006</v>
      </c>
      <c r="L31" s="149">
        <f t="shared" si="7"/>
        <v>8740110.3500000238</v>
      </c>
      <c r="M31" s="153">
        <f t="shared" si="2"/>
        <v>3.8408028463084554E-2</v>
      </c>
      <c r="N31" s="148">
        <f>'2026'!J31</f>
        <v>59070053.280000024</v>
      </c>
      <c r="O31" s="148">
        <f>'2026'!J107</f>
        <v>61081392.299999997</v>
      </c>
      <c r="P31" s="149">
        <f>+N31-O31</f>
        <v>-2011339.0199999735</v>
      </c>
      <c r="Q31" s="151">
        <f>IF(+IF(ISERROR(N31/O31),"…",N31/O31-1)&gt;200%,"...",IF(ISERROR(N31/O31),"…",N31/O31-1))</f>
        <v>-3.2928833876630148E-2</v>
      </c>
      <c r="R31" s="148">
        <f>'2025'!J31</f>
        <v>57954305.050000042</v>
      </c>
      <c r="S31" s="149">
        <f t="shared" si="4"/>
        <v>1115748.2299999818</v>
      </c>
      <c r="T31" s="153">
        <f t="shared" si="5"/>
        <v>1.9252206182739595E-2</v>
      </c>
      <c r="W31" s="470"/>
      <c r="Y31" s="470"/>
    </row>
    <row r="32" spans="1:25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f>'2026'!S32</f>
        <v>9892274.2899999991</v>
      </c>
      <c r="H32" s="148">
        <f>SUM('2026'!G108:J108)</f>
        <v>8204023.5200000014</v>
      </c>
      <c r="I32" s="149">
        <f t="shared" si="0"/>
        <v>1688250.7699999977</v>
      </c>
      <c r="J32" s="151">
        <f t="shared" si="1"/>
        <v>0.20578326791535062</v>
      </c>
      <c r="K32" s="148">
        <f>SUM('2025'!G32:J32)</f>
        <v>6246504.2300000023</v>
      </c>
      <c r="L32" s="149">
        <f t="shared" si="7"/>
        <v>3645770.0599999968</v>
      </c>
      <c r="M32" s="153">
        <f t="shared" si="2"/>
        <v>0.58364965839461136</v>
      </c>
      <c r="N32" s="148">
        <f>'2026'!J32</f>
        <v>3156480.339999998</v>
      </c>
      <c r="O32" s="148">
        <f>'2026'!J108</f>
        <v>2163621.5200000019</v>
      </c>
      <c r="P32" s="149">
        <f t="shared" si="6"/>
        <v>992858.81999999611</v>
      </c>
      <c r="Q32" s="151">
        <f t="shared" si="3"/>
        <v>0.45888747677088881</v>
      </c>
      <c r="R32" s="148">
        <f>'2025'!J32</f>
        <v>2512992.9100000006</v>
      </c>
      <c r="S32" s="149">
        <f t="shared" si="4"/>
        <v>643487.42999999737</v>
      </c>
      <c r="T32" s="153">
        <f t="shared" si="5"/>
        <v>0.25606416454234937</v>
      </c>
      <c r="W32" s="470"/>
      <c r="Y32" s="470"/>
    </row>
    <row r="33" spans="1:25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f>'2026'!S33</f>
        <v>11016150.699999999</v>
      </c>
      <c r="H33" s="148">
        <f>SUM('2026'!G109:J109)</f>
        <v>14344376.489999993</v>
      </c>
      <c r="I33" s="149">
        <f t="shared" si="0"/>
        <v>-3328225.7899999935</v>
      </c>
      <c r="J33" s="151">
        <f t="shared" si="1"/>
        <v>-0.23202303650634282</v>
      </c>
      <c r="K33" s="148">
        <f>SUM('2025'!G33:J33)</f>
        <v>9984777.5300000012</v>
      </c>
      <c r="L33" s="149">
        <f t="shared" si="7"/>
        <v>1031373.1699999981</v>
      </c>
      <c r="M33" s="153">
        <f t="shared" si="2"/>
        <v>0.10329455682924937</v>
      </c>
      <c r="N33" s="148">
        <f>'2026'!J33</f>
        <v>3427591.4899999998</v>
      </c>
      <c r="O33" s="148">
        <f>'2026'!J109</f>
        <v>3649908.7900000005</v>
      </c>
      <c r="P33" s="149">
        <f t="shared" si="6"/>
        <v>-222317.30000000075</v>
      </c>
      <c r="Q33" s="151">
        <f t="shared" si="3"/>
        <v>-6.0910371406842967E-2</v>
      </c>
      <c r="R33" s="148">
        <f>'2025'!J33</f>
        <v>3866754.5999999996</v>
      </c>
      <c r="S33" s="149">
        <f t="shared" si="4"/>
        <v>-439163.10999999987</v>
      </c>
      <c r="T33" s="153">
        <f t="shared" si="5"/>
        <v>-0.11357408354799658</v>
      </c>
      <c r="W33" s="470"/>
      <c r="Y33" s="470"/>
    </row>
    <row r="34" spans="1:25">
      <c r="A34" s="135">
        <v>414</v>
      </c>
      <c r="B34" s="555" t="str">
        <f>+VLOOKUP($A34,Master!$D$30:$G$226,4,FALSE)</f>
        <v>Expenditures for Services</v>
      </c>
      <c r="C34" s="556"/>
      <c r="D34" s="556"/>
      <c r="E34" s="556"/>
      <c r="F34" s="556"/>
      <c r="G34" s="148">
        <f>'2026'!S34</f>
        <v>22018438.640000001</v>
      </c>
      <c r="H34" s="148">
        <f>SUM('2026'!G110:J110)</f>
        <v>33822719.010000035</v>
      </c>
      <c r="I34" s="149">
        <f t="shared" si="0"/>
        <v>-11804280.370000035</v>
      </c>
      <c r="J34" s="151">
        <f t="shared" si="1"/>
        <v>-0.34900447733105011</v>
      </c>
      <c r="K34" s="148">
        <f>SUM('2025'!G34:J34)</f>
        <v>18624415.780000001</v>
      </c>
      <c r="L34" s="149">
        <f t="shared" si="7"/>
        <v>3394022.8599999994</v>
      </c>
      <c r="M34" s="153">
        <f t="shared" si="2"/>
        <v>0.18223513156556037</v>
      </c>
      <c r="N34" s="148">
        <f>'2026'!J34</f>
        <v>7349137.040000001</v>
      </c>
      <c r="O34" s="148">
        <f>'2026'!J110</f>
        <v>9044266.900000006</v>
      </c>
      <c r="P34" s="149">
        <f t="shared" si="6"/>
        <v>-1695129.860000005</v>
      </c>
      <c r="Q34" s="151">
        <f t="shared" si="3"/>
        <v>-0.18742589960497558</v>
      </c>
      <c r="R34" s="148">
        <f>'2025'!J34</f>
        <v>8509262.9799999986</v>
      </c>
      <c r="S34" s="149">
        <f t="shared" si="4"/>
        <v>-1160125.9399999976</v>
      </c>
      <c r="T34" s="153">
        <f t="shared" si="5"/>
        <v>-0.13633682996127094</v>
      </c>
      <c r="W34" s="470"/>
      <c r="Y34" s="470"/>
    </row>
    <row r="35" spans="1:25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f>'2026'!S35</f>
        <v>9619048.0800000001</v>
      </c>
      <c r="H35" s="148">
        <f>SUM('2026'!G111:J111)</f>
        <v>18142731.499999996</v>
      </c>
      <c r="I35" s="149">
        <f t="shared" si="0"/>
        <v>-8523683.4199999962</v>
      </c>
      <c r="J35" s="151">
        <f t="shared" si="1"/>
        <v>-0.46981257590677561</v>
      </c>
      <c r="K35" s="148">
        <f>SUM('2025'!G35:J35)</f>
        <v>6750375.6200000001</v>
      </c>
      <c r="L35" s="149">
        <f t="shared" si="7"/>
        <v>2868672.46</v>
      </c>
      <c r="M35" s="153">
        <f t="shared" si="2"/>
        <v>0.42496486439964953</v>
      </c>
      <c r="N35" s="148">
        <f>'2026'!J35</f>
        <v>5463554.8599999994</v>
      </c>
      <c r="O35" s="148">
        <f>'2026'!J111</f>
        <v>4779653.5599999996</v>
      </c>
      <c r="P35" s="149">
        <f t="shared" si="6"/>
        <v>683901.29999999981</v>
      </c>
      <c r="Q35" s="151">
        <f t="shared" si="3"/>
        <v>0.14308595621311104</v>
      </c>
      <c r="R35" s="148">
        <f>'2025'!J35</f>
        <v>2562919.08</v>
      </c>
      <c r="S35" s="149">
        <f t="shared" si="4"/>
        <v>2900635.7799999993</v>
      </c>
      <c r="T35" s="153">
        <f t="shared" si="5"/>
        <v>1.1317703327566626</v>
      </c>
      <c r="W35" s="470"/>
      <c r="Y35" s="470"/>
    </row>
    <row r="36" spans="1:25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f>'2026'!S36</f>
        <v>80189253.709999993</v>
      </c>
      <c r="H36" s="148">
        <f>SUM('2026'!G112:J112)</f>
        <v>83098754.469999999</v>
      </c>
      <c r="I36" s="149">
        <f t="shared" si="0"/>
        <v>-2909500.7600000054</v>
      </c>
      <c r="J36" s="151">
        <f t="shared" si="1"/>
        <v>-3.5012567619775559E-2</v>
      </c>
      <c r="K36" s="148">
        <f>SUM('2025'!G36:J36)</f>
        <v>64853491.399999999</v>
      </c>
      <c r="L36" s="149">
        <f t="shared" si="7"/>
        <v>15335762.309999995</v>
      </c>
      <c r="M36" s="153">
        <f t="shared" si="2"/>
        <v>0.23646779809297969</v>
      </c>
      <c r="N36" s="148">
        <f>'2026'!J36</f>
        <v>8383871.2699999996</v>
      </c>
      <c r="O36" s="148">
        <f>'2026'!J112</f>
        <v>49733714.509999998</v>
      </c>
      <c r="P36" s="149">
        <f t="shared" si="6"/>
        <v>-41349843.239999995</v>
      </c>
      <c r="Q36" s="151">
        <f t="shared" si="3"/>
        <v>-0.83142479196251773</v>
      </c>
      <c r="R36" s="148">
        <f>'2025'!J36</f>
        <v>33272514.919999998</v>
      </c>
      <c r="S36" s="149">
        <f t="shared" si="4"/>
        <v>-24888643.649999999</v>
      </c>
      <c r="T36" s="153">
        <f t="shared" si="5"/>
        <v>-0.74802411870103391</v>
      </c>
      <c r="W36" s="470"/>
      <c r="Y36" s="470"/>
    </row>
    <row r="37" spans="1:25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f>'2026'!S37</f>
        <v>3242446.8</v>
      </c>
      <c r="H37" s="148">
        <f>SUM('2026'!G113:J113)</f>
        <v>4895666.6900000032</v>
      </c>
      <c r="I37" s="149">
        <f t="shared" si="0"/>
        <v>-1653219.8900000034</v>
      </c>
      <c r="J37" s="151">
        <f t="shared" si="1"/>
        <v>-0.33769045049102442</v>
      </c>
      <c r="K37" s="148">
        <f>SUM('2025'!G37:J37)</f>
        <v>3126369.3899999997</v>
      </c>
      <c r="L37" s="149">
        <f t="shared" si="7"/>
        <v>116077.41000000015</v>
      </c>
      <c r="M37" s="153">
        <f t="shared" si="2"/>
        <v>3.7128501312508E-2</v>
      </c>
      <c r="N37" s="148">
        <f>'2026'!J37</f>
        <v>944543.74999999977</v>
      </c>
      <c r="O37" s="148">
        <f>'2026'!J113</f>
        <v>1096839.3699999996</v>
      </c>
      <c r="P37" s="149">
        <f t="shared" si="6"/>
        <v>-152295.61999999988</v>
      </c>
      <c r="Q37" s="151">
        <f t="shared" si="3"/>
        <v>-0.13884951996207062</v>
      </c>
      <c r="R37" s="148">
        <f>'2025'!J37</f>
        <v>1026043.09</v>
      </c>
      <c r="S37" s="149">
        <f t="shared" si="4"/>
        <v>-81499.3400000002</v>
      </c>
      <c r="T37" s="153">
        <f t="shared" si="5"/>
        <v>-7.9430718645549514E-2</v>
      </c>
      <c r="W37" s="470"/>
      <c r="Y37" s="470"/>
    </row>
    <row r="38" spans="1:25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f>'2026'!S38</f>
        <v>23372229.859999992</v>
      </c>
      <c r="H38" s="148">
        <f>SUM('2026'!G114:J114)</f>
        <v>16596369.700000001</v>
      </c>
      <c r="I38" s="149">
        <f t="shared" si="0"/>
        <v>6775860.1599999908</v>
      </c>
      <c r="J38" s="151">
        <f t="shared" si="1"/>
        <v>0.40827363348021772</v>
      </c>
      <c r="K38" s="148">
        <f>SUM('2025'!G38:J38)</f>
        <v>17794909.77</v>
      </c>
      <c r="L38" s="149">
        <f t="shared" si="7"/>
        <v>5577320.0899999924</v>
      </c>
      <c r="M38" s="153">
        <f t="shared" si="2"/>
        <v>0.31342221804364856</v>
      </c>
      <c r="N38" s="148">
        <f>'2026'!J38</f>
        <v>8700775.929999996</v>
      </c>
      <c r="O38" s="148">
        <f>'2026'!J114</f>
        <v>4236714.57</v>
      </c>
      <c r="P38" s="149">
        <f t="shared" si="6"/>
        <v>4464061.3599999957</v>
      </c>
      <c r="Q38" s="151">
        <f t="shared" si="3"/>
        <v>1.0536611060867371</v>
      </c>
      <c r="R38" s="148">
        <f>'2025'!J38</f>
        <v>6925339.3099999977</v>
      </c>
      <c r="S38" s="149">
        <f t="shared" si="4"/>
        <v>1775436.6199999982</v>
      </c>
      <c r="T38" s="153">
        <f t="shared" si="5"/>
        <v>0.25636817786477506</v>
      </c>
      <c r="W38" s="470"/>
      <c r="Y38" s="470"/>
    </row>
    <row r="39" spans="1:25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f>'2026'!S39</f>
        <v>17337964.77</v>
      </c>
      <c r="H39" s="148">
        <f>SUM('2026'!G115:J115)</f>
        <v>26189330.759999998</v>
      </c>
      <c r="I39" s="149">
        <f t="shared" si="0"/>
        <v>-8851365.9899999984</v>
      </c>
      <c r="J39" s="151">
        <f t="shared" si="1"/>
        <v>-0.33797602814345451</v>
      </c>
      <c r="K39" s="148">
        <f>SUM('2025'!G39:J39)</f>
        <v>15701438.229999997</v>
      </c>
      <c r="L39" s="149">
        <f t="shared" si="7"/>
        <v>1636526.5400000028</v>
      </c>
      <c r="M39" s="153">
        <f t="shared" si="2"/>
        <v>0.10422781123790115</v>
      </c>
      <c r="N39" s="148">
        <f>'2026'!J39</f>
        <v>5959294.919999999</v>
      </c>
      <c r="O39" s="148">
        <f>'2026'!J115</f>
        <v>6561905.379999999</v>
      </c>
      <c r="P39" s="149">
        <f t="shared" si="6"/>
        <v>-602610.46</v>
      </c>
      <c r="Q39" s="151">
        <f t="shared" si="3"/>
        <v>-9.183467683589186E-2</v>
      </c>
      <c r="R39" s="148">
        <f>'2025'!J39</f>
        <v>5903016.0799999991</v>
      </c>
      <c r="S39" s="149">
        <f t="shared" si="4"/>
        <v>56278.839999999851</v>
      </c>
      <c r="T39" s="153">
        <f t="shared" si="5"/>
        <v>9.5339127045033223E-3</v>
      </c>
      <c r="W39" s="470"/>
      <c r="Y39" s="470"/>
    </row>
    <row r="40" spans="1:25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'2026'!S40</f>
        <v>373035030.88</v>
      </c>
      <c r="H40" s="178">
        <f>SUM('2026'!G116:J116)</f>
        <v>384674588.54000002</v>
      </c>
      <c r="I40" s="179">
        <f t="shared" si="0"/>
        <v>-11639557.660000026</v>
      </c>
      <c r="J40" s="181">
        <f t="shared" si="1"/>
        <v>-3.0258192266291895E-2</v>
      </c>
      <c r="K40" s="178">
        <f>SUM('2025'!G40:J40)</f>
        <v>359508382.18999994</v>
      </c>
      <c r="L40" s="179">
        <f t="shared" si="7"/>
        <v>13526648.690000057</v>
      </c>
      <c r="M40" s="183">
        <f t="shared" si="2"/>
        <v>3.7625405581923843E-2</v>
      </c>
      <c r="N40" s="178">
        <f>'2026'!J40</f>
        <v>92391678.49000001</v>
      </c>
      <c r="O40" s="178">
        <f>'2026'!J116</f>
        <v>93851854.440000013</v>
      </c>
      <c r="P40" s="179">
        <f t="shared" si="6"/>
        <v>-1460175.950000003</v>
      </c>
      <c r="Q40" s="181">
        <f t="shared" si="3"/>
        <v>-1.555830685192805E-2</v>
      </c>
      <c r="R40" s="178">
        <f>'2025'!J40</f>
        <v>90293045.51000002</v>
      </c>
      <c r="S40" s="179">
        <f t="shared" si="4"/>
        <v>2098632.9799999893</v>
      </c>
      <c r="T40" s="183">
        <f t="shared" si="5"/>
        <v>2.3242465332145246E-2</v>
      </c>
      <c r="W40" s="470"/>
      <c r="Y40" s="470"/>
    </row>
    <row r="41" spans="1:25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f>'2026'!S41</f>
        <v>80074006.840000004</v>
      </c>
      <c r="H41" s="148">
        <f>SUM('2026'!G117:J117)</f>
        <v>84219169.810000002</v>
      </c>
      <c r="I41" s="149">
        <f t="shared" si="0"/>
        <v>-4145162.9699999988</v>
      </c>
      <c r="J41" s="151">
        <f t="shared" si="1"/>
        <v>-4.9218758381869177E-2</v>
      </c>
      <c r="K41" s="148">
        <f>SUM('2025'!G41:J41)</f>
        <v>82705169.880000025</v>
      </c>
      <c r="L41" s="149">
        <f t="shared" si="7"/>
        <v>-2631163.0400000215</v>
      </c>
      <c r="M41" s="153">
        <f t="shared" si="2"/>
        <v>-3.1813767432165019E-2</v>
      </c>
      <c r="N41" s="148">
        <f>'2026'!J41</f>
        <v>20739212.280000001</v>
      </c>
      <c r="O41" s="148">
        <f>'2026'!J117</f>
        <v>19806039.579999998</v>
      </c>
      <c r="P41" s="149">
        <f t="shared" si="6"/>
        <v>933172.70000000298</v>
      </c>
      <c r="Q41" s="151">
        <f t="shared" si="3"/>
        <v>4.711556271665307E-2</v>
      </c>
      <c r="R41" s="148">
        <f>'2025'!J41</f>
        <v>19874612.219999999</v>
      </c>
      <c r="S41" s="149">
        <f t="shared" si="4"/>
        <v>864600.06000000238</v>
      </c>
      <c r="T41" s="153">
        <f t="shared" si="5"/>
        <v>4.3502738590791123E-2</v>
      </c>
      <c r="W41" s="470"/>
      <c r="Y41" s="470"/>
    </row>
    <row r="42" spans="1:25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f>'2026'!S42</f>
        <v>6098499.5899999999</v>
      </c>
      <c r="H42" s="148">
        <f>SUM('2026'!G118:J118)</f>
        <v>8590275.2800000012</v>
      </c>
      <c r="I42" s="149">
        <f t="shared" si="0"/>
        <v>-2491775.6900000013</v>
      </c>
      <c r="J42" s="151">
        <f t="shared" si="1"/>
        <v>-0.29006936434288533</v>
      </c>
      <c r="K42" s="148">
        <f>SUM('2025'!G42:J42)</f>
        <v>6493850.2300000004</v>
      </c>
      <c r="L42" s="149">
        <f t="shared" si="7"/>
        <v>-395350.6400000006</v>
      </c>
      <c r="M42" s="153">
        <f t="shared" si="2"/>
        <v>-6.0880775810562615E-2</v>
      </c>
      <c r="N42" s="148">
        <f>'2026'!J42</f>
        <v>1950130.22</v>
      </c>
      <c r="O42" s="148">
        <f>'2026'!J118</f>
        <v>2098727.21</v>
      </c>
      <c r="P42" s="149">
        <f t="shared" si="6"/>
        <v>-148596.99</v>
      </c>
      <c r="Q42" s="151">
        <f t="shared" si="3"/>
        <v>-7.0803384685711457E-2</v>
      </c>
      <c r="R42" s="148">
        <f>'2025'!J42</f>
        <v>2142786.8400000003</v>
      </c>
      <c r="S42" s="149">
        <f t="shared" si="4"/>
        <v>-192656.62000000034</v>
      </c>
      <c r="T42" s="153">
        <f t="shared" si="5"/>
        <v>-8.9909372413356947E-2</v>
      </c>
      <c r="W42" s="470"/>
      <c r="Y42" s="470"/>
    </row>
    <row r="43" spans="1:25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f>'2026'!S43</f>
        <v>273285770.60000002</v>
      </c>
      <c r="H43" s="148">
        <f>SUM('2026'!G119:J119)</f>
        <v>275506390.15000004</v>
      </c>
      <c r="I43" s="149">
        <f t="shared" si="0"/>
        <v>-2220619.5500000119</v>
      </c>
      <c r="J43" s="151">
        <f t="shared" si="1"/>
        <v>-8.0601380925900967E-3</v>
      </c>
      <c r="K43" s="148">
        <f>SUM('2025'!G43:J43)</f>
        <v>259510461.46999997</v>
      </c>
      <c r="L43" s="149">
        <f t="shared" si="7"/>
        <v>13775309.130000055</v>
      </c>
      <c r="M43" s="153">
        <f t="shared" si="2"/>
        <v>5.3081902948997284E-2</v>
      </c>
      <c r="N43" s="148">
        <f>'2026'!J43</f>
        <v>68370453.49000001</v>
      </c>
      <c r="O43" s="148">
        <f>'2026'!J119</f>
        <v>68592650.549999997</v>
      </c>
      <c r="P43" s="149">
        <f t="shared" si="6"/>
        <v>-222197.05999998748</v>
      </c>
      <c r="Q43" s="151">
        <f t="shared" si="3"/>
        <v>-3.2393712477697401E-3</v>
      </c>
      <c r="R43" s="148">
        <f>'2025'!J43</f>
        <v>65623487.38000001</v>
      </c>
      <c r="S43" s="149">
        <f t="shared" si="4"/>
        <v>2746966.1099999994</v>
      </c>
      <c r="T43" s="153">
        <f t="shared" si="5"/>
        <v>4.1859496038261224E-2</v>
      </c>
      <c r="W43" s="470"/>
      <c r="Y43" s="470"/>
    </row>
    <row r="44" spans="1:25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f>'2026'!S44</f>
        <v>7862894.3899999997</v>
      </c>
      <c r="H44" s="148">
        <f>SUM('2026'!G120:J120)</f>
        <v>9867511.3499999996</v>
      </c>
      <c r="I44" s="149">
        <f t="shared" si="0"/>
        <v>-2004616.96</v>
      </c>
      <c r="J44" s="151">
        <f t="shared" si="1"/>
        <v>-0.20315324592963346</v>
      </c>
      <c r="K44" s="148">
        <f>SUM('2025'!G44:J44)</f>
        <v>6219947.7199999988</v>
      </c>
      <c r="L44" s="149">
        <f t="shared" si="7"/>
        <v>1642946.6700000009</v>
      </c>
      <c r="M44" s="153">
        <f t="shared" si="2"/>
        <v>0.26414155616086132</v>
      </c>
      <c r="N44" s="148">
        <f>'2026'!J44</f>
        <v>429253.87</v>
      </c>
      <c r="O44" s="148">
        <f>'2026'!J120</f>
        <v>1964311.0899999999</v>
      </c>
      <c r="P44" s="149">
        <f t="shared" si="6"/>
        <v>-1535057.2199999997</v>
      </c>
      <c r="Q44" s="151">
        <f t="shared" si="3"/>
        <v>-0.78147358013439716</v>
      </c>
      <c r="R44" s="148">
        <f>'2025'!J44</f>
        <v>1453855.4</v>
      </c>
      <c r="S44" s="149">
        <f t="shared" si="4"/>
        <v>-1024601.5299999999</v>
      </c>
      <c r="T44" s="153">
        <f t="shared" si="5"/>
        <v>-0.7047478930848281</v>
      </c>
      <c r="W44" s="470"/>
      <c r="Y44" s="470"/>
    </row>
    <row r="45" spans="1:25">
      <c r="A45" s="135">
        <v>425</v>
      </c>
      <c r="B45" s="555" t="str">
        <f>+VLOOKUP($A45,Master!$D$30:$G$226,4,FALSE)</f>
        <v>Other Health Care Insurance</v>
      </c>
      <c r="C45" s="556"/>
      <c r="D45" s="556"/>
      <c r="E45" s="556"/>
      <c r="F45" s="556"/>
      <c r="G45" s="148">
        <f>'2026'!S45</f>
        <v>5713859.459999999</v>
      </c>
      <c r="H45" s="148">
        <f>SUM('2026'!G121:J121)</f>
        <v>6491241.9500000002</v>
      </c>
      <c r="I45" s="149">
        <f t="shared" si="0"/>
        <v>-777382.49000000115</v>
      </c>
      <c r="J45" s="151">
        <f t="shared" si="1"/>
        <v>-0.11975866806197255</v>
      </c>
      <c r="K45" s="148">
        <f>SUM('2025'!G45:J45)</f>
        <v>4578952.8899999997</v>
      </c>
      <c r="L45" s="149">
        <f t="shared" si="7"/>
        <v>1134906.5699999994</v>
      </c>
      <c r="M45" s="153">
        <f t="shared" si="2"/>
        <v>0.24785286008915453</v>
      </c>
      <c r="N45" s="148">
        <f>'2026'!J45</f>
        <v>902628.62999999919</v>
      </c>
      <c r="O45" s="148">
        <f>'2026'!J121</f>
        <v>1390126.01</v>
      </c>
      <c r="P45" s="149">
        <f t="shared" si="6"/>
        <v>-487497.38000000082</v>
      </c>
      <c r="Q45" s="151">
        <f t="shared" si="3"/>
        <v>-0.35068574826536825</v>
      </c>
      <c r="R45" s="148">
        <f>'2025'!J45</f>
        <v>1198303.67</v>
      </c>
      <c r="S45" s="149">
        <f t="shared" si="4"/>
        <v>-295675.04000000074</v>
      </c>
      <c r="T45" s="153">
        <f t="shared" si="5"/>
        <v>-0.24674466698412156</v>
      </c>
      <c r="W45" s="470"/>
      <c r="Y45" s="470"/>
    </row>
    <row r="46" spans="1:25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f>'2026'!S46</f>
        <v>131948584.06999999</v>
      </c>
      <c r="H46" s="160">
        <f>SUM('2026'!G122:J122)</f>
        <v>161194083.67000002</v>
      </c>
      <c r="I46" s="161">
        <f t="shared" si="0"/>
        <v>-29245499.600000024</v>
      </c>
      <c r="J46" s="163">
        <f t="shared" si="1"/>
        <v>-0.18143035360945403</v>
      </c>
      <c r="K46" s="160">
        <f>SUM('2025'!G46:J46)</f>
        <v>118661686.06</v>
      </c>
      <c r="L46" s="161">
        <f t="shared" si="7"/>
        <v>13286898.00999999</v>
      </c>
      <c r="M46" s="165">
        <f t="shared" si="2"/>
        <v>0.11197294131891589</v>
      </c>
      <c r="N46" s="160">
        <f>'2026'!J46</f>
        <v>25749608.459999997</v>
      </c>
      <c r="O46" s="160">
        <f>'2026'!J122</f>
        <v>41025293.770000003</v>
      </c>
      <c r="P46" s="161">
        <f t="shared" si="6"/>
        <v>-15275685.310000006</v>
      </c>
      <c r="Q46" s="163">
        <f t="shared" si="3"/>
        <v>-0.37234798111721124</v>
      </c>
      <c r="R46" s="160">
        <f>'2025'!J46</f>
        <v>36213658.170000002</v>
      </c>
      <c r="S46" s="161">
        <f t="shared" si="4"/>
        <v>-10464049.710000005</v>
      </c>
      <c r="T46" s="165">
        <f t="shared" si="5"/>
        <v>-0.28895312538926532</v>
      </c>
      <c r="W46" s="470"/>
      <c r="Y46" s="470"/>
    </row>
    <row r="47" spans="1:25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f>'2026'!S47</f>
        <v>68768172.269999996</v>
      </c>
      <c r="H47" s="160">
        <f>SUM('2026'!G123:J123)</f>
        <v>124035110.06000005</v>
      </c>
      <c r="I47" s="161">
        <f t="shared" si="0"/>
        <v>-55266937.790000051</v>
      </c>
      <c r="J47" s="163">
        <f t="shared" si="1"/>
        <v>-0.44557494860338764</v>
      </c>
      <c r="K47" s="160">
        <f>SUM('2025'!G47:J47)</f>
        <v>65635256.530000001</v>
      </c>
      <c r="L47" s="161">
        <f t="shared" si="7"/>
        <v>3132915.7399999946</v>
      </c>
      <c r="M47" s="165">
        <f t="shared" si="2"/>
        <v>4.7732208353113315E-2</v>
      </c>
      <c r="N47" s="160">
        <f>'2026'!J47</f>
        <v>13465260.769999998</v>
      </c>
      <c r="O47" s="160">
        <f>'2026'!J123</f>
        <v>33365285.109999999</v>
      </c>
      <c r="P47" s="161">
        <f t="shared" si="6"/>
        <v>-19900024.340000004</v>
      </c>
      <c r="Q47" s="163">
        <f t="shared" si="3"/>
        <v>-0.59642902119351926</v>
      </c>
      <c r="R47" s="160">
        <f>'2025'!J47</f>
        <v>33566278.810000002</v>
      </c>
      <c r="S47" s="161">
        <f t="shared" si="4"/>
        <v>-20101018.040000007</v>
      </c>
      <c r="T47" s="165">
        <f t="shared" si="5"/>
        <v>-0.5988455900572317</v>
      </c>
      <c r="W47" s="470"/>
      <c r="Y47" s="470"/>
    </row>
    <row r="48" spans="1:25" hidden="1">
      <c r="A48" s="135">
        <v>451</v>
      </c>
      <c r="B48" s="573" t="str">
        <f>+VLOOKUP($A48,Master!$D$30:$G$226,4,FALSE)</f>
        <v>Credits and Borrowings</v>
      </c>
      <c r="C48" s="574"/>
      <c r="D48" s="574"/>
      <c r="E48" s="574"/>
      <c r="F48" s="574"/>
      <c r="G48" s="148">
        <f>'2026'!S48</f>
        <v>0</v>
      </c>
      <c r="H48" s="148">
        <f>SUM('2026'!G124:J124)</f>
        <v>0</v>
      </c>
      <c r="I48" s="149">
        <f>G48-H48</f>
        <v>0</v>
      </c>
      <c r="J48" s="266" t="str">
        <f t="shared" si="1"/>
        <v>...</v>
      </c>
      <c r="K48" s="148">
        <f>SUM('2025'!G48:J48)</f>
        <v>0</v>
      </c>
      <c r="L48" s="263">
        <f t="shared" si="7"/>
        <v>0</v>
      </c>
      <c r="M48" s="548" t="str">
        <f t="shared" si="2"/>
        <v>...</v>
      </c>
      <c r="N48" s="148">
        <f>'2026'!J48</f>
        <v>0</v>
      </c>
      <c r="O48" s="148">
        <f>'2026'!J124</f>
        <v>0</v>
      </c>
      <c r="P48" s="149">
        <f t="shared" si="6"/>
        <v>0</v>
      </c>
      <c r="Q48" s="266" t="str">
        <f t="shared" si="3"/>
        <v>...</v>
      </c>
      <c r="R48" s="148">
        <f>'2025'!J48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73" t="str">
        <f>+VLOOKUP($A49,Master!$D$30:$G$226,4,FALSE)</f>
        <v>Reserves</v>
      </c>
      <c r="C49" s="574"/>
      <c r="D49" s="574"/>
      <c r="E49" s="574"/>
      <c r="F49" s="574"/>
      <c r="G49" s="148">
        <f>'2026'!S49</f>
        <v>738421.35</v>
      </c>
      <c r="H49" s="148">
        <f>SUM('2026'!G125:J125)</f>
        <v>21792604.489999998</v>
      </c>
      <c r="I49" s="149">
        <f t="shared" ref="I49:I50" si="8">G49-H49</f>
        <v>-21054183.139999997</v>
      </c>
      <c r="J49" s="267">
        <f t="shared" si="1"/>
        <v>-0.96611596606826688</v>
      </c>
      <c r="K49" s="148">
        <f>SUM('2025'!G49:J49)</f>
        <v>4368384.25</v>
      </c>
      <c r="L49" s="264">
        <f t="shared" si="7"/>
        <v>-3629962.9</v>
      </c>
      <c r="M49" s="476">
        <f t="shared" si="2"/>
        <v>-0.83096236325822304</v>
      </c>
      <c r="N49" s="148">
        <f>'2026'!J49</f>
        <v>234461.94999999998</v>
      </c>
      <c r="O49" s="148">
        <f>'2026'!J125</f>
        <v>263440.75</v>
      </c>
      <c r="P49" s="149">
        <f t="shared" si="6"/>
        <v>-28978.800000000017</v>
      </c>
      <c r="Q49" s="267">
        <f t="shared" si="3"/>
        <v>-0.11000120520458589</v>
      </c>
      <c r="R49" s="148">
        <f>'2025'!J49</f>
        <v>60894.409999999996</v>
      </c>
      <c r="S49" s="264">
        <f t="shared" si="4"/>
        <v>173567.53999999998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f>'2026'!S50</f>
        <v>0</v>
      </c>
      <c r="H50" s="148">
        <f>SUM('2026'!G126:J126)</f>
        <v>0.64</v>
      </c>
      <c r="I50" s="149">
        <f t="shared" si="8"/>
        <v>-0.64</v>
      </c>
      <c r="J50" s="268">
        <f t="shared" si="1"/>
        <v>-1</v>
      </c>
      <c r="K50" s="148">
        <f>SUM('2025'!G50:J50)</f>
        <v>4062322.96</v>
      </c>
      <c r="L50" s="264">
        <f t="shared" si="7"/>
        <v>-4062322.96</v>
      </c>
      <c r="M50" s="477">
        <f t="shared" si="2"/>
        <v>-1</v>
      </c>
      <c r="N50" s="148">
        <f>'2026'!J50</f>
        <v>0</v>
      </c>
      <c r="O50" s="148">
        <f>'2026'!J126</f>
        <v>0.16</v>
      </c>
      <c r="P50" s="149">
        <f t="shared" si="6"/>
        <v>-0.16</v>
      </c>
      <c r="Q50" s="268">
        <f t="shared" si="3"/>
        <v>-1</v>
      </c>
      <c r="R50" s="148">
        <f>'2025'!J50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5" t="str">
        <f>+VLOOKUP($A51,Master!$D$30:$G$226,4,FALSE)</f>
        <v>Repayments of liabilities form the previous period</v>
      </c>
      <c r="C51" s="576"/>
      <c r="D51" s="576"/>
      <c r="E51" s="576"/>
      <c r="F51" s="576"/>
      <c r="G51" s="295">
        <f>'2026'!S51</f>
        <v>8863220.5899999999</v>
      </c>
      <c r="H51" s="295">
        <f>SUM('2026'!G127:J127)</f>
        <v>1647429.2400000065</v>
      </c>
      <c r="I51" s="265">
        <f>G51-H51</f>
        <v>7215791.3499999931</v>
      </c>
      <c r="J51" s="269" t="str">
        <f t="shared" si="1"/>
        <v>...</v>
      </c>
      <c r="K51" s="295">
        <f>SUM('2025'!G51:J51)</f>
        <v>7258816.8899999997</v>
      </c>
      <c r="L51" s="271">
        <f t="shared" si="7"/>
        <v>1604403.7000000002</v>
      </c>
      <c r="M51" s="478">
        <f t="shared" si="2"/>
        <v>0.22102826456612834</v>
      </c>
      <c r="N51" s="295">
        <f>'2026'!J51</f>
        <v>2646571.9699999997</v>
      </c>
      <c r="O51" s="295">
        <f>'2026'!J127</f>
        <v>352947.54000000079</v>
      </c>
      <c r="P51" s="265">
        <f>N51-O51</f>
        <v>2293624.4299999988</v>
      </c>
      <c r="Q51" s="269" t="str">
        <f t="shared" si="3"/>
        <v>...</v>
      </c>
      <c r="R51" s="295">
        <f>'2025'!J51</f>
        <v>1823733.3699999999</v>
      </c>
      <c r="S51" s="271">
        <f>+N51-R51</f>
        <v>822838.59999999986</v>
      </c>
      <c r="T51" s="478">
        <f t="shared" si="5"/>
        <v>0.45118360695456272</v>
      </c>
      <c r="W51" s="470"/>
      <c r="Y51" s="470"/>
    </row>
    <row r="52" spans="1:25" ht="15.75" thickBot="1">
      <c r="A52" s="129">
        <v>1005</v>
      </c>
      <c r="B52" s="575" t="str">
        <f>+VLOOKUP($A52,Master!$D$30:$G$228,4,FALSE)</f>
        <v>Net increase of liabilities</v>
      </c>
      <c r="C52" s="576"/>
      <c r="D52" s="576"/>
      <c r="E52" s="576"/>
      <c r="F52" s="576"/>
      <c r="G52" s="148">
        <f>'2026'!S52</f>
        <v>0</v>
      </c>
      <c r="H52" s="148">
        <f>SUM('2026'!G128:J128)</f>
        <v>0</v>
      </c>
      <c r="I52" s="265">
        <f>G52-H52</f>
        <v>0</v>
      </c>
      <c r="J52" s="269" t="str">
        <f t="shared" si="1"/>
        <v>...</v>
      </c>
      <c r="K52" s="148">
        <f>SUM('2025'!G52:J52)</f>
        <v>0</v>
      </c>
      <c r="L52" s="271">
        <f t="shared" si="7"/>
        <v>0</v>
      </c>
      <c r="M52" s="478" t="str">
        <f t="shared" si="2"/>
        <v>...</v>
      </c>
      <c r="N52" s="148">
        <f>'2026'!J52</f>
        <v>0</v>
      </c>
      <c r="O52" s="148">
        <f>'2026'!J128</f>
        <v>0</v>
      </c>
      <c r="P52" s="265">
        <f>N52-O52</f>
        <v>0</v>
      </c>
      <c r="Q52" s="269" t="str">
        <f t="shared" si="3"/>
        <v>...</v>
      </c>
      <c r="R52" s="148">
        <f>'2025'!J52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>'2026'!S53</f>
        <v>-25014206.610000044</v>
      </c>
      <c r="H53" s="136">
        <f>SUM('2026'!G129:J129)</f>
        <v>-202426339.31710026</v>
      </c>
      <c r="I53" s="299">
        <f>+G53-H53</f>
        <v>177412132.70710021</v>
      </c>
      <c r="J53" s="270">
        <f t="shared" si="1"/>
        <v>-0.87642810370237756</v>
      </c>
      <c r="K53" s="136">
        <f>SUM('2025'!G53:J53)</f>
        <v>-32571746.030000001</v>
      </c>
      <c r="L53" s="272">
        <f t="shared" si="7"/>
        <v>7557539.4199999571</v>
      </c>
      <c r="M53" s="479">
        <f t="shared" si="2"/>
        <v>-0.23202745757132981</v>
      </c>
      <c r="N53" s="136">
        <f>'2026'!J53</f>
        <v>98900102.939999968</v>
      </c>
      <c r="O53" s="136">
        <f>'2026'!J129</f>
        <v>18031924.16095072</v>
      </c>
      <c r="P53" s="299">
        <f>N53-O53</f>
        <v>80868178.779049248</v>
      </c>
      <c r="Q53" s="270" t="str">
        <f t="shared" si="3"/>
        <v>...</v>
      </c>
      <c r="R53" s="136">
        <f>'2025'!J53</f>
        <v>32623608.889999926</v>
      </c>
      <c r="S53" s="272">
        <f t="shared" si="4"/>
        <v>66276494.050000042</v>
      </c>
      <c r="T53" s="479" t="str">
        <f t="shared" si="5"/>
        <v>...</v>
      </c>
      <c r="W53" s="470"/>
      <c r="Y53" s="470"/>
    </row>
    <row r="54" spans="1:25" ht="15.7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36">
        <f>'2026'!S54</f>
        <v>55175047.099999949</v>
      </c>
      <c r="H54" s="136">
        <f>SUM('2026'!G130:J130)</f>
        <v>-119327584.84710026</v>
      </c>
      <c r="I54" s="191">
        <f t="shared" si="0"/>
        <v>174502631.94710022</v>
      </c>
      <c r="J54" s="193">
        <f t="shared" si="1"/>
        <v>-1.4623830036508172</v>
      </c>
      <c r="K54" s="136">
        <f>SUM('2025'!G54:J54)</f>
        <v>32281745.370000005</v>
      </c>
      <c r="L54" s="191">
        <f t="shared" si="7"/>
        <v>22893301.729999945</v>
      </c>
      <c r="M54" s="195">
        <f t="shared" si="2"/>
        <v>0.70917174606287214</v>
      </c>
      <c r="N54" s="136">
        <f>'2026'!J54</f>
        <v>107283974.20999996</v>
      </c>
      <c r="O54" s="136">
        <f>'2026'!J130</f>
        <v>67765638.670950711</v>
      </c>
      <c r="P54" s="191">
        <f t="shared" si="6"/>
        <v>39518335.539049253</v>
      </c>
      <c r="Q54" s="193">
        <f t="shared" si="3"/>
        <v>0.5831618547998676</v>
      </c>
      <c r="R54" s="136">
        <f>'2025'!J54</f>
        <v>65896123.809999928</v>
      </c>
      <c r="S54" s="191">
        <f t="shared" si="4"/>
        <v>41387850.400000036</v>
      </c>
      <c r="T54" s="195">
        <f t="shared" si="5"/>
        <v>0.62807716155406568</v>
      </c>
      <c r="W54" s="470"/>
      <c r="Y54" s="470"/>
    </row>
    <row r="55" spans="1:25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460">
        <f>'2026'!S55</f>
        <v>145351195.78</v>
      </c>
      <c r="H55" s="460">
        <f>SUM('2026'!G131:J131)</f>
        <v>131894585.56999999</v>
      </c>
      <c r="I55" s="461">
        <f t="shared" si="0"/>
        <v>13456610.210000008</v>
      </c>
      <c r="J55" s="462">
        <f t="shared" si="1"/>
        <v>0.10202549370654967</v>
      </c>
      <c r="K55" s="460">
        <f>SUM('2025'!G55:J55)</f>
        <v>586087946.15999997</v>
      </c>
      <c r="L55" s="461">
        <f t="shared" si="7"/>
        <v>-440736750.38</v>
      </c>
      <c r="M55" s="480">
        <f t="shared" si="2"/>
        <v>-0.75199763664765829</v>
      </c>
      <c r="N55" s="460">
        <f>'2026'!J55</f>
        <v>75586170.969999999</v>
      </c>
      <c r="O55" s="460">
        <f>'2026'!J131</f>
        <v>77955174.939999998</v>
      </c>
      <c r="P55" s="461">
        <f t="shared" si="6"/>
        <v>-2369003.9699999988</v>
      </c>
      <c r="Q55" s="462">
        <f t="shared" si="3"/>
        <v>-3.0389309905639483E-2</v>
      </c>
      <c r="R55" s="460">
        <f>'2025'!J55</f>
        <v>507364176.06</v>
      </c>
      <c r="S55" s="461">
        <f t="shared" si="4"/>
        <v>-431778005.09000003</v>
      </c>
      <c r="T55" s="480">
        <f t="shared" si="5"/>
        <v>-0.851021860555915</v>
      </c>
      <c r="W55" s="470"/>
      <c r="Y55" s="470"/>
    </row>
    <row r="56" spans="1:25">
      <c r="A56" s="129">
        <v>4611</v>
      </c>
      <c r="B56" s="573" t="str">
        <f>+VLOOKUP($A56,Master!$D$30:$G$226,4,FALSE)</f>
        <v>Repayment of Domestic Debt</v>
      </c>
      <c r="C56" s="574"/>
      <c r="D56" s="574"/>
      <c r="E56" s="574"/>
      <c r="F56" s="574"/>
      <c r="G56" s="148">
        <f>'2026'!S56</f>
        <v>58994650.060000002</v>
      </c>
      <c r="H56" s="148">
        <f>SUM('2026'!G132:J132)</f>
        <v>59019553.009999998</v>
      </c>
      <c r="I56" s="197">
        <f t="shared" si="0"/>
        <v>-24902.94999999553</v>
      </c>
      <c r="J56" s="199">
        <f t="shared" si="1"/>
        <v>-4.219440631103577E-4</v>
      </c>
      <c r="K56" s="148">
        <f>SUM('2025'!G56:J56)</f>
        <v>10160694.300000001</v>
      </c>
      <c r="L56" s="197">
        <f t="shared" si="7"/>
        <v>48833955.760000005</v>
      </c>
      <c r="M56" s="201" t="str">
        <f t="shared" si="2"/>
        <v>...</v>
      </c>
      <c r="N56" s="148">
        <f>'2026'!J56</f>
        <v>51696507.350000001</v>
      </c>
      <c r="O56" s="148">
        <f>'2026'!J132</f>
        <v>51690881.789999999</v>
      </c>
      <c r="P56" s="197">
        <f t="shared" si="6"/>
        <v>5625.5600000023842</v>
      </c>
      <c r="Q56" s="199">
        <f t="shared" si="3"/>
        <v>1.0883079965351428E-4</v>
      </c>
      <c r="R56" s="148">
        <f>'2025'!J56</f>
        <v>2049822.23</v>
      </c>
      <c r="S56" s="197">
        <f t="shared" si="4"/>
        <v>49646685.120000005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48">
        <f>'2026'!S57</f>
        <v>86356545.719999999</v>
      </c>
      <c r="H57" s="148">
        <f>SUM('2026'!G133:J133)</f>
        <v>72875032.560000002</v>
      </c>
      <c r="I57" s="197">
        <f t="shared" si="0"/>
        <v>13481513.159999996</v>
      </c>
      <c r="J57" s="199">
        <f t="shared" si="1"/>
        <v>0.18499495213124328</v>
      </c>
      <c r="K57" s="148">
        <f>SUM('2025'!G57:J57)</f>
        <v>575927251.86000001</v>
      </c>
      <c r="L57" s="197">
        <f t="shared" si="7"/>
        <v>-489570706.13999999</v>
      </c>
      <c r="M57" s="201">
        <f t="shared" si="2"/>
        <v>-0.85005650376656927</v>
      </c>
      <c r="N57" s="148">
        <f>'2026'!J57</f>
        <v>23889663.620000001</v>
      </c>
      <c r="O57" s="148">
        <f>'2026'!J133</f>
        <v>26264293.149999999</v>
      </c>
      <c r="P57" s="197">
        <f t="shared" si="6"/>
        <v>-2374629.5299999975</v>
      </c>
      <c r="Q57" s="199">
        <f t="shared" si="3"/>
        <v>-9.0412847451788236E-2</v>
      </c>
      <c r="R57" s="148">
        <f>'2025'!J57</f>
        <v>505314353.82999998</v>
      </c>
      <c r="S57" s="197">
        <f t="shared" si="4"/>
        <v>-481424690.20999998</v>
      </c>
      <c r="T57" s="201">
        <f t="shared" si="5"/>
        <v>-0.95272316442442273</v>
      </c>
      <c r="W57" s="470"/>
      <c r="Y57" s="470"/>
    </row>
    <row r="58" spans="1:25" ht="15.75" thickBot="1">
      <c r="A58" s="129">
        <v>4418</v>
      </c>
      <c r="B58" s="571" t="str">
        <f>+VLOOKUP($A58,Master!$D$30:$G$226,4,FALSE)</f>
        <v>Capital Expenditure for Securities</v>
      </c>
      <c r="C58" s="572"/>
      <c r="D58" s="572"/>
      <c r="E58" s="572"/>
      <c r="F58" s="572"/>
      <c r="G58" s="313">
        <f>'2026'!S58</f>
        <v>14788482.199999999</v>
      </c>
      <c r="H58" s="313">
        <f>SUM('2026'!G134:J134)</f>
        <v>24827901.579999998</v>
      </c>
      <c r="I58" s="314">
        <f t="shared" ref="I58:I66" si="9">+G58-H58</f>
        <v>-10039419.379999999</v>
      </c>
      <c r="J58" s="315">
        <f t="shared" si="1"/>
        <v>-0.40436036640676898</v>
      </c>
      <c r="K58" s="313">
        <f>SUM('2025'!G58:J58)</f>
        <v>1042170.92</v>
      </c>
      <c r="L58" s="314">
        <f t="shared" ref="L58:L66" si="10">+G58-K58</f>
        <v>13746311.279999999</v>
      </c>
      <c r="M58" s="481" t="str">
        <f t="shared" si="2"/>
        <v>...</v>
      </c>
      <c r="N58" s="313">
        <f>'2026'!J58</f>
        <v>0</v>
      </c>
      <c r="O58" s="313">
        <f>'2026'!J134</f>
        <v>0</v>
      </c>
      <c r="P58" s="314">
        <f t="shared" ref="P58:P66" si="11">+N58-O58</f>
        <v>0</v>
      </c>
      <c r="Q58" s="315" t="str">
        <f t="shared" si="3"/>
        <v>...</v>
      </c>
      <c r="R58" s="313">
        <f>'2025'!J58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313">
        <f>'2026'!S59</f>
        <v>3949488.91</v>
      </c>
      <c r="H59" s="313">
        <f>SUM('2026'!G135:J135)</f>
        <v>3495862.48</v>
      </c>
      <c r="I59" s="314">
        <f t="shared" si="9"/>
        <v>453626.43000000017</v>
      </c>
      <c r="J59" s="315">
        <f t="shared" si="1"/>
        <v>0.12976094814805195</v>
      </c>
      <c r="K59" s="313">
        <f>SUM('2025'!G59:J59)</f>
        <v>3727499.92</v>
      </c>
      <c r="L59" s="314">
        <f t="shared" si="10"/>
        <v>221988.99000000022</v>
      </c>
      <c r="M59" s="481">
        <f t="shared" si="2"/>
        <v>5.955439162021503E-2</v>
      </c>
      <c r="N59" s="313">
        <f>'2026'!J59</f>
        <v>1020242.5700000001</v>
      </c>
      <c r="O59" s="313">
        <f>'2026'!J135</f>
        <v>739805.87</v>
      </c>
      <c r="P59" s="314">
        <f t="shared" si="11"/>
        <v>280436.70000000007</v>
      </c>
      <c r="Q59" s="315">
        <f t="shared" si="3"/>
        <v>0.37906795738184673</v>
      </c>
      <c r="R59" s="313">
        <f>'2025'!J59</f>
        <v>792552.3</v>
      </c>
      <c r="S59" s="314">
        <f t="shared" si="12"/>
        <v>227690.27000000002</v>
      </c>
      <c r="T59" s="481">
        <f t="shared" si="5"/>
        <v>0.28728737523063153</v>
      </c>
      <c r="W59" s="470"/>
      <c r="Y59" s="470"/>
    </row>
    <row r="60" spans="1:25" ht="15.7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98">
        <f>'2026'!S60</f>
        <v>-189103373.50000003</v>
      </c>
      <c r="H60" s="298">
        <f>SUM('2026'!G136:J136)</f>
        <v>-362644688.94710022</v>
      </c>
      <c r="I60" s="300">
        <f t="shared" si="9"/>
        <v>173541315.44710019</v>
      </c>
      <c r="J60" s="301">
        <f t="shared" si="1"/>
        <v>-0.47854365646704689</v>
      </c>
      <c r="K60" s="298">
        <f>SUM('2025'!G60:J60)</f>
        <v>-623429363.02999997</v>
      </c>
      <c r="L60" s="300">
        <f>+G60-K60</f>
        <v>434325989.52999997</v>
      </c>
      <c r="M60" s="482">
        <f t="shared" si="2"/>
        <v>-0.69667233416642871</v>
      </c>
      <c r="N60" s="298">
        <f>'2026'!J60</f>
        <v>22293689.399999969</v>
      </c>
      <c r="O60" s="298">
        <f>'2026'!J136</f>
        <v>-60663056.649049275</v>
      </c>
      <c r="P60" s="300">
        <f t="shared" si="11"/>
        <v>82956746.049049243</v>
      </c>
      <c r="Q60" s="301">
        <f t="shared" si="3"/>
        <v>-1.3675002650950223</v>
      </c>
      <c r="R60" s="298">
        <f>'2025'!J60</f>
        <v>-475533119.47000009</v>
      </c>
      <c r="S60" s="300">
        <f t="shared" si="12"/>
        <v>497826808.87000006</v>
      </c>
      <c r="T60" s="482">
        <f t="shared" si="5"/>
        <v>-1.046881465217075</v>
      </c>
      <c r="W60" s="470"/>
      <c r="Y60" s="470"/>
    </row>
    <row r="61" spans="1:25" ht="15.7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'2026'!S61</f>
        <v>189103373.50000003</v>
      </c>
      <c r="H61" s="136">
        <f>SUM('2026'!G137:J137)</f>
        <v>362644688.94710022</v>
      </c>
      <c r="I61" s="299">
        <f t="shared" si="9"/>
        <v>-173541315.44710019</v>
      </c>
      <c r="J61" s="302">
        <f t="shared" si="1"/>
        <v>-0.47854365646704689</v>
      </c>
      <c r="K61" s="136">
        <f>SUM('2025'!G61:J61)</f>
        <v>623429363.02999997</v>
      </c>
      <c r="L61" s="299">
        <f t="shared" si="10"/>
        <v>-434325989.52999997</v>
      </c>
      <c r="M61" s="483">
        <f t="shared" si="2"/>
        <v>-0.69667233416642871</v>
      </c>
      <c r="N61" s="136">
        <f>'2026'!J61</f>
        <v>-22293689.399999969</v>
      </c>
      <c r="O61" s="136">
        <f>'2026'!J137</f>
        <v>60663056.649049275</v>
      </c>
      <c r="P61" s="300">
        <f t="shared" si="11"/>
        <v>-82956746.049049243</v>
      </c>
      <c r="Q61" s="302">
        <f t="shared" si="3"/>
        <v>-1.3675002650950223</v>
      </c>
      <c r="R61" s="136">
        <f>'2025'!J61</f>
        <v>475533119.47000009</v>
      </c>
      <c r="S61" s="299">
        <f t="shared" si="12"/>
        <v>-497826808.87000006</v>
      </c>
      <c r="T61" s="483">
        <f t="shared" si="5"/>
        <v>-1.046881465217075</v>
      </c>
      <c r="W61" s="470"/>
      <c r="Y61" s="470"/>
    </row>
    <row r="62" spans="1:25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48">
        <f>'2026'!S62</f>
        <v>0</v>
      </c>
      <c r="H62" s="148">
        <f>SUM('2026'!G138:J138)</f>
        <v>0</v>
      </c>
      <c r="I62" s="197">
        <f t="shared" si="9"/>
        <v>0</v>
      </c>
      <c r="J62" s="199" t="str">
        <f t="shared" si="1"/>
        <v>...</v>
      </c>
      <c r="K62" s="148">
        <f>SUM('2025'!G62:J62)</f>
        <v>0</v>
      </c>
      <c r="L62" s="197">
        <f t="shared" si="10"/>
        <v>0</v>
      </c>
      <c r="M62" s="201" t="str">
        <f>IF(+IF(ISERROR(G62/K62),"…",G62/K62-1)&gt;200%,"...",IF(ISERROR(G62/K62),"…",G62/K62-1))</f>
        <v>...</v>
      </c>
      <c r="N62" s="148">
        <f>'2026'!J62</f>
        <v>0</v>
      </c>
      <c r="O62" s="148">
        <f>'2026'!J138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'2025'!J62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73" t="str">
        <f>+VLOOKUP($A63,Master!$D$30:$G$226,4,FALSE)</f>
        <v>Foreign Loans and Borrowings</v>
      </c>
      <c r="C63" s="574"/>
      <c r="D63" s="574"/>
      <c r="E63" s="574"/>
      <c r="F63" s="574"/>
      <c r="G63" s="148">
        <f>'2026'!S63</f>
        <v>21022014.75</v>
      </c>
      <c r="H63" s="148">
        <f>SUM('2026'!G139:J139)</f>
        <v>100000000</v>
      </c>
      <c r="I63" s="197">
        <f t="shared" si="9"/>
        <v>-78977985.25</v>
      </c>
      <c r="J63" s="199">
        <f t="shared" si="1"/>
        <v>-0.78977985249999993</v>
      </c>
      <c r="K63" s="148">
        <f>SUM('2025'!G63:J63)</f>
        <v>892874125.32000005</v>
      </c>
      <c r="L63" s="197">
        <f t="shared" si="10"/>
        <v>-871852110.57000005</v>
      </c>
      <c r="M63" s="201">
        <f t="shared" si="2"/>
        <v>-0.97645579129928772</v>
      </c>
      <c r="N63" s="148">
        <f>'2026'!J63</f>
        <v>3030009.4100000006</v>
      </c>
      <c r="O63" s="148">
        <f>'2026'!J139</f>
        <v>0</v>
      </c>
      <c r="P63" s="197">
        <f t="shared" si="11"/>
        <v>3030009.4100000006</v>
      </c>
      <c r="Q63" s="199" t="str">
        <f t="shared" si="3"/>
        <v>...</v>
      </c>
      <c r="R63" s="148">
        <f>'2025'!J63</f>
        <v>875107403.84000003</v>
      </c>
      <c r="S63" s="197">
        <f t="shared" si="12"/>
        <v>-872077394.43000007</v>
      </c>
      <c r="T63" s="201">
        <f t="shared" si="5"/>
        <v>-0.99653755710818559</v>
      </c>
      <c r="W63" s="470"/>
      <c r="Y63" s="470"/>
    </row>
    <row r="64" spans="1:25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48">
        <f>'2026'!S64</f>
        <v>360952.99000000011</v>
      </c>
      <c r="H64" s="148">
        <f>SUM('2026'!G140:J140)</f>
        <v>2000000</v>
      </c>
      <c r="I64" s="197">
        <f t="shared" si="9"/>
        <v>-1639047.0099999998</v>
      </c>
      <c r="J64" s="199">
        <f t="shared" si="1"/>
        <v>-0.81952350499999993</v>
      </c>
      <c r="K64" s="148">
        <f>SUM('2025'!G64:J64)</f>
        <v>716760.28</v>
      </c>
      <c r="L64" s="197">
        <f t="shared" si="10"/>
        <v>-355807.28999999992</v>
      </c>
      <c r="M64" s="201">
        <f t="shared" si="2"/>
        <v>-0.49641044562346548</v>
      </c>
      <c r="N64" s="148">
        <f>'2026'!J64</f>
        <v>200993.16000000006</v>
      </c>
      <c r="O64" s="148">
        <f>'2026'!J140</f>
        <v>500000</v>
      </c>
      <c r="P64" s="197">
        <f t="shared" si="11"/>
        <v>-299006.83999999997</v>
      </c>
      <c r="Q64" s="199">
        <f t="shared" si="3"/>
        <v>-0.59801367999999988</v>
      </c>
      <c r="R64" s="148">
        <f>'2025'!J64</f>
        <v>120196.97999999998</v>
      </c>
      <c r="S64" s="197">
        <f t="shared" si="12"/>
        <v>80796.18000000008</v>
      </c>
      <c r="T64" s="201">
        <f t="shared" si="5"/>
        <v>0.67219808684045224</v>
      </c>
      <c r="W64" s="470"/>
      <c r="Y64" s="470"/>
    </row>
    <row r="65" spans="1:25">
      <c r="A65" s="129">
        <v>73</v>
      </c>
      <c r="B65" s="573" t="str">
        <f>+VLOOKUP($A65,Master!$D$30:$G$226,4,FALSE)</f>
        <v>Receipts from Repayment of Loans and Funds Carried over from Previous Year</v>
      </c>
      <c r="C65" s="574"/>
      <c r="D65" s="574"/>
      <c r="E65" s="574"/>
      <c r="F65" s="574"/>
      <c r="G65" s="148">
        <f>'2026'!S65</f>
        <v>6835007.3500000006</v>
      </c>
      <c r="H65" s="148">
        <f>SUM('2026'!G141:J141)</f>
        <v>3249300</v>
      </c>
      <c r="I65" s="197">
        <f t="shared" si="9"/>
        <v>3585707.3500000006</v>
      </c>
      <c r="J65" s="199">
        <f t="shared" si="1"/>
        <v>1.1035322531006679</v>
      </c>
      <c r="K65" s="148">
        <f>SUM('2025'!G65:J65)</f>
        <v>6170329.6500000004</v>
      </c>
      <c r="L65" s="197">
        <f t="shared" si="10"/>
        <v>664677.70000000019</v>
      </c>
      <c r="M65" s="201">
        <f t="shared" si="2"/>
        <v>0.10772158664164722</v>
      </c>
      <c r="N65" s="148">
        <f>'2026'!J65</f>
        <v>2538097.29</v>
      </c>
      <c r="O65" s="148">
        <f>'2026'!J141</f>
        <v>812325</v>
      </c>
      <c r="P65" s="197">
        <f t="shared" si="11"/>
        <v>1725772.29</v>
      </c>
      <c r="Q65" s="199" t="str">
        <f t="shared" si="3"/>
        <v>...</v>
      </c>
      <c r="R65" s="148">
        <f>'2025'!J65</f>
        <v>1934833.07</v>
      </c>
      <c r="S65" s="197">
        <f t="shared" si="12"/>
        <v>603264.22</v>
      </c>
      <c r="T65" s="201">
        <f>IF(+IF(ISERROR(N65/R65),"…",N65/R65-1)&gt;200%,"...",IF(ISERROR(N65/R65),"…",N65/R65-1))</f>
        <v>0.31179135262557822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96">
        <f>'2026'!S66</f>
        <v>160885398.41000003</v>
      </c>
      <c r="H66" s="296">
        <f>SUM('2026'!G142:J142)</f>
        <v>257395388.94710022</v>
      </c>
      <c r="I66" s="211">
        <f t="shared" si="9"/>
        <v>-96509990.537100196</v>
      </c>
      <c r="J66" s="213">
        <f t="shared" si="1"/>
        <v>-0.3749484049884626</v>
      </c>
      <c r="K66" s="296">
        <f>SUM('2025'!G66:J66)</f>
        <v>-276331852.22000009</v>
      </c>
      <c r="L66" s="211">
        <f t="shared" si="10"/>
        <v>437217250.63000011</v>
      </c>
      <c r="M66" s="215">
        <f t="shared" si="2"/>
        <v>-1.5822180726451758</v>
      </c>
      <c r="N66" s="296">
        <f>'2026'!J66</f>
        <v>-28062789.259999968</v>
      </c>
      <c r="O66" s="296">
        <f>'2026'!J142</f>
        <v>59350731.649049275</v>
      </c>
      <c r="P66" s="211">
        <f t="shared" si="11"/>
        <v>-87413520.909049243</v>
      </c>
      <c r="Q66" s="213">
        <f t="shared" si="3"/>
        <v>-1.4728297104396268</v>
      </c>
      <c r="R66" s="296">
        <f>'2025'!J66</f>
        <v>-401629314.42000002</v>
      </c>
      <c r="S66" s="211">
        <f t="shared" si="12"/>
        <v>373566525.16000003</v>
      </c>
      <c r="T66" s="215">
        <f t="shared" si="5"/>
        <v>-0.93012763697160417</v>
      </c>
      <c r="W66" s="470"/>
      <c r="Y66" s="470"/>
    </row>
    <row r="67" spans="1:25">
      <c r="G67" s="274"/>
    </row>
    <row r="68" spans="1:25">
      <c r="G68" s="4"/>
      <c r="N68" s="549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vnSIMPsVO44F/iMkhFFU+6C6gSBmVDNZElRl+fgwyVV0IPYkc/Rp/TdRkcP1xV3a99G8GA2qCdLG7imTEAzzNQ==" saltValue="WfiBykdTFaJ9ncOqNmNCGg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77B1-7245-4EDE-88B5-2314847AD7F2}">
  <sheetPr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S8" sqref="S8:T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2025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8170744000</v>
      </c>
    </row>
    <row r="8" spans="1:23" ht="16.5" customHeight="1">
      <c r="A8" s="129"/>
      <c r="B8" s="585"/>
      <c r="C8" s="586"/>
      <c r="D8" s="586"/>
      <c r="E8" s="586"/>
      <c r="F8" s="58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3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3" ht="13.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506">
        <f>G11+G19+G24+G25+G26+G27+G28</f>
        <v>156749922.07999998</v>
      </c>
      <c r="H10" s="506">
        <f t="shared" ref="H10:L10" si="1">+H11+H19+SUM(H24:H28)</f>
        <v>178347064.72000003</v>
      </c>
      <c r="I10" s="506">
        <f t="shared" si="1"/>
        <v>245353494.29000005</v>
      </c>
      <c r="J10" s="506">
        <f t="shared" si="1"/>
        <v>317114367.18000001</v>
      </c>
      <c r="K10" s="506">
        <f t="shared" si="1"/>
        <v>199531883.55999997</v>
      </c>
      <c r="L10" s="506">
        <f t="shared" si="1"/>
        <v>225901966.91999999</v>
      </c>
      <c r="M10" s="506">
        <f t="shared" ref="M10:R10" si="2">+M11+M19+SUM(M24:M28)</f>
        <v>256796079.27000001</v>
      </c>
      <c r="N10" s="506">
        <f t="shared" si="2"/>
        <v>260028956.03</v>
      </c>
      <c r="O10" s="506">
        <f t="shared" si="2"/>
        <v>261882689.88</v>
      </c>
      <c r="P10" s="506">
        <f t="shared" si="2"/>
        <v>245929060.70999995</v>
      </c>
      <c r="Q10" s="506">
        <f t="shared" si="2"/>
        <v>196120643.80000001</v>
      </c>
      <c r="R10" s="506">
        <f t="shared" si="2"/>
        <v>330234905.69000006</v>
      </c>
      <c r="S10" s="507">
        <f>+SUM(G10:R10)</f>
        <v>2873991034.1300001</v>
      </c>
      <c r="T10" s="508">
        <f>+S10/$T$7*100</f>
        <v>35.174165707920849</v>
      </c>
    </row>
    <row r="11" spans="1:23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509">
        <f t="shared" ref="G11:I11" si="3">+SUM(G12:G18)</f>
        <v>132702629.50999998</v>
      </c>
      <c r="H11" s="509">
        <f t="shared" si="3"/>
        <v>134657233.55000004</v>
      </c>
      <c r="I11" s="509">
        <f t="shared" si="3"/>
        <v>202518041.18000007</v>
      </c>
      <c r="J11" s="509">
        <f>+SUM(J12:J18)</f>
        <v>265707637.31999999</v>
      </c>
      <c r="K11" s="509">
        <f>+SUM(K12:K18)</f>
        <v>157978153.23999998</v>
      </c>
      <c r="L11" s="509">
        <f>+SUM(L12:L18)</f>
        <v>177871216.63999999</v>
      </c>
      <c r="M11" s="509">
        <f t="shared" ref="M11:R11" si="4">+SUM(M12:M18)</f>
        <v>202252135.63</v>
      </c>
      <c r="N11" s="509">
        <f t="shared" si="4"/>
        <v>208690353.48000002</v>
      </c>
      <c r="O11" s="509">
        <f t="shared" si="4"/>
        <v>211153557.13</v>
      </c>
      <c r="P11" s="509">
        <f t="shared" si="4"/>
        <v>193702062.07999995</v>
      </c>
      <c r="Q11" s="509">
        <f t="shared" si="4"/>
        <v>154846007.13</v>
      </c>
      <c r="R11" s="510">
        <f t="shared" si="4"/>
        <v>196519134.14000002</v>
      </c>
      <c r="S11" s="511">
        <f>+SUM(G11:R11)</f>
        <v>2238598161.0300002</v>
      </c>
      <c r="T11" s="512">
        <f t="shared" ref="T11:T66" si="5">+S11/$T$7*100</f>
        <v>27.397727318711741</v>
      </c>
    </row>
    <row r="12" spans="1:23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3030555.430000002</v>
      </c>
      <c r="H12" s="148">
        <v>8431658.620000001</v>
      </c>
      <c r="I12" s="148">
        <v>8822636.5500000045</v>
      </c>
      <c r="J12" s="148">
        <v>10595893.429999994</v>
      </c>
      <c r="K12" s="148">
        <v>7860769.3199999966</v>
      </c>
      <c r="L12" s="148">
        <v>7843776.2899999982</v>
      </c>
      <c r="M12" s="148">
        <v>9900438.6000000034</v>
      </c>
      <c r="N12" s="148">
        <v>9648119.4200000018</v>
      </c>
      <c r="O12" s="148">
        <v>11794721.619999997</v>
      </c>
      <c r="P12" s="148">
        <v>7543936.3199999984</v>
      </c>
      <c r="Q12" s="148">
        <v>9039647.120000001</v>
      </c>
      <c r="R12" s="148">
        <v>17519055.849999994</v>
      </c>
      <c r="S12" s="227">
        <f>+SUM(G12:R12)</f>
        <v>112031208.56999999</v>
      </c>
      <c r="T12" s="436">
        <f t="shared" si="5"/>
        <v>1.3711261614609389</v>
      </c>
    </row>
    <row r="13" spans="1:23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4758743.2199999988</v>
      </c>
      <c r="H13" s="148">
        <v>4374185.1600000011</v>
      </c>
      <c r="I13" s="148">
        <v>69066545.550000012</v>
      </c>
      <c r="J13" s="148">
        <v>112838365.88</v>
      </c>
      <c r="K13" s="148">
        <v>8765336.6999999993</v>
      </c>
      <c r="L13" s="148">
        <v>10311268.780000001</v>
      </c>
      <c r="M13" s="148">
        <v>5773713.330000001</v>
      </c>
      <c r="N13" s="148">
        <v>2926004.7999999993</v>
      </c>
      <c r="O13" s="148">
        <v>3732962.04</v>
      </c>
      <c r="P13" s="148">
        <v>4156533.9799999995</v>
      </c>
      <c r="Q13" s="148">
        <v>3525815.43</v>
      </c>
      <c r="R13" s="148">
        <v>3201756.7499999986</v>
      </c>
      <c r="S13" s="227">
        <f t="shared" ref="S13:S65" si="6">+SUM(G13:R13)</f>
        <v>233431231.62</v>
      </c>
      <c r="T13" s="436">
        <f t="shared" si="5"/>
        <v>2.8569152530051118</v>
      </c>
      <c r="V13" s="276"/>
      <c r="W13" s="494"/>
    </row>
    <row r="14" spans="1:23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96606704.819999978</v>
      </c>
      <c r="H15" s="148">
        <v>90486320.040000021</v>
      </c>
      <c r="I15" s="148">
        <v>95190601.359999999</v>
      </c>
      <c r="J15" s="148">
        <v>101620940.56000002</v>
      </c>
      <c r="K15" s="148">
        <v>103302134.66000001</v>
      </c>
      <c r="L15" s="148">
        <v>114852175.13999997</v>
      </c>
      <c r="M15" s="148">
        <v>136015036.31999999</v>
      </c>
      <c r="N15" s="148">
        <v>142252517.13000005</v>
      </c>
      <c r="O15" s="148">
        <v>149853557.13000003</v>
      </c>
      <c r="P15" s="148">
        <v>134545730.11999997</v>
      </c>
      <c r="Q15" s="148">
        <v>107592791.44000003</v>
      </c>
      <c r="R15" s="148">
        <v>131336012.74000002</v>
      </c>
      <c r="S15" s="227">
        <f t="shared" si="6"/>
        <v>1403654521.4600003</v>
      </c>
      <c r="T15" s="436">
        <f t="shared" si="5"/>
        <v>17.179029491806379</v>
      </c>
      <c r="V15" s="276"/>
      <c r="W15" s="494"/>
    </row>
    <row r="16" spans="1:23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23651764.849999998</v>
      </c>
      <c r="H16" s="148">
        <v>25416734.460000001</v>
      </c>
      <c r="I16" s="148">
        <v>22396675.60000002</v>
      </c>
      <c r="J16" s="148">
        <v>33254768.049999993</v>
      </c>
      <c r="K16" s="148">
        <v>31121619.409999996</v>
      </c>
      <c r="L16" s="148">
        <v>37020225.660000019</v>
      </c>
      <c r="M16" s="148">
        <v>41468885.000000015</v>
      </c>
      <c r="N16" s="148">
        <v>46239123.809999965</v>
      </c>
      <c r="O16" s="148">
        <v>38081379.989999987</v>
      </c>
      <c r="P16" s="148">
        <v>39650532.630000003</v>
      </c>
      <c r="Q16" s="148">
        <v>28400492.25</v>
      </c>
      <c r="R16" s="148">
        <v>36470170.959999993</v>
      </c>
      <c r="S16" s="227">
        <f t="shared" si="6"/>
        <v>403172372.66999996</v>
      </c>
      <c r="T16" s="436">
        <f t="shared" si="5"/>
        <v>4.9343410180272436</v>
      </c>
      <c r="V16" s="276"/>
      <c r="W16" s="494"/>
    </row>
    <row r="17" spans="1:23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3527264.1999999993</v>
      </c>
      <c r="H17" s="148">
        <v>4794688.6700000009</v>
      </c>
      <c r="I17" s="148">
        <v>5839125.4399999976</v>
      </c>
      <c r="J17" s="148">
        <v>6146881.0000000009</v>
      </c>
      <c r="K17" s="148">
        <v>5626244.9799999995</v>
      </c>
      <c r="L17" s="148">
        <v>6373571.0700000003</v>
      </c>
      <c r="M17" s="148">
        <v>7389935.04</v>
      </c>
      <c r="N17" s="148">
        <v>6176594.8900000006</v>
      </c>
      <c r="O17" s="148">
        <v>6435243.1499999994</v>
      </c>
      <c r="P17" s="148">
        <v>6274901.9399999995</v>
      </c>
      <c r="Q17" s="148">
        <v>4834041.1999999983</v>
      </c>
      <c r="R17" s="148">
        <v>6489077.96</v>
      </c>
      <c r="S17" s="227">
        <f t="shared" si="6"/>
        <v>69907569.539999992</v>
      </c>
      <c r="T17" s="436">
        <f t="shared" si="5"/>
        <v>0.85558389223796494</v>
      </c>
      <c r="V17" s="276"/>
      <c r="W17" s="494"/>
    </row>
    <row r="18" spans="1:23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1127596.9900000002</v>
      </c>
      <c r="H18" s="148">
        <v>1153646.5999999999</v>
      </c>
      <c r="I18" s="148">
        <v>1202456.6800000004</v>
      </c>
      <c r="J18" s="148">
        <v>1250788.4000000001</v>
      </c>
      <c r="K18" s="148">
        <v>1302048.17</v>
      </c>
      <c r="L18" s="148">
        <v>1470199.7000000002</v>
      </c>
      <c r="M18" s="148">
        <v>1704127.3399999994</v>
      </c>
      <c r="N18" s="148">
        <v>1447993.4299999997</v>
      </c>
      <c r="O18" s="148">
        <v>1255693.2000000002</v>
      </c>
      <c r="P18" s="148">
        <v>1530427.0900000008</v>
      </c>
      <c r="Q18" s="148">
        <v>1453219.69</v>
      </c>
      <c r="R18" s="148">
        <v>1503059.8799999997</v>
      </c>
      <c r="S18" s="227">
        <f t="shared" si="6"/>
        <v>16401257.17</v>
      </c>
      <c r="T18" s="436">
        <f t="shared" si="5"/>
        <v>0.20073150217409821</v>
      </c>
      <c r="V18" s="276"/>
      <c r="W18" s="494"/>
    </row>
    <row r="19" spans="1:23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513">
        <f t="shared" ref="G19:R19" si="7">SUM(G20:G23)</f>
        <v>16612975.690000001</v>
      </c>
      <c r="H19" s="513">
        <f t="shared" si="7"/>
        <v>35354452.780000001</v>
      </c>
      <c r="I19" s="513">
        <f t="shared" si="7"/>
        <v>32433143.130000003</v>
      </c>
      <c r="J19" s="513">
        <f t="shared" si="7"/>
        <v>33755127.570000015</v>
      </c>
      <c r="K19" s="513">
        <f t="shared" si="7"/>
        <v>31771983.16</v>
      </c>
      <c r="L19" s="513">
        <f t="shared" si="7"/>
        <v>34152040.779999994</v>
      </c>
      <c r="M19" s="513">
        <f t="shared" si="7"/>
        <v>34931492.050000019</v>
      </c>
      <c r="N19" s="513">
        <f t="shared" si="7"/>
        <v>36620901.29999999</v>
      </c>
      <c r="O19" s="513">
        <f t="shared" si="7"/>
        <v>35020872.800000004</v>
      </c>
      <c r="P19" s="513">
        <f t="shared" si="7"/>
        <v>34596670.23999998</v>
      </c>
      <c r="Q19" s="513">
        <f t="shared" si="7"/>
        <v>30961281.809999995</v>
      </c>
      <c r="R19" s="513">
        <f t="shared" si="7"/>
        <v>64170339.239999987</v>
      </c>
      <c r="S19" s="514">
        <f t="shared" si="6"/>
        <v>420381280.55000001</v>
      </c>
      <c r="T19" s="515">
        <f t="shared" si="5"/>
        <v>5.1449571856614282</v>
      </c>
      <c r="V19" s="276"/>
      <c r="W19" s="494"/>
    </row>
    <row r="20" spans="1:23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14262452.49</v>
      </c>
      <c r="H20" s="148">
        <v>29554149.210000001</v>
      </c>
      <c r="I20" s="148">
        <v>27476313.780000001</v>
      </c>
      <c r="J20" s="148">
        <v>28513630.080000013</v>
      </c>
      <c r="K20" s="148">
        <v>27075161.030000001</v>
      </c>
      <c r="L20" s="148">
        <v>28518289.399999991</v>
      </c>
      <c r="M20" s="148">
        <v>29314001.12000002</v>
      </c>
      <c r="N20" s="148">
        <v>30908485.43999999</v>
      </c>
      <c r="O20" s="148">
        <v>29269872.190000001</v>
      </c>
      <c r="P20" s="148">
        <v>28683629.949999984</v>
      </c>
      <c r="Q20" s="148">
        <v>25906266.569999997</v>
      </c>
      <c r="R20" s="148">
        <v>53818912.589999989</v>
      </c>
      <c r="S20" s="227">
        <f>+SUM(G20:R20)</f>
        <v>353301163.84999996</v>
      </c>
      <c r="T20" s="436">
        <f t="shared" si="5"/>
        <v>4.3239778880601323</v>
      </c>
      <c r="V20" s="276"/>
      <c r="W20" s="494"/>
    </row>
    <row r="21" spans="1:23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314658.87999999989</v>
      </c>
      <c r="H21" s="148">
        <v>1154569.9300000002</v>
      </c>
      <c r="I21" s="148">
        <v>583561.46999999939</v>
      </c>
      <c r="J21" s="148">
        <v>524440.96000000008</v>
      </c>
      <c r="K21" s="148">
        <v>499269.08</v>
      </c>
      <c r="L21" s="148">
        <v>572757.14</v>
      </c>
      <c r="M21" s="148">
        <v>514025.99000000017</v>
      </c>
      <c r="N21" s="148">
        <v>478138.36999999994</v>
      </c>
      <c r="O21" s="148">
        <v>536571.03000000014</v>
      </c>
      <c r="P21" s="148">
        <v>591623.40999999992</v>
      </c>
      <c r="Q21" s="148">
        <v>423550.16999999993</v>
      </c>
      <c r="R21" s="148">
        <v>1273029.8600000003</v>
      </c>
      <c r="S21" s="227">
        <f t="shared" si="6"/>
        <v>7466196.29</v>
      </c>
      <c r="T21" s="436">
        <f t="shared" si="5"/>
        <v>9.1377190253421225E-2</v>
      </c>
      <c r="V21" s="276"/>
      <c r="W21" s="494"/>
    </row>
    <row r="22" spans="1:23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1216722.5599999998</v>
      </c>
      <c r="H22" s="148">
        <v>2764148.0300000003</v>
      </c>
      <c r="I22" s="148">
        <v>2567338.7400000002</v>
      </c>
      <c r="J22" s="148">
        <v>2726994.09</v>
      </c>
      <c r="K22" s="148">
        <v>2429549.14</v>
      </c>
      <c r="L22" s="148">
        <v>2974122.7600000002</v>
      </c>
      <c r="M22" s="148">
        <v>2992596.3199999994</v>
      </c>
      <c r="N22" s="148">
        <v>3041994</v>
      </c>
      <c r="O22" s="148">
        <v>3032409.4099999983</v>
      </c>
      <c r="P22" s="148">
        <v>3092583.3099999977</v>
      </c>
      <c r="Q22" s="148">
        <v>2699467.23</v>
      </c>
      <c r="R22" s="148">
        <v>5217248.6699999981</v>
      </c>
      <c r="S22" s="227">
        <f t="shared" si="6"/>
        <v>34755174.25999999</v>
      </c>
      <c r="T22" s="436">
        <f t="shared" si="5"/>
        <v>0.42536119428047181</v>
      </c>
    </row>
    <row r="23" spans="1:23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819141.76</v>
      </c>
      <c r="H23" s="148">
        <v>1881585.6099999996</v>
      </c>
      <c r="I23" s="148">
        <v>1805929.1400000001</v>
      </c>
      <c r="J23" s="148">
        <v>1990062.4400000002</v>
      </c>
      <c r="K23" s="148">
        <v>1768003.91</v>
      </c>
      <c r="L23" s="148">
        <v>2086871.4799999997</v>
      </c>
      <c r="M23" s="148">
        <v>2110868.6199999996</v>
      </c>
      <c r="N23" s="148">
        <v>2192283.4900000002</v>
      </c>
      <c r="O23" s="148">
        <v>2182020.1699999995</v>
      </c>
      <c r="P23" s="148">
        <v>2228833.5700000003</v>
      </c>
      <c r="Q23" s="148">
        <v>1931997.8400000003</v>
      </c>
      <c r="R23" s="148">
        <v>3861148.1199999996</v>
      </c>
      <c r="S23" s="227">
        <f t="shared" si="6"/>
        <v>24858746.149999999</v>
      </c>
      <c r="T23" s="436">
        <f t="shared" si="5"/>
        <v>0.30424091306740242</v>
      </c>
      <c r="V23" s="495"/>
      <c r="W23" s="494"/>
    </row>
    <row r="24" spans="1:23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876568.74000000034</v>
      </c>
      <c r="H24" s="160">
        <v>1052557.3699999999</v>
      </c>
      <c r="I24" s="160">
        <v>1107384.3999999997</v>
      </c>
      <c r="J24" s="160">
        <v>1282834.4600000002</v>
      </c>
      <c r="K24" s="160">
        <v>1223227.8200000003</v>
      </c>
      <c r="L24" s="516">
        <v>1517861.1799999995</v>
      </c>
      <c r="M24" s="516">
        <v>1891582.0999999994</v>
      </c>
      <c r="N24" s="516">
        <v>1783600.3899999997</v>
      </c>
      <c r="O24" s="516">
        <v>1722264.71</v>
      </c>
      <c r="P24" s="516">
        <v>1671469.5499999998</v>
      </c>
      <c r="Q24" s="516">
        <v>1247965.6299999997</v>
      </c>
      <c r="R24" s="516">
        <v>2009599.2599999993</v>
      </c>
      <c r="S24" s="514">
        <f t="shared" si="6"/>
        <v>17386915.609999996</v>
      </c>
      <c r="T24" s="515">
        <f t="shared" si="5"/>
        <v>0.21279476642518716</v>
      </c>
    </row>
    <row r="25" spans="1:23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4273770.1400000006</v>
      </c>
      <c r="H25" s="160">
        <v>3496530.7999999993</v>
      </c>
      <c r="I25" s="160">
        <v>4383671.12</v>
      </c>
      <c r="J25" s="160">
        <v>7314217.71</v>
      </c>
      <c r="K25" s="160">
        <v>4743652.4699999988</v>
      </c>
      <c r="L25" s="516">
        <v>7205854.8600000013</v>
      </c>
      <c r="M25" s="516">
        <v>6884049.870000002</v>
      </c>
      <c r="N25" s="516">
        <v>6686850.2999999989</v>
      </c>
      <c r="O25" s="516">
        <v>7408352.6699999999</v>
      </c>
      <c r="P25" s="516">
        <v>7790053.5899999989</v>
      </c>
      <c r="Q25" s="516">
        <v>5619437.5200000005</v>
      </c>
      <c r="R25" s="516">
        <v>10024472.729999997</v>
      </c>
      <c r="S25" s="514">
        <f t="shared" si="6"/>
        <v>75830913.780000001</v>
      </c>
      <c r="T25" s="515">
        <f t="shared" si="5"/>
        <v>0.92807844401929618</v>
      </c>
    </row>
    <row r="26" spans="1:23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2283977.9999999995</v>
      </c>
      <c r="H26" s="160">
        <v>2933440.1100000003</v>
      </c>
      <c r="I26" s="160">
        <v>2893396.9999999991</v>
      </c>
      <c r="J26" s="160">
        <v>8456369.5600000005</v>
      </c>
      <c r="K26" s="160">
        <v>3091396.080000001</v>
      </c>
      <c r="L26" s="516">
        <v>4106724.4900000007</v>
      </c>
      <c r="M26" s="516">
        <v>7202667.7500000075</v>
      </c>
      <c r="N26" s="516">
        <v>3896876.9700000021</v>
      </c>
      <c r="O26" s="516">
        <v>4916026.4600000009</v>
      </c>
      <c r="P26" s="516">
        <v>3690766.850000001</v>
      </c>
      <c r="Q26" s="516">
        <v>2624719.7699999991</v>
      </c>
      <c r="R26" s="516">
        <v>8377542.9800000023</v>
      </c>
      <c r="S26" s="514">
        <f t="shared" si="6"/>
        <v>54473906.020000011</v>
      </c>
      <c r="T26" s="515">
        <f t="shared" si="5"/>
        <v>0.66669456318788123</v>
      </c>
    </row>
    <row r="27" spans="1:23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16">
        <v>0</v>
      </c>
      <c r="M27" s="516">
        <v>0</v>
      </c>
      <c r="N27" s="516">
        <v>0</v>
      </c>
      <c r="O27" s="516">
        <v>0</v>
      </c>
      <c r="P27" s="516">
        <v>0</v>
      </c>
      <c r="Q27" s="516">
        <v>0</v>
      </c>
      <c r="R27" s="516">
        <v>0</v>
      </c>
      <c r="S27" s="514">
        <f t="shared" si="6"/>
        <v>0</v>
      </c>
      <c r="T27" s="515">
        <f t="shared" si="5"/>
        <v>0</v>
      </c>
    </row>
    <row r="28" spans="1:23" ht="13.5" thickBot="1">
      <c r="A28" s="135">
        <v>74</v>
      </c>
      <c r="B28" s="557" t="str">
        <f>+VLOOKUP($A28,Master!$D$30:$G$226,4,FALSE)</f>
        <v>Grants and Transfers</v>
      </c>
      <c r="C28" s="558"/>
      <c r="D28" s="558"/>
      <c r="E28" s="558"/>
      <c r="F28" s="558"/>
      <c r="G28" s="160">
        <v>0</v>
      </c>
      <c r="H28" s="160">
        <v>852850.1100000001</v>
      </c>
      <c r="I28" s="160">
        <v>2017857.4600000002</v>
      </c>
      <c r="J28" s="160">
        <v>598180.56000000006</v>
      </c>
      <c r="K28" s="160">
        <v>723470.78999999992</v>
      </c>
      <c r="L28" s="516">
        <v>1048268.9699999996</v>
      </c>
      <c r="M28" s="516">
        <v>3634151.87</v>
      </c>
      <c r="N28" s="516">
        <v>2350373.59</v>
      </c>
      <c r="O28" s="516">
        <v>1661616.11</v>
      </c>
      <c r="P28" s="516">
        <v>4478038.4000000041</v>
      </c>
      <c r="Q28" s="516">
        <v>821231.94</v>
      </c>
      <c r="R28" s="516">
        <v>49133817.340000026</v>
      </c>
      <c r="S28" s="514">
        <f t="shared" si="6"/>
        <v>67319857.14000003</v>
      </c>
      <c r="T28" s="517">
        <f t="shared" si="5"/>
        <v>0.8239134299153178</v>
      </c>
    </row>
    <row r="29" spans="1:23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154384467.93999997</v>
      </c>
      <c r="H29" s="136">
        <f t="shared" ref="H29:L29" si="8">+H30+H40+H46+SUM(H47:H51)</f>
        <v>212751906.03</v>
      </c>
      <c r="I29" s="136">
        <f t="shared" si="8"/>
        <v>278509462.04000002</v>
      </c>
      <c r="J29" s="136">
        <f t="shared" si="8"/>
        <v>284490758.29000008</v>
      </c>
      <c r="K29" s="136">
        <f t="shared" si="8"/>
        <v>236030617.63999996</v>
      </c>
      <c r="L29" s="136">
        <f t="shared" si="8"/>
        <v>267277962.37000003</v>
      </c>
      <c r="M29" s="136">
        <f t="shared" ref="M29:R29" si="9">+M30+M40+M46+SUM(M47:M51)</f>
        <v>242521199.67000002</v>
      </c>
      <c r="N29" s="136">
        <f t="shared" si="9"/>
        <v>235435973.85000002</v>
      </c>
      <c r="O29" s="136">
        <f t="shared" si="9"/>
        <v>276548797.13999999</v>
      </c>
      <c r="P29" s="136">
        <f t="shared" si="9"/>
        <v>277872373.45999998</v>
      </c>
      <c r="Q29" s="136">
        <f t="shared" si="9"/>
        <v>248501805.85000005</v>
      </c>
      <c r="R29" s="136">
        <f t="shared" si="9"/>
        <v>481482800.30000019</v>
      </c>
      <c r="S29" s="518">
        <f t="shared" si="6"/>
        <v>3195808124.5800004</v>
      </c>
      <c r="T29" s="519">
        <f t="shared" si="5"/>
        <v>39.112816710204115</v>
      </c>
    </row>
    <row r="30" spans="1:23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" si="10">+SUM(G31:G39)</f>
        <v>62038273.419999987</v>
      </c>
      <c r="H30" s="172">
        <f t="shared" ref="H30:L30" si="11">+SUM(H31:H39)</f>
        <v>75174121.810000017</v>
      </c>
      <c r="I30" s="172">
        <f t="shared" si="11"/>
        <v>110896202.17000002</v>
      </c>
      <c r="J30" s="172">
        <f t="shared" si="11"/>
        <v>122533148.02000006</v>
      </c>
      <c r="K30" s="172">
        <f t="shared" si="11"/>
        <v>91191485.619999975</v>
      </c>
      <c r="L30" s="172">
        <f t="shared" si="11"/>
        <v>96474017.219999999</v>
      </c>
      <c r="M30" s="172">
        <f t="shared" ref="M30:R30" si="12">+SUM(M31:M39)</f>
        <v>91812875.599999994</v>
      </c>
      <c r="N30" s="172">
        <f t="shared" si="12"/>
        <v>83390727.220000014</v>
      </c>
      <c r="O30" s="172">
        <f t="shared" si="12"/>
        <v>103621228.65000001</v>
      </c>
      <c r="P30" s="172">
        <f t="shared" si="12"/>
        <v>111468256.39999996</v>
      </c>
      <c r="Q30" s="172">
        <f t="shared" si="12"/>
        <v>97707350.410000026</v>
      </c>
      <c r="R30" s="231">
        <f t="shared" si="12"/>
        <v>204346083.25000015</v>
      </c>
      <c r="S30" s="520">
        <f t="shared" si="6"/>
        <v>1250653769.7900004</v>
      </c>
      <c r="T30" s="512">
        <f t="shared" si="5"/>
        <v>15.30648579603033</v>
      </c>
      <c r="U30" s="472"/>
    </row>
    <row r="31" spans="1:23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55835995.219999984</v>
      </c>
      <c r="H31" s="148">
        <v>57528909.890000023</v>
      </c>
      <c r="I31" s="148">
        <v>56240253.310000017</v>
      </c>
      <c r="J31" s="148">
        <v>57954305.050000042</v>
      </c>
      <c r="K31" s="148">
        <v>57928887.86999999</v>
      </c>
      <c r="L31" s="148">
        <v>57840380.260000005</v>
      </c>
      <c r="M31" s="148">
        <v>56104167.339999989</v>
      </c>
      <c r="N31" s="148">
        <v>55952683.13000001</v>
      </c>
      <c r="O31" s="148">
        <v>55652686.990000017</v>
      </c>
      <c r="P31" s="148">
        <v>58246792.709999979</v>
      </c>
      <c r="Q31" s="148">
        <v>57733313.040000014</v>
      </c>
      <c r="R31" s="148">
        <v>60027397.519999988</v>
      </c>
      <c r="S31" s="227">
        <f t="shared" si="6"/>
        <v>687045772.32999992</v>
      </c>
      <c r="T31" s="436">
        <f t="shared" si="5"/>
        <v>8.4086072495968534</v>
      </c>
      <c r="U31" s="472"/>
    </row>
    <row r="32" spans="1:23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31766.52</v>
      </c>
      <c r="H32" s="148">
        <v>1842166.1700000016</v>
      </c>
      <c r="I32" s="148">
        <v>1859578.6300000001</v>
      </c>
      <c r="J32" s="148">
        <v>2512992.9100000006</v>
      </c>
      <c r="K32" s="148">
        <v>1594579.5199999996</v>
      </c>
      <c r="L32" s="148">
        <v>2658566.0099999998</v>
      </c>
      <c r="M32" s="148">
        <v>1633324.49</v>
      </c>
      <c r="N32" s="148">
        <v>2785504.1199999996</v>
      </c>
      <c r="O32" s="148">
        <v>1966705.3199999996</v>
      </c>
      <c r="P32" s="148">
        <v>2922026.1099999994</v>
      </c>
      <c r="Q32" s="148">
        <v>2200810.23</v>
      </c>
      <c r="R32" s="148">
        <v>5617411.1200000001</v>
      </c>
      <c r="S32" s="227">
        <f t="shared" si="6"/>
        <v>27625431.150000002</v>
      </c>
      <c r="T32" s="436">
        <f t="shared" si="5"/>
        <v>0.33810178302000404</v>
      </c>
      <c r="U32" s="472"/>
    </row>
    <row r="33" spans="1:23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39625.339999999997</v>
      </c>
      <c r="H33" s="148">
        <v>1486386.8600000003</v>
      </c>
      <c r="I33" s="148">
        <v>4592010.7300000004</v>
      </c>
      <c r="J33" s="148">
        <v>3866754.5999999996</v>
      </c>
      <c r="K33" s="148">
        <v>2644539.75</v>
      </c>
      <c r="L33" s="148">
        <v>2839973.1600000006</v>
      </c>
      <c r="M33" s="148">
        <v>3117960.62</v>
      </c>
      <c r="N33" s="148">
        <v>3610133.73</v>
      </c>
      <c r="O33" s="148">
        <v>5631680.8300000001</v>
      </c>
      <c r="P33" s="148">
        <v>2816163.0100000002</v>
      </c>
      <c r="Q33" s="148">
        <v>5437931.8099999987</v>
      </c>
      <c r="R33" s="148">
        <v>10078873.640000002</v>
      </c>
      <c r="S33" s="227">
        <f t="shared" si="6"/>
        <v>46162034.080000006</v>
      </c>
      <c r="T33" s="436">
        <f t="shared" si="5"/>
        <v>0.56496732831184049</v>
      </c>
      <c r="U33" s="472"/>
    </row>
    <row r="34" spans="1:23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1240942.3700000001</v>
      </c>
      <c r="H34" s="148">
        <v>3161827.2499999995</v>
      </c>
      <c r="I34" s="148">
        <v>5712383.1800000016</v>
      </c>
      <c r="J34" s="148">
        <v>8509262.9799999986</v>
      </c>
      <c r="K34" s="148">
        <v>6665434.2199999997</v>
      </c>
      <c r="L34" s="148">
        <v>7561097.5499999989</v>
      </c>
      <c r="M34" s="148">
        <v>7217242.1999999993</v>
      </c>
      <c r="N34" s="148">
        <v>5739223.7700000005</v>
      </c>
      <c r="O34" s="148">
        <v>8395195.1900000013</v>
      </c>
      <c r="P34" s="148">
        <v>9149927.5100000016</v>
      </c>
      <c r="Q34" s="148">
        <v>8040522.5300000003</v>
      </c>
      <c r="R34" s="148">
        <v>30218573.289999995</v>
      </c>
      <c r="S34" s="227">
        <f t="shared" si="6"/>
        <v>101611632.04000001</v>
      </c>
      <c r="T34" s="436">
        <f t="shared" si="5"/>
        <v>1.2436031778746219</v>
      </c>
      <c r="U34" s="472"/>
    </row>
    <row r="35" spans="1:23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1721.01</v>
      </c>
      <c r="H35" s="148">
        <v>948846.4600000002</v>
      </c>
      <c r="I35" s="148">
        <v>3236889.07</v>
      </c>
      <c r="J35" s="148">
        <v>2562919.08</v>
      </c>
      <c r="K35" s="148">
        <v>2312541.1300000004</v>
      </c>
      <c r="L35" s="148">
        <v>3214980.1100000013</v>
      </c>
      <c r="M35" s="148">
        <v>2619371.9699999997</v>
      </c>
      <c r="N35" s="148">
        <v>2796550.34</v>
      </c>
      <c r="O35" s="148">
        <v>1842795.7999999998</v>
      </c>
      <c r="P35" s="148">
        <v>3430466.1300000004</v>
      </c>
      <c r="Q35" s="148">
        <v>3156152.7800000003</v>
      </c>
      <c r="R35" s="148">
        <v>9490390.6999999993</v>
      </c>
      <c r="S35" s="227">
        <f t="shared" si="6"/>
        <v>35613624.579999998</v>
      </c>
      <c r="T35" s="436">
        <f t="shared" si="5"/>
        <v>0.43586758537533427</v>
      </c>
      <c r="U35" s="472"/>
    </row>
    <row r="36" spans="1:23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3788619.5500000003</v>
      </c>
      <c r="H36" s="148">
        <v>3320549.13</v>
      </c>
      <c r="I36" s="148">
        <v>24471807.800000001</v>
      </c>
      <c r="J36" s="148">
        <v>33272514.919999998</v>
      </c>
      <c r="K36" s="148">
        <v>10340576.270000001</v>
      </c>
      <c r="L36" s="148">
        <v>5428174.1699999999</v>
      </c>
      <c r="M36" s="148">
        <v>4924646.7800000012</v>
      </c>
      <c r="N36" s="148">
        <v>2716052.2899999996</v>
      </c>
      <c r="O36" s="148">
        <v>23271613.460000001</v>
      </c>
      <c r="P36" s="148">
        <v>15439495.569999998</v>
      </c>
      <c r="Q36" s="148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1.9716165093411324</v>
      </c>
      <c r="U36" s="472"/>
    </row>
    <row r="37" spans="1:23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17739.240000000002</v>
      </c>
      <c r="H37" s="148">
        <v>658913.61</v>
      </c>
      <c r="I37" s="148">
        <v>1423673.45</v>
      </c>
      <c r="J37" s="148">
        <v>1026043.09</v>
      </c>
      <c r="K37" s="148">
        <v>804963.71999999986</v>
      </c>
      <c r="L37" s="148">
        <v>1422017.38</v>
      </c>
      <c r="M37" s="148">
        <v>1142860.7000000002</v>
      </c>
      <c r="N37" s="148">
        <v>749974.72999999975</v>
      </c>
      <c r="O37" s="148">
        <v>1352660.5799999996</v>
      </c>
      <c r="P37" s="148">
        <v>1141838.8899999999</v>
      </c>
      <c r="Q37" s="148">
        <v>1213486.8699999999</v>
      </c>
      <c r="R37" s="148">
        <v>3981268.7499999991</v>
      </c>
      <c r="S37" s="227">
        <f t="shared" si="6"/>
        <v>14935441.009999998</v>
      </c>
      <c r="T37" s="436">
        <f t="shared" si="5"/>
        <v>0.18279168959399533</v>
      </c>
      <c r="U37" s="472"/>
    </row>
    <row r="38" spans="1:23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651862.93000000005</v>
      </c>
      <c r="H38" s="148">
        <v>4133251.8900000006</v>
      </c>
      <c r="I38" s="148">
        <v>6084455.6400000006</v>
      </c>
      <c r="J38" s="148">
        <v>6925339.3099999977</v>
      </c>
      <c r="K38" s="148">
        <v>4645561.2299999995</v>
      </c>
      <c r="L38" s="148">
        <v>5186790.0599999987</v>
      </c>
      <c r="M38" s="148">
        <v>6248831.4699999969</v>
      </c>
      <c r="N38" s="148">
        <v>4290997.3299999936</v>
      </c>
      <c r="O38" s="148">
        <v>1662216.29</v>
      </c>
      <c r="P38" s="148">
        <v>9523418.4199999999</v>
      </c>
      <c r="Q38" s="148">
        <v>7111415.4199999999</v>
      </c>
      <c r="R38" s="148">
        <v>34674373.590000145</v>
      </c>
      <c r="S38" s="227">
        <f t="shared" si="6"/>
        <v>91138513.580000132</v>
      </c>
      <c r="T38" s="436">
        <f t="shared" si="5"/>
        <v>1.1154249059816357</v>
      </c>
      <c r="U38" s="472"/>
    </row>
    <row r="39" spans="1:23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v>430001.24</v>
      </c>
      <c r="H39" s="148">
        <v>2093270.5499999993</v>
      </c>
      <c r="I39" s="148">
        <v>7275150.3600000003</v>
      </c>
      <c r="J39" s="148">
        <v>5903016.0799999991</v>
      </c>
      <c r="K39" s="148">
        <v>4254401.9099999992</v>
      </c>
      <c r="L39" s="148">
        <v>10322038.519999998</v>
      </c>
      <c r="M39" s="148">
        <v>8804470.0299999975</v>
      </c>
      <c r="N39" s="148">
        <v>4749607.7800000012</v>
      </c>
      <c r="O39" s="148">
        <v>3845674.19</v>
      </c>
      <c r="P39" s="148">
        <v>8798128.0500000007</v>
      </c>
      <c r="Q39" s="148">
        <v>4890298.6499999994</v>
      </c>
      <c r="R39" s="148">
        <v>24059526.020000003</v>
      </c>
      <c r="S39" s="227">
        <f t="shared" si="6"/>
        <v>85425583.379999995</v>
      </c>
      <c r="T39" s="436">
        <f t="shared" si="5"/>
        <v>1.0455055669349083</v>
      </c>
      <c r="U39" s="472"/>
    </row>
    <row r="40" spans="1:23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82167964.540000007</v>
      </c>
      <c r="H40" s="178">
        <f t="shared" ref="H40:L40" si="13">+SUM(H41:H45)</f>
        <v>94348979.949999958</v>
      </c>
      <c r="I40" s="178">
        <f t="shared" si="13"/>
        <v>92698392.189999998</v>
      </c>
      <c r="J40" s="178">
        <f t="shared" si="13"/>
        <v>90293045.51000002</v>
      </c>
      <c r="K40" s="178">
        <f t="shared" si="13"/>
        <v>90665419.499999985</v>
      </c>
      <c r="L40" s="178">
        <f t="shared" si="13"/>
        <v>93385424.450000003</v>
      </c>
      <c r="M40" s="178">
        <f t="shared" ref="M40:R40" si="14">+SUM(M41:M45)</f>
        <v>92683231.180000022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87451565.550000012</v>
      </c>
      <c r="R40" s="178">
        <f t="shared" si="14"/>
        <v>99948808.680000007</v>
      </c>
      <c r="S40" s="521">
        <f t="shared" si="6"/>
        <v>1107596371.1500001</v>
      </c>
      <c r="T40" s="522">
        <f t="shared" si="5"/>
        <v>13.55563668559436</v>
      </c>
      <c r="U40" s="472"/>
    </row>
    <row r="41" spans="1:23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19199401.200000003</v>
      </c>
      <c r="H41" s="148">
        <v>22395140.600000005</v>
      </c>
      <c r="I41" s="148">
        <v>21236015.860000007</v>
      </c>
      <c r="J41" s="148">
        <v>19874612.219999999</v>
      </c>
      <c r="K41" s="148">
        <v>19544794.68</v>
      </c>
      <c r="L41" s="148">
        <v>20328527.629999995</v>
      </c>
      <c r="M41" s="148">
        <v>20317695.200000003</v>
      </c>
      <c r="N41" s="148">
        <v>21306570.510000002</v>
      </c>
      <c r="O41" s="148">
        <v>19728465.5</v>
      </c>
      <c r="P41" s="148">
        <v>22440561.820000004</v>
      </c>
      <c r="Q41" s="148">
        <v>13869495.760000002</v>
      </c>
      <c r="R41" s="148">
        <v>21112054.329999998</v>
      </c>
      <c r="S41" s="227">
        <f t="shared" si="6"/>
        <v>241353335.31</v>
      </c>
      <c r="T41" s="436">
        <f t="shared" si="5"/>
        <v>2.9538721970728736</v>
      </c>
      <c r="U41" s="472"/>
    </row>
    <row r="42" spans="1:23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37260</v>
      </c>
      <c r="H42" s="148">
        <v>2145915.9300000002</v>
      </c>
      <c r="I42" s="148">
        <v>2167887.46</v>
      </c>
      <c r="J42" s="148">
        <v>2142786.8400000003</v>
      </c>
      <c r="K42" s="148">
        <v>2091283.2200000002</v>
      </c>
      <c r="L42" s="148">
        <v>2092533.03</v>
      </c>
      <c r="M42" s="148">
        <v>2074198.53</v>
      </c>
      <c r="N42" s="148">
        <v>2056772.54</v>
      </c>
      <c r="O42" s="148">
        <v>2096311.3499999999</v>
      </c>
      <c r="P42" s="148">
        <v>2028607.22</v>
      </c>
      <c r="Q42" s="148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0.31409761302030759</v>
      </c>
      <c r="U42" s="472"/>
    </row>
    <row r="43" spans="1:23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62931303.340000004</v>
      </c>
      <c r="H43" s="148">
        <v>65497529.849999964</v>
      </c>
      <c r="I43" s="148">
        <v>65458140.899999999</v>
      </c>
      <c r="J43" s="148">
        <v>65623487.38000001</v>
      </c>
      <c r="K43" s="148">
        <v>65646943.669999987</v>
      </c>
      <c r="L43" s="148">
        <v>66986411.460000008</v>
      </c>
      <c r="M43" s="148">
        <v>66789126.960000016</v>
      </c>
      <c r="N43" s="148">
        <v>66911161.070000008</v>
      </c>
      <c r="O43" s="148">
        <v>67160706.24000001</v>
      </c>
      <c r="P43" s="148">
        <v>67815727.029999986</v>
      </c>
      <c r="Q43" s="148">
        <v>67918600.040000007</v>
      </c>
      <c r="R43" s="148">
        <v>67958544.320000008</v>
      </c>
      <c r="S43" s="227">
        <f t="shared" si="6"/>
        <v>796697682.26000011</v>
      </c>
      <c r="T43" s="436">
        <f t="shared" si="5"/>
        <v>9.7506136804677777</v>
      </c>
      <c r="U43" s="472"/>
    </row>
    <row r="44" spans="1:23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0</v>
      </c>
      <c r="H44" s="148">
        <v>2943314.7199999997</v>
      </c>
      <c r="I44" s="148">
        <v>1822777.5999999999</v>
      </c>
      <c r="J44" s="148">
        <v>1453855.4</v>
      </c>
      <c r="K44" s="148">
        <v>1873268.4400000004</v>
      </c>
      <c r="L44" s="148">
        <v>2658340.8699999996</v>
      </c>
      <c r="M44" s="148">
        <v>2206882.3800000004</v>
      </c>
      <c r="N44" s="148">
        <v>2543110.1900000004</v>
      </c>
      <c r="O44" s="148">
        <v>2548955.6000000006</v>
      </c>
      <c r="P44" s="148">
        <v>2451167.83</v>
      </c>
      <c r="Q44" s="148">
        <v>2785028.7300000004</v>
      </c>
      <c r="R44" s="148">
        <v>3751437.46</v>
      </c>
      <c r="S44" s="227">
        <f t="shared" si="6"/>
        <v>27038139.220000003</v>
      </c>
      <c r="T44" s="436">
        <f t="shared" si="5"/>
        <v>0.33091404185469525</v>
      </c>
      <c r="U44" s="472"/>
    </row>
    <row r="45" spans="1:23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0</v>
      </c>
      <c r="H45" s="148">
        <v>1367078.8499999996</v>
      </c>
      <c r="I45" s="148">
        <v>2013570.37</v>
      </c>
      <c r="J45" s="148">
        <v>1198303.67</v>
      </c>
      <c r="K45" s="148">
        <v>1509129.4900000002</v>
      </c>
      <c r="L45" s="148">
        <v>1319611.4600000002</v>
      </c>
      <c r="M45" s="148">
        <v>1295328.1099999999</v>
      </c>
      <c r="N45" s="148">
        <v>1574364.1899999997</v>
      </c>
      <c r="O45" s="148">
        <v>1624128.7800000005</v>
      </c>
      <c r="P45" s="148">
        <v>1666929.73</v>
      </c>
      <c r="Q45" s="148">
        <v>842885.63</v>
      </c>
      <c r="R45" s="148">
        <v>2431772.2100000014</v>
      </c>
      <c r="S45" s="227">
        <f t="shared" si="6"/>
        <v>16843102.490000002</v>
      </c>
      <c r="T45" s="436">
        <f t="shared" si="5"/>
        <v>0.2061391531787069</v>
      </c>
      <c r="U45" s="472"/>
    </row>
    <row r="46" spans="1:23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32294980.560000002</v>
      </c>
      <c r="O46" s="160">
        <v>40483162.600000001</v>
      </c>
      <c r="P46" s="160">
        <v>41566269.539999999</v>
      </c>
      <c r="Q46" s="160">
        <v>35918614.609999999</v>
      </c>
      <c r="R46" s="160">
        <v>81209867.359999999</v>
      </c>
      <c r="S46" s="514">
        <f t="shared" si="6"/>
        <v>467904530.26000005</v>
      </c>
      <c r="T46" s="515">
        <f t="shared" si="5"/>
        <v>5.7265841428883348</v>
      </c>
      <c r="U46" s="472"/>
    </row>
    <row r="47" spans="1:23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125800.66000000002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>
        <v>91427306.780000001</v>
      </c>
      <c r="S47" s="514">
        <f t="shared" si="6"/>
        <v>331775178.20000005</v>
      </c>
      <c r="T47" s="515">
        <f t="shared" si="5"/>
        <v>4.0605259227311494</v>
      </c>
      <c r="U47" s="472"/>
      <c r="V47" s="292"/>
      <c r="W47" s="292"/>
    </row>
    <row r="48" spans="1:23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0</v>
      </c>
      <c r="H49" s="148">
        <v>209850</v>
      </c>
      <c r="I49" s="148">
        <v>4097639.84</v>
      </c>
      <c r="J49" s="148">
        <v>60894.409999999996</v>
      </c>
      <c r="K49" s="148">
        <v>22681.05</v>
      </c>
      <c r="L49" s="148">
        <v>196045.28999999998</v>
      </c>
      <c r="M49" s="148">
        <v>28857.670000000002</v>
      </c>
      <c r="N49" s="148">
        <v>2000</v>
      </c>
      <c r="O49" s="148">
        <v>53111.65</v>
      </c>
      <c r="P49" s="148">
        <v>22666.7</v>
      </c>
      <c r="Q49" s="148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9.0013801435952459E-2</v>
      </c>
      <c r="U49" s="472"/>
    </row>
    <row r="50" spans="1:21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4062322.96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4062322.96</v>
      </c>
      <c r="T50" s="436">
        <f t="shared" si="5"/>
        <v>4.9717907696043354E-2</v>
      </c>
      <c r="U50" s="472"/>
    </row>
    <row r="51" spans="1:21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1050360.8299999998</v>
      </c>
      <c r="H51" s="430">
        <v>2197777.1399999997</v>
      </c>
      <c r="I51" s="430">
        <v>2186945.5499999998</v>
      </c>
      <c r="J51" s="430">
        <v>1823733.3699999999</v>
      </c>
      <c r="K51" s="430">
        <v>1744824.6599999997</v>
      </c>
      <c r="L51" s="430">
        <v>1298140.2</v>
      </c>
      <c r="M51" s="430">
        <v>3501066.26</v>
      </c>
      <c r="N51" s="430">
        <v>737916.52000000025</v>
      </c>
      <c r="O51" s="430">
        <v>6379172.5600000015</v>
      </c>
      <c r="P51" s="430">
        <v>2068707.7800000005</v>
      </c>
      <c r="Q51" s="430">
        <v>1319744.9099999997</v>
      </c>
      <c r="R51" s="430">
        <v>2152765.16</v>
      </c>
      <c r="S51" s="398">
        <f>+SUM(G51:R51)</f>
        <v>26461154.940000001</v>
      </c>
      <c r="T51" s="440">
        <f t="shared" si="5"/>
        <v>0.32385245382795008</v>
      </c>
      <c r="U51" s="472"/>
    </row>
    <row r="52" spans="1:21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15">+G10-G29</f>
        <v>2365454.1400000155</v>
      </c>
      <c r="H53" s="136">
        <f t="shared" si="15"/>
        <v>-34404841.309999973</v>
      </c>
      <c r="I53" s="136">
        <f t="shared" si="15"/>
        <v>-33155967.74999997</v>
      </c>
      <c r="J53" s="136">
        <f t="shared" si="15"/>
        <v>32623608.889999926</v>
      </c>
      <c r="K53" s="136">
        <f t="shared" si="15"/>
        <v>-36498734.079999983</v>
      </c>
      <c r="L53" s="136">
        <f t="shared" si="15"/>
        <v>-41375995.450000048</v>
      </c>
      <c r="M53" s="136">
        <f t="shared" si="15"/>
        <v>14274879.599999994</v>
      </c>
      <c r="N53" s="136">
        <f t="shared" si="15"/>
        <v>24592982.179999977</v>
      </c>
      <c r="O53" s="136">
        <f t="shared" si="15"/>
        <v>-14666107.25999999</v>
      </c>
      <c r="P53" s="136">
        <f t="shared" si="15"/>
        <v>-31943312.75000003</v>
      </c>
      <c r="Q53" s="136">
        <f t="shared" si="15"/>
        <v>-52381162.050000042</v>
      </c>
      <c r="R53" s="136">
        <f t="shared" si="15"/>
        <v>-151247894.61000013</v>
      </c>
      <c r="S53" s="523">
        <f>SUM(G53:R53)</f>
        <v>-321817090.45000029</v>
      </c>
      <c r="T53" s="524">
        <f t="shared" si="5"/>
        <v>-3.9386510022832715</v>
      </c>
    </row>
    <row r="54" spans="1:21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16">+G53+G36</f>
        <v>6154073.6900000162</v>
      </c>
      <c r="H54" s="190">
        <f t="shared" si="16"/>
        <v>-31084292.179999974</v>
      </c>
      <c r="I54" s="190">
        <f t="shared" si="16"/>
        <v>-8684159.9499999695</v>
      </c>
      <c r="J54" s="190">
        <f t="shared" si="16"/>
        <v>65896123.809999928</v>
      </c>
      <c r="K54" s="190">
        <f t="shared" si="16"/>
        <v>-26158157.80999998</v>
      </c>
      <c r="L54" s="190">
        <f t="shared" si="16"/>
        <v>-35947821.280000046</v>
      </c>
      <c r="M54" s="190">
        <f t="shared" si="16"/>
        <v>19199526.379999995</v>
      </c>
      <c r="N54" s="190">
        <f t="shared" si="16"/>
        <v>27309034.469999976</v>
      </c>
      <c r="O54" s="190">
        <f t="shared" si="16"/>
        <v>8605506.2000000104</v>
      </c>
      <c r="P54" s="190">
        <f t="shared" si="16"/>
        <v>-16503817.180000031</v>
      </c>
      <c r="Q54" s="190">
        <f t="shared" si="16"/>
        <v>-44457742.970000044</v>
      </c>
      <c r="R54" s="190">
        <f t="shared" si="16"/>
        <v>-125049625.99000013</v>
      </c>
      <c r="S54" s="523">
        <f t="shared" si="6"/>
        <v>-160721352.81000024</v>
      </c>
      <c r="T54" s="524">
        <f t="shared" si="5"/>
        <v>-1.9670344929421391</v>
      </c>
    </row>
    <row r="55" spans="1:21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24725000.399999995</v>
      </c>
      <c r="R55" s="178">
        <f>+SUM(R56:R57)</f>
        <v>30219638.550000001</v>
      </c>
      <c r="S55" s="525">
        <f t="shared" si="6"/>
        <v>803793986.27999997</v>
      </c>
      <c r="T55" s="526">
        <f t="shared" si="5"/>
        <v>9.8374638378096293</v>
      </c>
    </row>
    <row r="56" spans="1:21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1984895.29</v>
      </c>
      <c r="H56" s="196">
        <v>1705490.1300000001</v>
      </c>
      <c r="I56" s="196">
        <v>4420486.6500000004</v>
      </c>
      <c r="J56" s="196">
        <v>2049822.23</v>
      </c>
      <c r="K56" s="196">
        <v>2795674.89</v>
      </c>
      <c r="L56" s="196">
        <v>15431758.250000002</v>
      </c>
      <c r="M56" s="196">
        <v>1723907.95</v>
      </c>
      <c r="N56" s="196">
        <v>1755694.7399999998</v>
      </c>
      <c r="O56" s="196">
        <v>4555783.9000000004</v>
      </c>
      <c r="P56" s="196">
        <v>1755147.06</v>
      </c>
      <c r="Q56" s="196">
        <v>2864397.9</v>
      </c>
      <c r="R56" s="196">
        <v>15776242.57</v>
      </c>
      <c r="S56" s="235">
        <f t="shared" si="6"/>
        <v>56819301.560000002</v>
      </c>
      <c r="T56" s="444">
        <f t="shared" si="5"/>
        <v>0.69539936093946897</v>
      </c>
    </row>
    <row r="57" spans="1:21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32635767.399999999</v>
      </c>
      <c r="H57" s="196">
        <v>6574864.2100000009</v>
      </c>
      <c r="I57" s="196">
        <v>31402266.420000002</v>
      </c>
      <c r="J57" s="196">
        <v>505314353.82999998</v>
      </c>
      <c r="K57" s="196">
        <v>46539748.249999993</v>
      </c>
      <c r="L57" s="196">
        <v>22801737.869999997</v>
      </c>
      <c r="M57" s="196">
        <v>32743948.25</v>
      </c>
      <c r="N57" s="196">
        <v>5793930.1200000001</v>
      </c>
      <c r="O57" s="196">
        <v>21549362.939999998</v>
      </c>
      <c r="P57" s="196">
        <v>5314706.95</v>
      </c>
      <c r="Q57" s="196">
        <v>21860602.499999996</v>
      </c>
      <c r="R57" s="196">
        <v>14443395.98</v>
      </c>
      <c r="S57" s="235">
        <f>+SUM(G57:R57)</f>
        <v>746974684.72000003</v>
      </c>
      <c r="T57" s="444">
        <f t="shared" si="5"/>
        <v>9.1420644768701607</v>
      </c>
    </row>
    <row r="58" spans="1:21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25">
        <f>SUM(G58:R58)</f>
        <v>1485604.84</v>
      </c>
      <c r="T58" s="527">
        <f t="shared" si="5"/>
        <v>1.818200203065963E-2</v>
      </c>
    </row>
    <row r="59" spans="1:21" ht="13.5" thickBot="1">
      <c r="A59" s="135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148">
        <v>0</v>
      </c>
      <c r="H59" s="148">
        <v>1478222</v>
      </c>
      <c r="I59" s="148">
        <v>1456725.62</v>
      </c>
      <c r="J59" s="148">
        <v>792552.3</v>
      </c>
      <c r="K59" s="148">
        <v>768533.87</v>
      </c>
      <c r="L59" s="148">
        <v>776984.56</v>
      </c>
      <c r="M59" s="148">
        <v>287960.95</v>
      </c>
      <c r="N59" s="148">
        <v>11164.5</v>
      </c>
      <c r="O59" s="148">
        <v>1103772.82</v>
      </c>
      <c r="P59" s="148">
        <v>1401425.2</v>
      </c>
      <c r="Q59" s="148">
        <v>280526.68</v>
      </c>
      <c r="R59" s="432">
        <v>818668</v>
      </c>
      <c r="S59" s="525">
        <f>SUM(G59:R59)</f>
        <v>9176536.5</v>
      </c>
      <c r="T59" s="527">
        <f t="shared" si="5"/>
        <v>0.11230968073409227</v>
      </c>
    </row>
    <row r="60" spans="1:21" ht="13.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02">
        <f>+G53-G55-G58-G59</f>
        <v>-32255208.549999982</v>
      </c>
      <c r="H60" s="202">
        <f t="shared" ref="H60:S60" si="20">+H53-H55-H58-H59</f>
        <v>-44163417.649999976</v>
      </c>
      <c r="I60" s="202">
        <f t="shared" si="20"/>
        <v>-71477617.35999997</v>
      </c>
      <c r="J60" s="202">
        <f t="shared" si="20"/>
        <v>-475533119.47000009</v>
      </c>
      <c r="K60" s="202">
        <f t="shared" si="20"/>
        <v>-86602691.089999974</v>
      </c>
      <c r="L60" s="202">
        <f t="shared" si="20"/>
        <v>-80747171.630000055</v>
      </c>
      <c r="M60" s="202">
        <f t="shared" si="20"/>
        <v>-20563628.670000009</v>
      </c>
      <c r="N60" s="202">
        <f t="shared" si="20"/>
        <v>17032192.819999978</v>
      </c>
      <c r="O60" s="202">
        <f t="shared" si="20"/>
        <v>-41875026.919999987</v>
      </c>
      <c r="P60" s="202">
        <f t="shared" si="20"/>
        <v>-40414591.960000031</v>
      </c>
      <c r="Q60" s="202">
        <f t="shared" si="20"/>
        <v>-77386689.13000004</v>
      </c>
      <c r="R60" s="202">
        <f t="shared" si="20"/>
        <v>-182286248.46000016</v>
      </c>
      <c r="S60" s="525">
        <f t="shared" si="20"/>
        <v>-1136273218.0700002</v>
      </c>
      <c r="T60" s="528">
        <f t="shared" si="5"/>
        <v>-13.906606522857651</v>
      </c>
    </row>
    <row r="61" spans="1:21" ht="13.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+SUM(G62:G66)</f>
        <v>32255208.549999982</v>
      </c>
      <c r="H61" s="136">
        <f t="shared" ref="H61:L61" si="21">+SUM(H62:H66)</f>
        <v>44163417.649999976</v>
      </c>
      <c r="I61" s="136">
        <f t="shared" si="21"/>
        <v>71477617.35999997</v>
      </c>
      <c r="J61" s="136">
        <f t="shared" si="21"/>
        <v>475533119.47000009</v>
      </c>
      <c r="K61" s="136">
        <f t="shared" si="21"/>
        <v>86602691.089999974</v>
      </c>
      <c r="L61" s="136">
        <f t="shared" si="21"/>
        <v>80747171.630000055</v>
      </c>
      <c r="M61" s="136">
        <f t="shared" ref="M61:R61" si="22">+SUM(M62:M66)</f>
        <v>20563628.670000009</v>
      </c>
      <c r="N61" s="136">
        <f t="shared" si="22"/>
        <v>-17032192.819999978</v>
      </c>
      <c r="O61" s="136">
        <f t="shared" si="22"/>
        <v>41875026.919999987</v>
      </c>
      <c r="P61" s="136">
        <f t="shared" si="22"/>
        <v>40414591.960000031</v>
      </c>
      <c r="Q61" s="136">
        <f t="shared" si="22"/>
        <v>77386689.13000004</v>
      </c>
      <c r="R61" s="136">
        <f t="shared" si="22"/>
        <v>182286248.46000016</v>
      </c>
      <c r="S61" s="529">
        <f t="shared" si="6"/>
        <v>1136273218.0700002</v>
      </c>
      <c r="T61" s="530">
        <f t="shared" si="5"/>
        <v>13.906606522857651</v>
      </c>
    </row>
    <row r="62" spans="1:21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6127675</v>
      </c>
      <c r="M62" s="457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49867022</v>
      </c>
      <c r="S62" s="235">
        <f t="shared" si="6"/>
        <v>55994697</v>
      </c>
      <c r="T62" s="444">
        <f t="shared" si="5"/>
        <v>0.68530720091095743</v>
      </c>
    </row>
    <row r="63" spans="1:21">
      <c r="A63" s="129">
        <v>7512</v>
      </c>
      <c r="B63" s="573" t="str">
        <f>+VLOOKUP($A63,Master!$D$30:$G$226,4,FALSE)</f>
        <v>Foreign Loans and Borrowings</v>
      </c>
      <c r="C63" s="574"/>
      <c r="D63" s="574"/>
      <c r="E63" s="574"/>
      <c r="F63" s="574"/>
      <c r="G63" s="196">
        <v>1824723.8699999999</v>
      </c>
      <c r="H63" s="196">
        <v>12400327.83</v>
      </c>
      <c r="I63" s="196">
        <v>3541669.7800000003</v>
      </c>
      <c r="J63" s="196">
        <v>875107403.84000003</v>
      </c>
      <c r="K63" s="196">
        <v>13247476.579999998</v>
      </c>
      <c r="L63" s="196">
        <v>17223432.43</v>
      </c>
      <c r="M63" s="457">
        <v>2262202.15</v>
      </c>
      <c r="N63" s="196">
        <v>5098569.58</v>
      </c>
      <c r="O63" s="196">
        <v>11385734.539999999</v>
      </c>
      <c r="P63" s="196">
        <v>8898787.9399999995</v>
      </c>
      <c r="Q63" s="196">
        <v>7017571.3999999994</v>
      </c>
      <c r="R63" s="196">
        <v>455783810.64000005</v>
      </c>
      <c r="S63" s="235">
        <f t="shared" si="6"/>
        <v>1413791710.5800002</v>
      </c>
      <c r="T63" s="444">
        <f t="shared" si="5"/>
        <v>17.303096395872885</v>
      </c>
    </row>
    <row r="64" spans="1:21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96">
        <v>106186.26999999999</v>
      </c>
      <c r="H64" s="196">
        <v>433611.13</v>
      </c>
      <c r="I64" s="196">
        <v>56765.9</v>
      </c>
      <c r="J64" s="196">
        <v>120196.97999999998</v>
      </c>
      <c r="K64" s="196">
        <v>111116.87999999996</v>
      </c>
      <c r="L64" s="196">
        <v>96396.750000000015</v>
      </c>
      <c r="M64" s="457">
        <v>164141.29999999999</v>
      </c>
      <c r="N64" s="196">
        <v>213815.58</v>
      </c>
      <c r="O64" s="196">
        <v>103884.06</v>
      </c>
      <c r="P64" s="196">
        <v>186399.44000000003</v>
      </c>
      <c r="Q64" s="196">
        <v>3374180.95</v>
      </c>
      <c r="R64" s="196">
        <v>5201509.790000001</v>
      </c>
      <c r="S64" s="235">
        <f t="shared" si="6"/>
        <v>10168205.030000001</v>
      </c>
      <c r="T64" s="444">
        <f t="shared" si="5"/>
        <v>0.12444650119989074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870177.48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>
        <v>2924725.4</v>
      </c>
      <c r="S65" s="228">
        <f t="shared" si="6"/>
        <v>20227804.669999998</v>
      </c>
      <c r="T65" s="437">
        <f t="shared" si="5"/>
        <v>0.24756380410400811</v>
      </c>
    </row>
    <row r="66" spans="1:20" ht="13.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10">
        <f>-G60-SUM(G62:G65)</f>
        <v>27390153.529999983</v>
      </c>
      <c r="H66" s="210">
        <f t="shared" ref="H66:L66" si="23">-H60-SUM(H62:H65)</f>
        <v>30651472.779999975</v>
      </c>
      <c r="I66" s="210">
        <f t="shared" si="23"/>
        <v>67255835.889999971</v>
      </c>
      <c r="J66" s="210">
        <f t="shared" si="23"/>
        <v>-401629314.42000002</v>
      </c>
      <c r="K66" s="210">
        <f t="shared" si="23"/>
        <v>72373920.149999976</v>
      </c>
      <c r="L66" s="210">
        <f t="shared" si="23"/>
        <v>54835462.930000052</v>
      </c>
      <c r="M66" s="210">
        <f t="shared" ref="M66:S66" si="24">-M60-SUM(M62:M65)</f>
        <v>15020507.74000001</v>
      </c>
      <c r="N66" s="210">
        <f t="shared" si="24"/>
        <v>-23506019.679999977</v>
      </c>
      <c r="O66" s="210">
        <f t="shared" si="24"/>
        <v>29808252.229999989</v>
      </c>
      <c r="P66" s="210">
        <f t="shared" si="24"/>
        <v>29091147.93000003</v>
      </c>
      <c r="Q66" s="210">
        <f t="shared" si="24"/>
        <v>66290201.080000043</v>
      </c>
      <c r="R66" s="210">
        <f t="shared" si="24"/>
        <v>-331490819.36999989</v>
      </c>
      <c r="S66" s="238">
        <f t="shared" si="24"/>
        <v>-363909199.21000004</v>
      </c>
      <c r="T66" s="448">
        <f t="shared" si="5"/>
        <v>-4.4538073792300921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27" t="str">
        <f>+Master!G253</f>
        <v>Planned Budget Execution</v>
      </c>
      <c r="C83" s="628"/>
      <c r="D83" s="628"/>
      <c r="E83" s="628"/>
      <c r="F83" s="628"/>
      <c r="G83" s="635">
        <v>2025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96" t="str">
        <f>+S7</f>
        <v>GDP</v>
      </c>
      <c r="T83" s="221">
        <f>+T7</f>
        <v>8170744000</v>
      </c>
    </row>
    <row r="84" spans="1:25" ht="15.75" customHeight="1">
      <c r="B84" s="629"/>
      <c r="C84" s="630"/>
      <c r="D84" s="630"/>
      <c r="E84" s="630"/>
      <c r="F84" s="631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July</v>
      </c>
      <c r="N84" s="62" t="str">
        <f t="shared" si="26"/>
        <v>August</v>
      </c>
      <c r="O84" s="62" t="str">
        <f t="shared" si="26"/>
        <v>September</v>
      </c>
      <c r="P84" s="62" t="str">
        <f t="shared" si="26"/>
        <v>October</v>
      </c>
      <c r="Q84" s="62" t="str">
        <f t="shared" si="26"/>
        <v>November</v>
      </c>
      <c r="R84" s="62" t="str">
        <f t="shared" si="26"/>
        <v>December</v>
      </c>
      <c r="S84" s="635" t="str">
        <f>+Master!G247</f>
        <v>Jan - Dec</v>
      </c>
      <c r="T84" s="637">
        <f>+T8</f>
        <v>0</v>
      </c>
    </row>
    <row r="85" spans="1:25" ht="13.5" thickBot="1">
      <c r="B85" s="632"/>
      <c r="C85" s="633"/>
      <c r="D85" s="633"/>
      <c r="E85" s="633"/>
      <c r="F85" s="63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GDP</v>
      </c>
    </row>
    <row r="86" spans="1:25" ht="13.5" thickBot="1">
      <c r="A86" s="105" t="str">
        <f t="shared" ref="A86:A134" si="27">+CONCATENATE(A10,"p")</f>
        <v>7p</v>
      </c>
      <c r="B86" s="601" t="str">
        <f>+VLOOKUP(LEFT($A86,LEN(A86)-1)*1,Master!$D$30:$G$226,4,FALSE)</f>
        <v>Total Revenues</v>
      </c>
      <c r="C86" s="602"/>
      <c r="D86" s="602"/>
      <c r="E86" s="602"/>
      <c r="F86" s="602"/>
      <c r="G86" s="497">
        <v>156165361.56999996</v>
      </c>
      <c r="H86" s="497">
        <v>186465774.61270151</v>
      </c>
      <c r="I86" s="497">
        <v>250781153.76077548</v>
      </c>
      <c r="J86" s="497">
        <v>317134934.20958984</v>
      </c>
      <c r="K86" s="497">
        <v>208696974.08136445</v>
      </c>
      <c r="L86" s="497">
        <v>240317685.16175744</v>
      </c>
      <c r="M86" s="497">
        <v>244303914.76144812</v>
      </c>
      <c r="N86" s="497">
        <v>262837561.07319617</v>
      </c>
      <c r="O86" s="497">
        <v>253424978.7566644</v>
      </c>
      <c r="P86" s="497">
        <v>262167779.34604847</v>
      </c>
      <c r="Q86" s="497">
        <v>240706635.16073</v>
      </c>
      <c r="R86" s="497">
        <v>263070247.5857037</v>
      </c>
      <c r="S86" s="531">
        <f>+SUM(G86:R86)</f>
        <v>2886073000.0799794</v>
      </c>
      <c r="T86" s="532">
        <f>+S86/$T$83*100</f>
        <v>35.322034322455579</v>
      </c>
      <c r="U86" s="276"/>
    </row>
    <row r="87" spans="1:25">
      <c r="A87" s="105" t="str">
        <f t="shared" si="27"/>
        <v>711p</v>
      </c>
      <c r="B87" s="625" t="str">
        <f>+VLOOKUP(LEFT($A87,LEN(A87)-1)*1,Master!$D$30:$G$226,4,FALSE)</f>
        <v>Taxes</v>
      </c>
      <c r="C87" s="626"/>
      <c r="D87" s="626"/>
      <c r="E87" s="626"/>
      <c r="F87" s="626"/>
      <c r="G87" s="533">
        <v>132702629.50999999</v>
      </c>
      <c r="H87" s="533">
        <v>136856183.48622844</v>
      </c>
      <c r="I87" s="533">
        <v>201920347.83324856</v>
      </c>
      <c r="J87" s="533">
        <v>247314832.20223621</v>
      </c>
      <c r="K87" s="533">
        <v>158762845.03563526</v>
      </c>
      <c r="L87" s="533">
        <v>187364739.47822165</v>
      </c>
      <c r="M87" s="533">
        <v>189417204.71386531</v>
      </c>
      <c r="N87" s="533">
        <v>203488085.79363543</v>
      </c>
      <c r="O87" s="533">
        <v>197774192.28095666</v>
      </c>
      <c r="P87" s="533">
        <v>184622585.63486344</v>
      </c>
      <c r="Q87" s="533">
        <v>164727688.03347</v>
      </c>
      <c r="R87" s="534">
        <v>178627675.42838222</v>
      </c>
      <c r="S87" s="535">
        <f t="shared" ref="S87:S141" si="28">+SUM(G87:R87)</f>
        <v>2183579009.4307432</v>
      </c>
      <c r="T87" s="512">
        <f t="shared" ref="T87:T142" si="29">+S87/$T$83*100</f>
        <v>26.724359610712845</v>
      </c>
      <c r="U87" s="276"/>
    </row>
    <row r="88" spans="1:25">
      <c r="A88" s="105" t="str">
        <f t="shared" si="27"/>
        <v>7111p</v>
      </c>
      <c r="B88" s="617" t="str">
        <f>+VLOOKUP(LEFT($A88,LEN(A88)-1)*1,Master!$D$30:$G$229,4,FALSE)</f>
        <v>Personal Income Tax</v>
      </c>
      <c r="C88" s="618"/>
      <c r="D88" s="618"/>
      <c r="E88" s="618"/>
      <c r="F88" s="618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1.3257482279911046</v>
      </c>
      <c r="U88" s="276"/>
    </row>
    <row r="89" spans="1:25">
      <c r="A89" s="105" t="str">
        <f t="shared" si="27"/>
        <v>7112p</v>
      </c>
      <c r="B89" s="617" t="str">
        <f>+VLOOKUP(LEFT($A89,LEN(A89)-1)*1,Master!$D$30:$G$229,4,FALSE)</f>
        <v>Corporate Income Tax</v>
      </c>
      <c r="C89" s="618"/>
      <c r="D89" s="618"/>
      <c r="E89" s="618"/>
      <c r="F89" s="618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2.6908547035739425</v>
      </c>
      <c r="U89" s="276"/>
    </row>
    <row r="90" spans="1:25">
      <c r="A90" s="105" t="str">
        <f t="shared" si="27"/>
        <v>7113p</v>
      </c>
      <c r="B90" s="617" t="str">
        <f>+VLOOKUP(LEFT($A90,LEN(A90)-1)*1,Master!$D$30:$G$229,4,FALSE)</f>
        <v xml:space="preserve">Taxes on Sales of Property </v>
      </c>
      <c r="C90" s="618"/>
      <c r="D90" s="618"/>
      <c r="E90" s="618"/>
      <c r="F90" s="61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17" t="str">
        <f>+VLOOKUP(LEFT($A91,LEN(A91)-1)*1,Master!$D$30:$G$229,4,FALSE)</f>
        <v>Value Added Tax</v>
      </c>
      <c r="C91" s="618"/>
      <c r="D91" s="618"/>
      <c r="E91" s="618"/>
      <c r="F91" s="618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16.798874129404044</v>
      </c>
      <c r="U91" s="276"/>
    </row>
    <row r="92" spans="1:25">
      <c r="A92" s="105" t="str">
        <f t="shared" si="27"/>
        <v>7115p</v>
      </c>
      <c r="B92" s="617" t="str">
        <f>+VLOOKUP(LEFT($A92,LEN(A92)-1)*1,Master!$D$30:$G$229,4,FALSE)</f>
        <v>Excises</v>
      </c>
      <c r="C92" s="618"/>
      <c r="D92" s="618"/>
      <c r="E92" s="618"/>
      <c r="F92" s="618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4.9383507793170365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17" t="str">
        <f>+VLOOKUP(LEFT($A93,LEN(A93)-1)*1,Master!$D$30:$G$229,4,FALSE)</f>
        <v>Tax on International Trade and Transactions</v>
      </c>
      <c r="C93" s="618"/>
      <c r="D93" s="618"/>
      <c r="E93" s="618"/>
      <c r="F93" s="618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0.78319659284597998</v>
      </c>
      <c r="U93" s="276"/>
    </row>
    <row r="94" spans="1:25">
      <c r="A94" s="105" t="str">
        <f t="shared" si="27"/>
        <v>7118p</v>
      </c>
      <c r="B94" s="617" t="str">
        <f>+VLOOKUP(LEFT($A94,LEN(A94)-1)*1,Master!$D$30:$G$229,4,FALSE)</f>
        <v>Other Republic Taxes</v>
      </c>
      <c r="C94" s="618"/>
      <c r="D94" s="618"/>
      <c r="E94" s="618"/>
      <c r="F94" s="618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0.18733517758073043</v>
      </c>
      <c r="U94" s="276"/>
    </row>
    <row r="95" spans="1:25">
      <c r="A95" s="105" t="str">
        <f t="shared" si="27"/>
        <v>712p</v>
      </c>
      <c r="B95" s="623" t="str">
        <f>+VLOOKUP(LEFT($A95,LEN(A95)-1)*1,Master!$D$30:$G$229,4,FALSE)</f>
        <v>Contributions</v>
      </c>
      <c r="C95" s="624"/>
      <c r="D95" s="624"/>
      <c r="E95" s="624"/>
      <c r="F95" s="624"/>
      <c r="G95" s="536">
        <v>16612975.690000001</v>
      </c>
      <c r="H95" s="536">
        <v>37852524.42184677</v>
      </c>
      <c r="I95" s="537">
        <v>37594151.372717343</v>
      </c>
      <c r="J95" s="536">
        <v>36350588.706063576</v>
      </c>
      <c r="K95" s="536">
        <v>36620384.10097748</v>
      </c>
      <c r="L95" s="536">
        <v>37745306.491635233</v>
      </c>
      <c r="M95" s="536">
        <v>38491145.098489322</v>
      </c>
      <c r="N95" s="536">
        <v>37029246.606001906</v>
      </c>
      <c r="O95" s="536">
        <v>34518386.848863028</v>
      </c>
      <c r="P95" s="536">
        <v>34451717.199254267</v>
      </c>
      <c r="Q95" s="536">
        <v>34831552.405104607</v>
      </c>
      <c r="R95" s="538">
        <v>66953342.92623014</v>
      </c>
      <c r="S95" s="539">
        <f t="shared" si="28"/>
        <v>449051321.86718363</v>
      </c>
      <c r="T95" s="515">
        <f t="shared" si="29"/>
        <v>5.4958437305976497</v>
      </c>
      <c r="U95" s="276"/>
    </row>
    <row r="96" spans="1:25">
      <c r="A96" s="105" t="str">
        <f t="shared" si="27"/>
        <v>7121p</v>
      </c>
      <c r="B96" s="617" t="str">
        <f>+VLOOKUP(LEFT($A96,LEN(A96)-1)*1,Master!$D$30:$G$229,4,FALSE)</f>
        <v>Contributions for Pension and Disability Insurance</v>
      </c>
      <c r="C96" s="618"/>
      <c r="D96" s="618"/>
      <c r="E96" s="618"/>
      <c r="F96" s="618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4.8629467199241727</v>
      </c>
      <c r="U96" s="276"/>
      <c r="V96" s="292"/>
    </row>
    <row r="97" spans="1:22">
      <c r="A97" s="105" t="str">
        <f t="shared" si="27"/>
        <v>7122p</v>
      </c>
      <c r="B97" s="617" t="str">
        <f>+VLOOKUP(LEFT($A97,LEN(A97)-1)*1,Master!$D$30:$G$229,4,FALSE)</f>
        <v>Contributions for Health Insurance</v>
      </c>
      <c r="C97" s="618"/>
      <c r="D97" s="618"/>
      <c r="E97" s="618"/>
      <c r="F97" s="618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7.3432725395989593E-2</v>
      </c>
      <c r="U97" s="276"/>
    </row>
    <row r="98" spans="1:22">
      <c r="A98" s="105" t="str">
        <f t="shared" si="27"/>
        <v>7123p</v>
      </c>
      <c r="B98" s="617" t="str">
        <f>+VLOOKUP(LEFT($A98,LEN(A98)-1)*1,Master!$D$30:$G$229,4,FALSE)</f>
        <v>Contributions for  Unemployment Insurance</v>
      </c>
      <c r="C98" s="618"/>
      <c r="D98" s="618"/>
      <c r="E98" s="618"/>
      <c r="F98" s="618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0.31820847653189777</v>
      </c>
      <c r="U98" s="276"/>
    </row>
    <row r="99" spans="1:22">
      <c r="A99" s="105" t="str">
        <f t="shared" si="27"/>
        <v>7124p</v>
      </c>
      <c r="B99" s="617" t="str">
        <f>+VLOOKUP(LEFT($A99,LEN(A99)-1)*1,Master!$D$30:$G$229,4,FALSE)</f>
        <v>Other contributions</v>
      </c>
      <c r="C99" s="618"/>
      <c r="D99" s="618"/>
      <c r="E99" s="618"/>
      <c r="F99" s="618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0.24125580874559027</v>
      </c>
      <c r="U99" s="276"/>
    </row>
    <row r="100" spans="1:22">
      <c r="A100" s="105" t="str">
        <f t="shared" si="27"/>
        <v>713p</v>
      </c>
      <c r="B100" s="623" t="str">
        <f>+VLOOKUP(LEFT($A100,LEN(A100)-1)*1,Master!$D$30:$G$229,4,FALSE)</f>
        <v>Duties</v>
      </c>
      <c r="C100" s="624"/>
      <c r="D100" s="624"/>
      <c r="E100" s="624"/>
      <c r="F100" s="624"/>
      <c r="G100" s="503">
        <v>856323.95</v>
      </c>
      <c r="H100" s="503">
        <v>1153807.8904724922</v>
      </c>
      <c r="I100" s="503">
        <v>1218734.5012239015</v>
      </c>
      <c r="J100" s="503">
        <v>1399310.6778442736</v>
      </c>
      <c r="K100" s="503">
        <v>1175790.5158724259</v>
      </c>
      <c r="L100" s="503">
        <v>1413926.2298446554</v>
      </c>
      <c r="M100" s="503">
        <v>2048665.888410368</v>
      </c>
      <c r="N100" s="503">
        <v>2261701.9443485551</v>
      </c>
      <c r="O100" s="503">
        <v>1898315.1704538476</v>
      </c>
      <c r="P100" s="503">
        <v>1445137.6649783505</v>
      </c>
      <c r="Q100" s="503">
        <v>1242868.4327648836</v>
      </c>
      <c r="R100" s="503">
        <v>1675386.1561825529</v>
      </c>
      <c r="S100" s="539">
        <f t="shared" si="28"/>
        <v>17789969.022396307</v>
      </c>
      <c r="T100" s="515">
        <f t="shared" si="29"/>
        <v>0.217727651513697</v>
      </c>
      <c r="U100" s="276"/>
    </row>
    <row r="101" spans="1:22">
      <c r="A101" s="105" t="str">
        <f t="shared" si="27"/>
        <v>714p</v>
      </c>
      <c r="B101" s="623" t="str">
        <f>+VLOOKUP(LEFT($A101,LEN(A101)-1)*1,Master!$D$30:$G$229,4,FALSE)</f>
        <v>Fees</v>
      </c>
      <c r="C101" s="624"/>
      <c r="D101" s="624"/>
      <c r="E101" s="624"/>
      <c r="F101" s="624"/>
      <c r="G101" s="503">
        <v>4273770.1400000006</v>
      </c>
      <c r="H101" s="503">
        <v>5219057.8914465308</v>
      </c>
      <c r="I101" s="503">
        <v>5747442.1481512357</v>
      </c>
      <c r="J101" s="503">
        <v>5467405.0671003535</v>
      </c>
      <c r="K101" s="503">
        <v>5526576.2795401867</v>
      </c>
      <c r="L101" s="503">
        <v>6855033.0871420931</v>
      </c>
      <c r="M101" s="503">
        <v>7217262.9527941998</v>
      </c>
      <c r="N101" s="503">
        <v>7038788.2697913963</v>
      </c>
      <c r="O101" s="503">
        <v>7556507.1075738491</v>
      </c>
      <c r="P101" s="503">
        <v>6100843.3902709605</v>
      </c>
      <c r="Q101" s="503">
        <v>6257172.119905103</v>
      </c>
      <c r="R101" s="503">
        <v>6923249.0767233642</v>
      </c>
      <c r="S101" s="539">
        <f t="shared" si="28"/>
        <v>74183107.530439287</v>
      </c>
      <c r="T101" s="515">
        <f t="shared" si="29"/>
        <v>0.90791129339554988</v>
      </c>
      <c r="U101" s="276"/>
    </row>
    <row r="102" spans="1:22">
      <c r="A102" s="105" t="str">
        <f t="shared" si="27"/>
        <v>715p</v>
      </c>
      <c r="B102" s="623" t="str">
        <f>+VLOOKUP(LEFT($A102,LEN(A102)-1)*1,Master!$D$30:$G$229,4,FALSE)</f>
        <v>Other revenues</v>
      </c>
      <c r="C102" s="624"/>
      <c r="D102" s="624"/>
      <c r="E102" s="624"/>
      <c r="F102" s="624"/>
      <c r="G102" s="503">
        <v>1719662.2799999998</v>
      </c>
      <c r="H102" s="503">
        <v>2384200.9227072466</v>
      </c>
      <c r="I102" s="503">
        <v>2300477.9054344208</v>
      </c>
      <c r="J102" s="503">
        <v>2449088.158567714</v>
      </c>
      <c r="K102" s="503">
        <v>2957668.7515613534</v>
      </c>
      <c r="L102" s="503">
        <v>2784970.4771360368</v>
      </c>
      <c r="M102" s="503">
        <v>3425926.7101111747</v>
      </c>
      <c r="N102" s="503">
        <v>8616029.0616411306</v>
      </c>
      <c r="O102" s="503">
        <v>7023867.9510392584</v>
      </c>
      <c r="P102" s="503">
        <v>7393786.0589036718</v>
      </c>
      <c r="Q102" s="503">
        <v>5493644.7717075925</v>
      </c>
      <c r="R102" s="503">
        <v>5720269.1804076433</v>
      </c>
      <c r="S102" s="539">
        <f t="shared" si="28"/>
        <v>52269592.229217246</v>
      </c>
      <c r="T102" s="515">
        <f t="shared" si="29"/>
        <v>0.63971643499315667</v>
      </c>
      <c r="U102" s="276"/>
    </row>
    <row r="103" spans="1:22">
      <c r="A103" s="105" t="str">
        <f t="shared" si="27"/>
        <v>73p</v>
      </c>
      <c r="B103" s="623" t="str">
        <f>+VLOOKUP(LEFT($A103,LEN(A103)-1)*1,Master!$D$30:$G$229,4,FALSE)</f>
        <v>Receipts from Repayment of Loans and Funds Carried over from Previous Year</v>
      </c>
      <c r="C103" s="624"/>
      <c r="D103" s="624"/>
      <c r="E103" s="624"/>
      <c r="F103" s="624"/>
      <c r="G103" s="503">
        <v>0</v>
      </c>
      <c r="H103" s="503">
        <v>0</v>
      </c>
      <c r="I103" s="503">
        <v>0</v>
      </c>
      <c r="J103" s="503">
        <v>0</v>
      </c>
      <c r="K103" s="503">
        <v>0</v>
      </c>
      <c r="L103" s="503">
        <v>0</v>
      </c>
      <c r="M103" s="503">
        <v>0</v>
      </c>
      <c r="N103" s="503">
        <v>0</v>
      </c>
      <c r="O103" s="503">
        <v>0</v>
      </c>
      <c r="P103" s="503">
        <v>0</v>
      </c>
      <c r="Q103" s="503">
        <v>0</v>
      </c>
      <c r="R103" s="503">
        <v>0</v>
      </c>
      <c r="S103" s="539">
        <f t="shared" si="28"/>
        <v>0</v>
      </c>
      <c r="T103" s="515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19" t="str">
        <f>+VLOOKUP(LEFT($A104,LEN(A104)-1)*1,Master!$D$30:$G$229,4,FALSE)</f>
        <v>Grants and Transfers</v>
      </c>
      <c r="C104" s="620"/>
      <c r="D104" s="620"/>
      <c r="E104" s="620"/>
      <c r="F104" s="620"/>
      <c r="G104" s="503">
        <v>0</v>
      </c>
      <c r="H104" s="503">
        <v>3000000</v>
      </c>
      <c r="I104" s="503">
        <v>2000000</v>
      </c>
      <c r="J104" s="503">
        <v>24153709.397777699</v>
      </c>
      <c r="K104" s="503">
        <v>3653709.39777778</v>
      </c>
      <c r="L104" s="503">
        <v>4153709.39777778</v>
      </c>
      <c r="M104" s="503">
        <v>3703709.39777778</v>
      </c>
      <c r="N104" s="503">
        <v>4403709.39777778</v>
      </c>
      <c r="O104" s="503">
        <v>4653709.39777778</v>
      </c>
      <c r="P104" s="503">
        <v>28153709.397777781</v>
      </c>
      <c r="Q104" s="503">
        <v>28153709.397777781</v>
      </c>
      <c r="R104" s="503">
        <v>3170324.8177777799</v>
      </c>
      <c r="S104" s="540">
        <f t="shared" si="28"/>
        <v>109199999.99999996</v>
      </c>
      <c r="T104" s="517">
        <f t="shared" si="29"/>
        <v>1.3364756012426771</v>
      </c>
      <c r="U104" s="276"/>
    </row>
    <row r="105" spans="1:22" ht="13.5" thickBot="1">
      <c r="A105" s="105" t="str">
        <f t="shared" si="27"/>
        <v>4p</v>
      </c>
      <c r="B105" s="601" t="str">
        <f>+VLOOKUP(LEFT($A105,LEN(A105)-1)*1,Master!$D$30:$G$229,4,FALSE)</f>
        <v>Total Expenditures</v>
      </c>
      <c r="C105" s="602"/>
      <c r="D105" s="602"/>
      <c r="E105" s="602"/>
      <c r="F105" s="602"/>
      <c r="G105" s="498">
        <f t="shared" ref="G105:R105" si="30">+G106+G116+G122+SUM(G123:G127)</f>
        <v>191850501.09999999</v>
      </c>
      <c r="H105" s="498">
        <f t="shared" si="30"/>
        <v>207927797.50999999</v>
      </c>
      <c r="I105" s="498">
        <f t="shared" si="30"/>
        <v>277008731.77999997</v>
      </c>
      <c r="J105" s="498">
        <f t="shared" si="30"/>
        <v>271880428.35000002</v>
      </c>
      <c r="K105" s="498">
        <f t="shared" si="30"/>
        <v>256531461.26999998</v>
      </c>
      <c r="L105" s="498">
        <f t="shared" si="30"/>
        <v>246434339.25</v>
      </c>
      <c r="M105" s="498">
        <f t="shared" si="30"/>
        <v>266915229.65000004</v>
      </c>
      <c r="N105" s="498">
        <f t="shared" si="30"/>
        <v>316160063.56999999</v>
      </c>
      <c r="O105" s="498">
        <f t="shared" si="30"/>
        <v>271901203.69999999</v>
      </c>
      <c r="P105" s="498">
        <f t="shared" si="30"/>
        <v>285828121.29000002</v>
      </c>
      <c r="Q105" s="498">
        <f t="shared" si="30"/>
        <v>286419476.34000003</v>
      </c>
      <c r="R105" s="498">
        <f t="shared" si="30"/>
        <v>285364087.87</v>
      </c>
      <c r="S105" s="541">
        <f>+SUM(G105:R105)</f>
        <v>3164221441.6799998</v>
      </c>
      <c r="T105" s="542">
        <f t="shared" si="29"/>
        <v>38.726234008555402</v>
      </c>
      <c r="U105" s="276"/>
    </row>
    <row r="106" spans="1:22">
      <c r="A106" s="105" t="str">
        <f t="shared" si="27"/>
        <v>41p</v>
      </c>
      <c r="B106" s="621" t="str">
        <f>+VLOOKUP(LEFT($A106,LEN(A106)-1)*1,Master!$D$30:$G$229,4,FALSE)</f>
        <v>Current Expenditures</v>
      </c>
      <c r="C106" s="622"/>
      <c r="D106" s="622"/>
      <c r="E106" s="622"/>
      <c r="F106" s="622"/>
      <c r="G106" s="504">
        <f t="shared" ref="G106" si="31">+SUM(G107:G115)</f>
        <v>73899012.900000006</v>
      </c>
      <c r="H106" s="504">
        <f t="shared" ref="H106:R106" si="32">+SUM(H107:H115)</f>
        <v>76519007.039999977</v>
      </c>
      <c r="I106" s="504">
        <f t="shared" si="32"/>
        <v>113798834.45999998</v>
      </c>
      <c r="J106" s="504">
        <f t="shared" si="32"/>
        <v>121182353.83000003</v>
      </c>
      <c r="K106" s="504">
        <f t="shared" si="32"/>
        <v>98021414.909999996</v>
      </c>
      <c r="L106" s="504">
        <f t="shared" si="32"/>
        <v>98591845.979999989</v>
      </c>
      <c r="M106" s="504">
        <f t="shared" si="32"/>
        <v>91078475.690000027</v>
      </c>
      <c r="N106" s="504">
        <f t="shared" si="32"/>
        <v>128306150.55999999</v>
      </c>
      <c r="O106" s="504">
        <f t="shared" si="32"/>
        <v>109940184.04000001</v>
      </c>
      <c r="P106" s="504">
        <f t="shared" si="32"/>
        <v>123887194.72000001</v>
      </c>
      <c r="Q106" s="504">
        <f t="shared" si="32"/>
        <v>123145561.94000001</v>
      </c>
      <c r="R106" s="505">
        <f t="shared" si="32"/>
        <v>103445277.06999999</v>
      </c>
      <c r="S106" s="535">
        <f t="shared" si="28"/>
        <v>1261815313.1399999</v>
      </c>
      <c r="T106" s="512">
        <f t="shared" si="29"/>
        <v>15.443089553901087</v>
      </c>
      <c r="U106" s="276"/>
      <c r="V106" s="275"/>
    </row>
    <row r="107" spans="1:22">
      <c r="A107" s="105" t="str">
        <f t="shared" si="27"/>
        <v>411p</v>
      </c>
      <c r="B107" s="617" t="str">
        <f>+VLOOKUP(LEFT($A107,LEN(A107)-1)*1,Master!$D$30:$G$229,4,FALSE)</f>
        <v>Gross Salaries and Contributions</v>
      </c>
      <c r="C107" s="618"/>
      <c r="D107" s="618"/>
      <c r="E107" s="618"/>
      <c r="F107" s="618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8.7430690098722952</v>
      </c>
      <c r="U107" s="276"/>
    </row>
    <row r="108" spans="1:22">
      <c r="A108" s="105" t="str">
        <f t="shared" si="27"/>
        <v>412p</v>
      </c>
      <c r="B108" s="617" t="str">
        <f>+VLOOKUP(LEFT($A108,LEN(A108)-1)*1,Master!$D$30:$G$229,4,FALSE)</f>
        <v>Other Personal Income</v>
      </c>
      <c r="C108" s="618"/>
      <c r="D108" s="618"/>
      <c r="E108" s="618"/>
      <c r="F108" s="618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0.32469707226171818</v>
      </c>
      <c r="U108" s="276"/>
    </row>
    <row r="109" spans="1:22">
      <c r="A109" s="105" t="str">
        <f t="shared" si="27"/>
        <v>413p</v>
      </c>
      <c r="B109" s="617" t="str">
        <f>+VLOOKUP(LEFT($A109,LEN(A109)-1)*1,Master!$D$30:$G$229,4,FALSE)</f>
        <v>Expenditures for Supplies</v>
      </c>
      <c r="C109" s="618"/>
      <c r="D109" s="618"/>
      <c r="E109" s="618"/>
      <c r="F109" s="618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0.61943543415385427</v>
      </c>
      <c r="U109" s="276"/>
    </row>
    <row r="110" spans="1:22">
      <c r="A110" s="105" t="str">
        <f t="shared" si="27"/>
        <v>414p</v>
      </c>
      <c r="B110" s="617" t="str">
        <f>+VLOOKUP(LEFT($A110,LEN(A110)-1)*1,Master!$D$30:$G$229,4,FALSE)</f>
        <v>Expenditures for Services</v>
      </c>
      <c r="C110" s="618"/>
      <c r="D110" s="618"/>
      <c r="E110" s="618"/>
      <c r="F110" s="618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1.2054904916859472</v>
      </c>
      <c r="U110" s="276"/>
    </row>
    <row r="111" spans="1:22">
      <c r="A111" s="105" t="str">
        <f t="shared" si="27"/>
        <v>415p</v>
      </c>
      <c r="B111" s="617" t="str">
        <f>+VLOOKUP(LEFT($A111,LEN(A111)-1)*1,Master!$D$30:$G$229,4,FALSE)</f>
        <v>Current Maintenance</v>
      </c>
      <c r="C111" s="618"/>
      <c r="D111" s="618"/>
      <c r="E111" s="618"/>
      <c r="F111" s="618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0.49976405220870951</v>
      </c>
      <c r="U111" s="276"/>
    </row>
    <row r="112" spans="1:22">
      <c r="A112" s="105" t="str">
        <f t="shared" si="27"/>
        <v>416p</v>
      </c>
      <c r="B112" s="617" t="str">
        <f>+VLOOKUP(LEFT($A112,LEN(A112)-1)*1,Master!$D$30:$G$229,4,FALSE)</f>
        <v>Interests</v>
      </c>
      <c r="C112" s="618"/>
      <c r="D112" s="618"/>
      <c r="E112" s="618"/>
      <c r="F112" s="618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1.9338754462261945</v>
      </c>
      <c r="U112" s="276"/>
    </row>
    <row r="113" spans="1:21">
      <c r="A113" s="105" t="str">
        <f t="shared" si="27"/>
        <v>417p</v>
      </c>
      <c r="B113" s="617" t="str">
        <f>+VLOOKUP(LEFT($A113,LEN(A113)-1)*1,Master!$D$30:$G$229,4,FALSE)</f>
        <v>Rent</v>
      </c>
      <c r="C113" s="618"/>
      <c r="D113" s="618"/>
      <c r="E113" s="618"/>
      <c r="F113" s="618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0.16336552130381271</v>
      </c>
      <c r="U113" s="276"/>
    </row>
    <row r="114" spans="1:21">
      <c r="A114" s="105" t="str">
        <f t="shared" si="27"/>
        <v>418p</v>
      </c>
      <c r="B114" s="617" t="str">
        <f>+VLOOKUP(LEFT($A114,LEN(A114)-1)*1,Master!$D$30:$G$229,4,FALSE)</f>
        <v>Subsidies</v>
      </c>
      <c r="C114" s="618"/>
      <c r="D114" s="618"/>
      <c r="E114" s="618"/>
      <c r="F114" s="618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0.86512510402969434</v>
      </c>
      <c r="U114" s="276"/>
    </row>
    <row r="115" spans="1:21">
      <c r="A115" s="105" t="str">
        <f t="shared" si="27"/>
        <v>419p</v>
      </c>
      <c r="B115" s="617" t="str">
        <f>+VLOOKUP(LEFT($A115,LEN(A115)-1)*1,Master!$D$30:$G$229,4,FALSE)</f>
        <v>Other expenditures</v>
      </c>
      <c r="C115" s="618"/>
      <c r="D115" s="618"/>
      <c r="E115" s="618"/>
      <c r="F115" s="618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1.0882674221588629</v>
      </c>
      <c r="U115" s="276"/>
    </row>
    <row r="116" spans="1:21">
      <c r="A116" s="105" t="str">
        <f t="shared" si="27"/>
        <v>42p</v>
      </c>
      <c r="B116" s="613" t="str">
        <f>+VLOOKUP(LEFT($A116,LEN(A116)-1)*1,Master!$D$30:$G$229,4,FALSE)</f>
        <v>Social Security Transfers</v>
      </c>
      <c r="C116" s="614"/>
      <c r="D116" s="614"/>
      <c r="E116" s="614"/>
      <c r="F116" s="614"/>
      <c r="G116" s="500">
        <f t="shared" ref="G116:R116" si="33">+SUM(G117:G121)</f>
        <v>86392001.530000001</v>
      </c>
      <c r="H116" s="500">
        <f t="shared" si="33"/>
        <v>93735058.950000003</v>
      </c>
      <c r="I116" s="500">
        <f t="shared" si="33"/>
        <v>92633322.390000015</v>
      </c>
      <c r="J116" s="500">
        <f t="shared" si="33"/>
        <v>90975550.370000005</v>
      </c>
      <c r="K116" s="500">
        <f t="shared" si="33"/>
        <v>90385627.5</v>
      </c>
      <c r="L116" s="500">
        <f t="shared" si="33"/>
        <v>93674809.960000008</v>
      </c>
      <c r="M116" s="500">
        <f t="shared" si="33"/>
        <v>93162509.829999998</v>
      </c>
      <c r="N116" s="500">
        <f t="shared" si="33"/>
        <v>95987426.800000012</v>
      </c>
      <c r="O116" s="500">
        <f t="shared" si="33"/>
        <v>81019219.200000003</v>
      </c>
      <c r="P116" s="500">
        <f t="shared" si="33"/>
        <v>85339625.640000015</v>
      </c>
      <c r="Q116" s="500">
        <f t="shared" si="33"/>
        <v>85314680.13000001</v>
      </c>
      <c r="R116" s="500">
        <f t="shared" si="33"/>
        <v>77037176.379999995</v>
      </c>
      <c r="S116" s="539">
        <f t="shared" si="28"/>
        <v>1065657008.6800002</v>
      </c>
      <c r="T116" s="515">
        <f t="shared" si="29"/>
        <v>13.042349738040993</v>
      </c>
      <c r="U116" s="276"/>
    </row>
    <row r="117" spans="1:21">
      <c r="A117" s="105" t="str">
        <f t="shared" si="27"/>
        <v>421p</v>
      </c>
      <c r="B117" s="617" t="str">
        <f>+VLOOKUP(LEFT($A117,LEN(A117)-1)*1,Master!$D$30:$G$229,4,FALSE)</f>
        <v>Social Security</v>
      </c>
      <c r="C117" s="618"/>
      <c r="D117" s="618"/>
      <c r="E117" s="618"/>
      <c r="F117" s="618"/>
      <c r="G117" s="148">
        <v>19200151.200000003</v>
      </c>
      <c r="H117" s="148">
        <v>22395857.720000003</v>
      </c>
      <c r="I117" s="148">
        <v>21236495.860000003</v>
      </c>
      <c r="J117" s="148">
        <v>19875975.959999997</v>
      </c>
      <c r="K117" s="148">
        <v>19561222.140000001</v>
      </c>
      <c r="L117" s="148">
        <v>20310976.43</v>
      </c>
      <c r="M117" s="148">
        <v>20317695.199999999</v>
      </c>
      <c r="N117" s="148">
        <v>22053719.830000002</v>
      </c>
      <c r="O117" s="148">
        <v>15726325.110000001</v>
      </c>
      <c r="P117" s="148">
        <v>15726325.110000001</v>
      </c>
      <c r="Q117" s="148">
        <v>15701379.6</v>
      </c>
      <c r="R117" s="148">
        <v>9423875.8399999999</v>
      </c>
      <c r="S117" s="101">
        <f t="shared" si="28"/>
        <v>221530000.00000003</v>
      </c>
      <c r="T117" s="436">
        <f t="shared" si="29"/>
        <v>2.7112586075392895</v>
      </c>
      <c r="U117" s="276"/>
    </row>
    <row r="118" spans="1:21">
      <c r="A118" s="105" t="str">
        <f t="shared" si="27"/>
        <v>422p</v>
      </c>
      <c r="B118" s="617" t="str">
        <f>+VLOOKUP(LEFT($A118,LEN(A118)-1)*1,Master!$D$30:$G$229,4,FALSE)</f>
        <v>Funds for redundant labor</v>
      </c>
      <c r="C118" s="618"/>
      <c r="D118" s="618"/>
      <c r="E118" s="618"/>
      <c r="F118" s="618"/>
      <c r="G118" s="148">
        <v>2213718.63</v>
      </c>
      <c r="H118" s="148">
        <v>2165427.89</v>
      </c>
      <c r="I118" s="148">
        <v>2163156.12</v>
      </c>
      <c r="J118" s="148">
        <v>2158505.1</v>
      </c>
      <c r="K118" s="148">
        <v>2057419.81</v>
      </c>
      <c r="L118" s="148">
        <v>2084407.9800000002</v>
      </c>
      <c r="M118" s="148">
        <v>2096069.3900000001</v>
      </c>
      <c r="N118" s="148">
        <v>2344604.0299999998</v>
      </c>
      <c r="O118" s="148">
        <v>2344604.0299999998</v>
      </c>
      <c r="P118" s="148">
        <v>2344604.0299999998</v>
      </c>
      <c r="Q118" s="148">
        <v>2344604.0299999998</v>
      </c>
      <c r="R118" s="148">
        <v>344604</v>
      </c>
      <c r="S118" s="101">
        <f t="shared" si="28"/>
        <v>24661725.040000007</v>
      </c>
      <c r="T118" s="436">
        <f t="shared" si="29"/>
        <v>0.30182961355783522</v>
      </c>
      <c r="U118" s="276"/>
    </row>
    <row r="119" spans="1:21">
      <c r="A119" s="105" t="str">
        <f t="shared" si="27"/>
        <v>423p</v>
      </c>
      <c r="B119" s="617" t="str">
        <f>+VLOOKUP(LEFT($A119,LEN(A119)-1)*1,Master!$D$30:$G$229,4,FALSE)</f>
        <v>Pension and Disability Insurance</v>
      </c>
      <c r="C119" s="618"/>
      <c r="D119" s="618"/>
      <c r="E119" s="618"/>
      <c r="F119" s="618"/>
      <c r="G119" s="148">
        <v>63002630.410000004</v>
      </c>
      <c r="H119" s="148">
        <v>65519895.829999998</v>
      </c>
      <c r="I119" s="148">
        <v>65511585.650000006</v>
      </c>
      <c r="J119" s="148">
        <v>65613396.360000007</v>
      </c>
      <c r="K119" s="148">
        <v>65712452.989999995</v>
      </c>
      <c r="L119" s="148">
        <v>66973578.530000001</v>
      </c>
      <c r="M119" s="148">
        <v>66835126.730000004</v>
      </c>
      <c r="N119" s="148">
        <v>67927729.870000005</v>
      </c>
      <c r="O119" s="148">
        <v>59286916.989999995</v>
      </c>
      <c r="P119" s="148">
        <v>63607323.430000007</v>
      </c>
      <c r="Q119" s="148">
        <v>63607323.430000007</v>
      </c>
      <c r="R119" s="148">
        <v>63607323.419999994</v>
      </c>
      <c r="S119" s="101">
        <f t="shared" si="28"/>
        <v>777205283.63999999</v>
      </c>
      <c r="T119" s="436">
        <f t="shared" si="29"/>
        <v>9.5120503547779727</v>
      </c>
      <c r="U119" s="276"/>
    </row>
    <row r="120" spans="1:21">
      <c r="A120" s="105" t="str">
        <f t="shared" si="27"/>
        <v>424p</v>
      </c>
      <c r="B120" s="617" t="str">
        <f>+VLOOKUP(LEFT($A120,LEN(A120)-1)*1,Master!$D$30:$G$229,4,FALSE)</f>
        <v>Other Health Care Transfers</v>
      </c>
      <c r="C120" s="618"/>
      <c r="D120" s="618"/>
      <c r="E120" s="618"/>
      <c r="F120" s="618"/>
      <c r="G120" s="148">
        <v>1296116.4099999999</v>
      </c>
      <c r="H120" s="148">
        <v>2368371.2599999998</v>
      </c>
      <c r="I120" s="148">
        <v>1988435.53</v>
      </c>
      <c r="J120" s="148">
        <v>1904853.6400000001</v>
      </c>
      <c r="K120" s="148">
        <v>1750586.83</v>
      </c>
      <c r="L120" s="148">
        <v>2838301.37</v>
      </c>
      <c r="M120" s="148">
        <v>2255237.94</v>
      </c>
      <c r="N120" s="148">
        <v>2231619.4</v>
      </c>
      <c r="O120" s="148">
        <v>2231619.4</v>
      </c>
      <c r="P120" s="148">
        <v>2231619.4</v>
      </c>
      <c r="Q120" s="148">
        <v>2231619.4</v>
      </c>
      <c r="R120" s="148">
        <v>2231619.42</v>
      </c>
      <c r="S120" s="101">
        <f t="shared" si="28"/>
        <v>25559999.999999993</v>
      </c>
      <c r="T120" s="436">
        <f t="shared" si="29"/>
        <v>0.31282340996119806</v>
      </c>
      <c r="U120" s="276"/>
    </row>
    <row r="121" spans="1:21">
      <c r="A121" s="105" t="str">
        <f t="shared" si="27"/>
        <v>425p</v>
      </c>
      <c r="B121" s="617" t="str">
        <f>+VLOOKUP(LEFT($A121,LEN(A121)-1)*1,Master!$D$30:$G$229,4,FALSE)</f>
        <v>Other Health Care Insurance</v>
      </c>
      <c r="C121" s="618"/>
      <c r="D121" s="618"/>
      <c r="E121" s="618"/>
      <c r="F121" s="618"/>
      <c r="G121" s="148">
        <v>679384.88</v>
      </c>
      <c r="H121" s="148">
        <v>1285506.25</v>
      </c>
      <c r="I121" s="148">
        <v>1733649.23</v>
      </c>
      <c r="J121" s="148">
        <v>1422819.31</v>
      </c>
      <c r="K121" s="148">
        <v>1303945.73</v>
      </c>
      <c r="L121" s="148">
        <v>1467545.6500000001</v>
      </c>
      <c r="M121" s="148">
        <v>1658380.57</v>
      </c>
      <c r="N121" s="148">
        <v>1429753.6700000002</v>
      </c>
      <c r="O121" s="148">
        <v>1429753.6700000002</v>
      </c>
      <c r="P121" s="148">
        <v>1429753.6700000002</v>
      </c>
      <c r="Q121" s="148">
        <v>1429753.6700000002</v>
      </c>
      <c r="R121" s="148">
        <v>1429753.7000000002</v>
      </c>
      <c r="S121" s="101">
        <f t="shared" si="28"/>
        <v>16700000</v>
      </c>
      <c r="T121" s="436">
        <f t="shared" si="29"/>
        <v>0.20438775220469521</v>
      </c>
      <c r="U121" s="276"/>
    </row>
    <row r="122" spans="1:21">
      <c r="A122" s="105" t="str">
        <f t="shared" si="27"/>
        <v>43p</v>
      </c>
      <c r="B122" s="615" t="str">
        <f>+VLOOKUP(LEFT($A122,LEN(A122)-1)*1,Master!$D$30:$G$229,4,FALSE)</f>
        <v xml:space="preserve">Transfers to Institutions, Individuals, NGO and Public Sector </v>
      </c>
      <c r="C122" s="616"/>
      <c r="D122" s="616"/>
      <c r="E122" s="616"/>
      <c r="F122" s="616"/>
      <c r="G122" s="503">
        <v>22312747.940000001</v>
      </c>
      <c r="H122" s="503">
        <v>25330454.930000003</v>
      </c>
      <c r="I122" s="503">
        <v>41879641.159999996</v>
      </c>
      <c r="J122" s="503">
        <v>37225153.310000002</v>
      </c>
      <c r="K122" s="503">
        <v>43353495.059999995</v>
      </c>
      <c r="L122" s="503">
        <v>37033961.009999998</v>
      </c>
      <c r="M122" s="503">
        <v>50964091.189999998</v>
      </c>
      <c r="N122" s="503">
        <v>46548353.63000001</v>
      </c>
      <c r="O122" s="503">
        <v>45860047.220000006</v>
      </c>
      <c r="P122" s="503">
        <v>42366884.090000004</v>
      </c>
      <c r="Q122" s="503">
        <v>38851862.540000007</v>
      </c>
      <c r="R122" s="503">
        <v>24159617.740000006</v>
      </c>
      <c r="S122" s="539">
        <f>+SUM(G122:R122)</f>
        <v>455886309.82000011</v>
      </c>
      <c r="T122" s="515">
        <f t="shared" si="29"/>
        <v>5.5794956961079691</v>
      </c>
      <c r="U122" s="276"/>
    </row>
    <row r="123" spans="1:21">
      <c r="A123" s="105" t="str">
        <f t="shared" si="27"/>
        <v>44p</v>
      </c>
      <c r="B123" s="615" t="str">
        <f>+VLOOKUP(LEFT($A123,LEN(A123)-1)*1,Master!$D$30:$G$229,4,FALSE)</f>
        <v>Capital Expenditure</v>
      </c>
      <c r="C123" s="616"/>
      <c r="D123" s="616"/>
      <c r="E123" s="616"/>
      <c r="F123" s="616"/>
      <c r="G123" s="503">
        <v>3130331.0900000003</v>
      </c>
      <c r="H123" s="503">
        <v>9035018.9500000011</v>
      </c>
      <c r="I123" s="503">
        <v>22771028</v>
      </c>
      <c r="J123" s="503">
        <v>20600392.410000008</v>
      </c>
      <c r="K123" s="503">
        <v>22919618.569999997</v>
      </c>
      <c r="L123" s="503">
        <v>14816455.689999998</v>
      </c>
      <c r="M123" s="503">
        <v>27754058.619999997</v>
      </c>
      <c r="N123" s="503">
        <v>43169262.220000006</v>
      </c>
      <c r="O123" s="503">
        <v>33287648.420000002</v>
      </c>
      <c r="P123" s="503">
        <v>30627538.580000013</v>
      </c>
      <c r="Q123" s="503">
        <v>35294592.410000019</v>
      </c>
      <c r="R123" s="503">
        <v>76097863.920000017</v>
      </c>
      <c r="S123" s="539">
        <f>+SUM(G123:R123)</f>
        <v>339503808.88</v>
      </c>
      <c r="T123" s="515">
        <f t="shared" si="29"/>
        <v>4.1551149917314749</v>
      </c>
      <c r="U123" s="276"/>
    </row>
    <row r="124" spans="1:21">
      <c r="A124" s="105" t="str">
        <f t="shared" si="27"/>
        <v>451p</v>
      </c>
      <c r="B124" s="607" t="str">
        <f>+VLOOKUP(LEFT($A124,LEN(A124)-1)*1,Master!$D$30:$G$229,4,FALSE)</f>
        <v>Credits and Borrowings</v>
      </c>
      <c r="C124" s="608"/>
      <c r="D124" s="608"/>
      <c r="E124" s="608"/>
      <c r="F124" s="608"/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07" t="str">
        <f>+VLOOKUP(LEFT($A125,LEN(A125)-1)*1,Master!$D$30:$G$229,4,FALSE)</f>
        <v>Reserves</v>
      </c>
      <c r="C125" s="608"/>
      <c r="D125" s="608"/>
      <c r="E125" s="608"/>
      <c r="F125" s="608"/>
      <c r="G125" s="77">
        <v>0</v>
      </c>
      <c r="H125" s="77">
        <v>1209850</v>
      </c>
      <c r="I125" s="77">
        <v>3097639.84</v>
      </c>
      <c r="J125" s="77">
        <v>60929.33</v>
      </c>
      <c r="K125" s="77">
        <v>23004.35</v>
      </c>
      <c r="L125" s="77">
        <v>203203.49</v>
      </c>
      <c r="M125" s="77">
        <v>24767.07</v>
      </c>
      <c r="N125" s="77">
        <v>1232013.7</v>
      </c>
      <c r="O125" s="77">
        <v>452013.7</v>
      </c>
      <c r="P125" s="77">
        <v>2452013.7000000002</v>
      </c>
      <c r="Q125" s="77">
        <v>2452013.7000000002</v>
      </c>
      <c r="R125" s="77">
        <v>2576498.7200000002</v>
      </c>
      <c r="S125" s="101">
        <f t="shared" si="28"/>
        <v>13783947.6</v>
      </c>
      <c r="T125" s="436">
        <f t="shared" si="29"/>
        <v>0.16869880637552712</v>
      </c>
      <c r="U125" s="276"/>
    </row>
    <row r="126" spans="1:21">
      <c r="A126" s="105" t="str">
        <f t="shared" si="27"/>
        <v>462p</v>
      </c>
      <c r="B126" s="607" t="str">
        <f>+VLOOKUP(LEFT($A126,LEN(A126)-1)*1,Master!$D$30:$G$229,4,FALSE)</f>
        <v>Repayment of Guarantees</v>
      </c>
      <c r="C126" s="608"/>
      <c r="D126" s="608"/>
      <c r="E126" s="608"/>
      <c r="F126" s="608"/>
      <c r="G126" s="148">
        <v>4100000</v>
      </c>
      <c r="H126" s="148">
        <v>0</v>
      </c>
      <c r="I126" s="148">
        <v>0.4</v>
      </c>
      <c r="J126" s="148">
        <v>0.4</v>
      </c>
      <c r="K126" s="148">
        <v>0.4</v>
      </c>
      <c r="L126" s="148">
        <v>0.4</v>
      </c>
      <c r="M126" s="148">
        <v>0.4</v>
      </c>
      <c r="N126" s="148">
        <v>0.4</v>
      </c>
      <c r="O126" s="148">
        <v>0.4</v>
      </c>
      <c r="P126" s="148">
        <v>0.4</v>
      </c>
      <c r="Q126" s="148">
        <v>0.4</v>
      </c>
      <c r="R126" s="148">
        <v>0.4</v>
      </c>
      <c r="S126" s="101">
        <f t="shared" si="28"/>
        <v>4100003.9999999991</v>
      </c>
      <c r="T126" s="436">
        <f t="shared" si="29"/>
        <v>5.0179077939536465E-2</v>
      </c>
      <c r="U126" s="276"/>
    </row>
    <row r="127" spans="1:21">
      <c r="A127" s="106" t="str">
        <f t="shared" si="27"/>
        <v>4630p</v>
      </c>
      <c r="B127" s="607" t="str">
        <f>+VLOOKUP(LEFT($A127,LEN(A127)-1)*1,Master!$D$30:$G$229,4,FALSE)</f>
        <v>Repayments of liabilities form the previous period</v>
      </c>
      <c r="C127" s="608"/>
      <c r="D127" s="608"/>
      <c r="E127" s="608"/>
      <c r="F127" s="608"/>
      <c r="G127" s="85">
        <v>2016407.64</v>
      </c>
      <c r="H127" s="77">
        <v>2098407.64</v>
      </c>
      <c r="I127" s="77">
        <v>2828265.53</v>
      </c>
      <c r="J127" s="77">
        <v>1836048.7</v>
      </c>
      <c r="K127" s="77">
        <v>1828300.48</v>
      </c>
      <c r="L127" s="77">
        <v>2114062.7200000002</v>
      </c>
      <c r="M127" s="77">
        <v>3931326.85</v>
      </c>
      <c r="N127" s="77">
        <v>916856.26000000047</v>
      </c>
      <c r="O127" s="77">
        <v>1342090.7200000007</v>
      </c>
      <c r="P127" s="77">
        <v>1154864.1600000006</v>
      </c>
      <c r="Q127" s="77">
        <v>1360765.2200000007</v>
      </c>
      <c r="R127" s="77">
        <v>2047653.6400000004</v>
      </c>
      <c r="S127" s="92">
        <f>+SUM(G127:R127)</f>
        <v>23475049.560000002</v>
      </c>
      <c r="T127" s="444">
        <f t="shared" si="29"/>
        <v>0.28730614445881553</v>
      </c>
      <c r="U127" s="276"/>
    </row>
    <row r="128" spans="1:21" ht="13.5" thickBot="1">
      <c r="A128" s="105" t="str">
        <f t="shared" si="27"/>
        <v>1005p</v>
      </c>
      <c r="B128" s="607" t="str">
        <f>+VLOOKUP(LEFT($A128,LEN(A128)-1)*1,Master!$D$30:$G$229,4,FALSE)</f>
        <v>Net increase of liabilities</v>
      </c>
      <c r="C128" s="608"/>
      <c r="D128" s="608"/>
      <c r="E128" s="608"/>
      <c r="F128" s="60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09" t="str">
        <f>+VLOOKUP(LEFT($A129,LEN(A129)-1)*1,Master!$D$30:$G$226,4,FALSE)</f>
        <v>Surplus / deficit</v>
      </c>
      <c r="C129" s="610"/>
      <c r="D129" s="610"/>
      <c r="E129" s="610"/>
      <c r="F129" s="610"/>
      <c r="G129" s="497">
        <f t="shared" ref="G129:R129" si="34">+G86-G105</f>
        <v>-35685139.530000031</v>
      </c>
      <c r="H129" s="498">
        <f t="shared" si="34"/>
        <v>-21462022.897298485</v>
      </c>
      <c r="I129" s="497">
        <f t="shared" si="34"/>
        <v>-26227578.019224495</v>
      </c>
      <c r="J129" s="497">
        <f t="shared" si="34"/>
        <v>45254505.859589815</v>
      </c>
      <c r="K129" s="497">
        <f t="shared" si="34"/>
        <v>-47834487.188635528</v>
      </c>
      <c r="L129" s="497">
        <f t="shared" si="34"/>
        <v>-6116654.0882425606</v>
      </c>
      <c r="M129" s="497">
        <f t="shared" si="34"/>
        <v>-22611314.888551921</v>
      </c>
      <c r="N129" s="497">
        <f t="shared" si="34"/>
        <v>-53322502.49680382</v>
      </c>
      <c r="O129" s="497">
        <f t="shared" si="34"/>
        <v>-18476224.943335593</v>
      </c>
      <c r="P129" s="497">
        <f t="shared" si="34"/>
        <v>-23660341.943951547</v>
      </c>
      <c r="Q129" s="497">
        <f t="shared" si="34"/>
        <v>-45712841.179270029</v>
      </c>
      <c r="R129" s="497">
        <f t="shared" si="34"/>
        <v>-22293840.284296304</v>
      </c>
      <c r="S129" s="543">
        <f t="shared" si="28"/>
        <v>-278148441.60002053</v>
      </c>
      <c r="T129" s="524">
        <f t="shared" si="29"/>
        <v>-3.4041996860998278</v>
      </c>
      <c r="U129" s="276"/>
    </row>
    <row r="130" spans="1:22" ht="13.5" thickBot="1">
      <c r="A130" s="106" t="str">
        <f t="shared" si="27"/>
        <v>1001p</v>
      </c>
      <c r="B130" s="611" t="str">
        <f>+VLOOKUP(LEFT($A130,LEN(A130)-1)*1,Master!$D$30:$G$226,4,FALSE)</f>
        <v>Primary surplus/deficit</v>
      </c>
      <c r="C130" s="612"/>
      <c r="D130" s="612"/>
      <c r="E130" s="612"/>
      <c r="F130" s="612"/>
      <c r="G130" s="499">
        <f>+G129+G112</f>
        <v>-31893816.110000029</v>
      </c>
      <c r="H130" s="499">
        <f t="shared" ref="H130:R130" si="35">+H129+H112</f>
        <v>-18138744.157298483</v>
      </c>
      <c r="I130" s="499">
        <f t="shared" si="35"/>
        <v>-1790286.1092244945</v>
      </c>
      <c r="J130" s="499">
        <f t="shared" si="35"/>
        <v>78559585.999589816</v>
      </c>
      <c r="K130" s="499">
        <f t="shared" si="35"/>
        <v>-37616535.988635525</v>
      </c>
      <c r="L130" s="499">
        <f t="shared" si="35"/>
        <v>-486991.64824256115</v>
      </c>
      <c r="M130" s="499">
        <f t="shared" si="35"/>
        <v>-17763118.708551921</v>
      </c>
      <c r="N130" s="499">
        <f t="shared" si="35"/>
        <v>-38830356.936803818</v>
      </c>
      <c r="O130" s="499">
        <f t="shared" si="35"/>
        <v>-3984079.3833355941</v>
      </c>
      <c r="P130" s="499">
        <f t="shared" si="35"/>
        <v>-9168196.3839515485</v>
      </c>
      <c r="Q130" s="499">
        <f t="shared" si="35"/>
        <v>-31220695.61927003</v>
      </c>
      <c r="R130" s="499">
        <f t="shared" si="35"/>
        <v>-7803194.5642963052</v>
      </c>
      <c r="S130" s="543">
        <f t="shared" si="28"/>
        <v>-120136429.61002049</v>
      </c>
      <c r="T130" s="524">
        <f t="shared" si="29"/>
        <v>-1.4703242398736331</v>
      </c>
      <c r="U130" s="276"/>
    </row>
    <row r="131" spans="1:22">
      <c r="A131" s="106" t="str">
        <f t="shared" si="27"/>
        <v>46p</v>
      </c>
      <c r="B131" s="613" t="str">
        <f>+VLOOKUP(LEFT($A131,LEN(A131)-1)*1,Master!$D$30:$G$226,4,FALSE)</f>
        <v>Repayment of Debt</v>
      </c>
      <c r="C131" s="614"/>
      <c r="D131" s="614"/>
      <c r="E131" s="614"/>
      <c r="F131" s="614"/>
      <c r="G131" s="500">
        <v>34623384.329999998</v>
      </c>
      <c r="H131" s="500">
        <v>8283075.9799999995</v>
      </c>
      <c r="I131" s="500">
        <v>26500975.739999998</v>
      </c>
      <c r="J131" s="500">
        <v>516680510.11000001</v>
      </c>
      <c r="K131" s="500">
        <v>49356649.140000001</v>
      </c>
      <c r="L131" s="500">
        <v>31468035.539999999</v>
      </c>
      <c r="M131" s="501">
        <v>49327078.370000005</v>
      </c>
      <c r="N131" s="500">
        <v>27550149.000000004</v>
      </c>
      <c r="O131" s="500">
        <v>26364355.75</v>
      </c>
      <c r="P131" s="500">
        <v>15224048.299999999</v>
      </c>
      <c r="Q131" s="500">
        <v>8450028.0999999996</v>
      </c>
      <c r="R131" s="500">
        <v>27083355.399999999</v>
      </c>
      <c r="S131" s="544">
        <f t="shared" si="28"/>
        <v>820911645.75999987</v>
      </c>
      <c r="T131" s="526">
        <f t="shared" si="29"/>
        <v>10.046963235661281</v>
      </c>
      <c r="U131" s="276"/>
      <c r="V131" s="494"/>
    </row>
    <row r="132" spans="1:22">
      <c r="A132" s="106" t="str">
        <f t="shared" si="27"/>
        <v>4611p</v>
      </c>
      <c r="B132" s="605" t="str">
        <f>+VLOOKUP(LEFT($A132,LEN(A132)-1)*1,Master!$D$30:$G$226,4,FALSE)</f>
        <v>Repayment of Domestic Debt</v>
      </c>
      <c r="C132" s="606"/>
      <c r="D132" s="606"/>
      <c r="E132" s="606"/>
      <c r="F132" s="606"/>
      <c r="G132" s="85">
        <v>1987616.93</v>
      </c>
      <c r="H132" s="85">
        <v>1708211.7699999998</v>
      </c>
      <c r="I132" s="85">
        <v>4420663.5200000005</v>
      </c>
      <c r="J132" s="85">
        <v>2044202.0799999998</v>
      </c>
      <c r="K132" s="85">
        <v>2816900.89</v>
      </c>
      <c r="L132" s="85">
        <v>15431758.25</v>
      </c>
      <c r="M132" s="455">
        <v>1723907.95</v>
      </c>
      <c r="N132" s="455">
        <v>1752462.0999999999</v>
      </c>
      <c r="O132" s="455">
        <v>4555783.9000000004</v>
      </c>
      <c r="P132" s="455">
        <v>1747992.7799999998</v>
      </c>
      <c r="Q132" s="455">
        <v>2865405.01</v>
      </c>
      <c r="R132" s="455">
        <v>15726739.58</v>
      </c>
      <c r="S132" s="92">
        <f t="shared" si="28"/>
        <v>56781644.759999998</v>
      </c>
      <c r="T132" s="444">
        <f t="shared" si="29"/>
        <v>0.69493848736418617</v>
      </c>
      <c r="U132" s="276"/>
    </row>
    <row r="133" spans="1:22" ht="13.5" thickBot="1">
      <c r="A133" s="106" t="str">
        <f t="shared" si="27"/>
        <v>4612p</v>
      </c>
      <c r="B133" s="607" t="str">
        <f>+VLOOKUP(LEFT($A133,LEN(A133)-1)*1,Master!$D$30:$G$226,4,FALSE)</f>
        <v>Repayment of Foreign Debt</v>
      </c>
      <c r="C133" s="608"/>
      <c r="D133" s="608"/>
      <c r="E133" s="608"/>
      <c r="F133" s="608"/>
      <c r="G133" s="85">
        <v>32635767.399999999</v>
      </c>
      <c r="H133" s="85">
        <v>6574864.21</v>
      </c>
      <c r="I133" s="85">
        <v>22080312.219999999</v>
      </c>
      <c r="J133" s="85">
        <v>514636308.03000003</v>
      </c>
      <c r="K133" s="85">
        <v>46539748.25</v>
      </c>
      <c r="L133" s="85">
        <v>16036277.290000001</v>
      </c>
      <c r="M133" s="455">
        <v>47603170.420000002</v>
      </c>
      <c r="N133" s="455">
        <v>25797686.900000002</v>
      </c>
      <c r="O133" s="455">
        <v>21808571.850000001</v>
      </c>
      <c r="P133" s="455">
        <v>13476055.52</v>
      </c>
      <c r="Q133" s="455">
        <v>5584623.0899999999</v>
      </c>
      <c r="R133" s="455">
        <v>11356615.819999998</v>
      </c>
      <c r="S133" s="92">
        <f t="shared" si="28"/>
        <v>764130001</v>
      </c>
      <c r="T133" s="444">
        <f t="shared" si="29"/>
        <v>9.3520247482970955</v>
      </c>
      <c r="U133" s="276"/>
    </row>
    <row r="134" spans="1:22" ht="13.5" thickBot="1">
      <c r="A134" s="106" t="str">
        <f t="shared" si="27"/>
        <v>4418p</v>
      </c>
      <c r="B134" s="601" t="str">
        <f>+VLOOKUP(LEFT($A134,LEN(A134)-1)*1,Master!$D$30:$G$226,4,FALSE)</f>
        <v>Capital Expenditure for Securities</v>
      </c>
      <c r="C134" s="602"/>
      <c r="D134" s="602"/>
      <c r="E134" s="602"/>
      <c r="F134" s="602"/>
      <c r="G134" s="497">
        <v>0</v>
      </c>
      <c r="H134" s="497">
        <v>0</v>
      </c>
      <c r="I134" s="497">
        <v>3413000</v>
      </c>
      <c r="J134" s="497">
        <v>3413000</v>
      </c>
      <c r="K134" s="497">
        <v>3413000</v>
      </c>
      <c r="L134" s="497">
        <v>3413000</v>
      </c>
      <c r="M134" s="497">
        <v>3413000</v>
      </c>
      <c r="N134" s="497">
        <v>3427386.85</v>
      </c>
      <c r="O134" s="497">
        <v>3427386.85</v>
      </c>
      <c r="P134" s="497">
        <v>3427386.85</v>
      </c>
      <c r="Q134" s="497">
        <v>3427386.85</v>
      </c>
      <c r="R134" s="497">
        <v>3427386.84</v>
      </c>
      <c r="S134" s="543">
        <f t="shared" si="28"/>
        <v>34201934.24000001</v>
      </c>
      <c r="T134" s="524">
        <f t="shared" si="29"/>
        <v>0.41859020720756901</v>
      </c>
      <c r="U134" s="276"/>
      <c r="V134" s="494"/>
    </row>
    <row r="135" spans="1:22" ht="13.5" thickBot="1">
      <c r="A135" s="106" t="s">
        <v>856</v>
      </c>
      <c r="B135" s="601" t="s">
        <v>113</v>
      </c>
      <c r="C135" s="602"/>
      <c r="D135" s="602"/>
      <c r="E135" s="602"/>
      <c r="F135" s="602"/>
      <c r="G135" s="496">
        <v>0</v>
      </c>
      <c r="H135" s="496">
        <v>1500000</v>
      </c>
      <c r="I135" s="496">
        <v>780000</v>
      </c>
      <c r="J135" s="496">
        <v>780000</v>
      </c>
      <c r="K135" s="496">
        <v>660000</v>
      </c>
      <c r="L135" s="496">
        <v>660000</v>
      </c>
      <c r="M135" s="496">
        <v>0</v>
      </c>
      <c r="N135" s="496">
        <v>192001.6</v>
      </c>
      <c r="O135" s="496">
        <v>1056001.5999999999</v>
      </c>
      <c r="P135" s="496">
        <v>624001.6</v>
      </c>
      <c r="Q135" s="496">
        <v>624001.6</v>
      </c>
      <c r="R135" s="496">
        <v>624001.6</v>
      </c>
      <c r="S135" s="543">
        <f t="shared" si="28"/>
        <v>7500007.9999999981</v>
      </c>
      <c r="T135" s="524">
        <f t="shared" si="29"/>
        <v>9.1791004589055758E-2</v>
      </c>
      <c r="U135" s="276"/>
    </row>
    <row r="136" spans="1:22" ht="13.5" thickBot="1">
      <c r="A136" s="106" t="str">
        <f>+CONCATENATE(A60,"p")</f>
        <v>1002p</v>
      </c>
      <c r="B136" s="603" t="str">
        <f>+VLOOKUP(LEFT($A136,LEN(A136)-1)*1,Master!$D$30:$G$226,4,FALSE)</f>
        <v>Financing needs</v>
      </c>
      <c r="C136" s="604"/>
      <c r="D136" s="604"/>
      <c r="E136" s="604"/>
      <c r="F136" s="604"/>
      <c r="G136" s="502">
        <f>+G129-G131-G134-G135</f>
        <v>-70308523.860000029</v>
      </c>
      <c r="H136" s="502">
        <f t="shared" ref="H136:R136" si="36">+H129-H131-H134-H135</f>
        <v>-31245098.877298485</v>
      </c>
      <c r="I136" s="502">
        <f t="shared" si="36"/>
        <v>-56921553.759224489</v>
      </c>
      <c r="J136" s="502">
        <f t="shared" si="36"/>
        <v>-475619004.2504102</v>
      </c>
      <c r="K136" s="502">
        <f t="shared" si="36"/>
        <v>-101264136.32863553</v>
      </c>
      <c r="L136" s="502">
        <f t="shared" si="36"/>
        <v>-41657689.62824256</v>
      </c>
      <c r="M136" s="502">
        <f t="shared" si="36"/>
        <v>-75351393.258551925</v>
      </c>
      <c r="N136" s="502">
        <f t="shared" si="36"/>
        <v>-84492039.946803808</v>
      </c>
      <c r="O136" s="502">
        <f t="shared" si="36"/>
        <v>-49323969.143335596</v>
      </c>
      <c r="P136" s="502">
        <f t="shared" si="36"/>
        <v>-42935778.693951547</v>
      </c>
      <c r="Q136" s="502">
        <f t="shared" si="36"/>
        <v>-58214257.729270034</v>
      </c>
      <c r="R136" s="502">
        <f t="shared" si="36"/>
        <v>-53428584.1242963</v>
      </c>
      <c r="S136" s="545">
        <f t="shared" si="28"/>
        <v>-1140762029.6000204</v>
      </c>
      <c r="T136" s="528">
        <f t="shared" si="29"/>
        <v>-13.961544133557732</v>
      </c>
      <c r="U136" s="276"/>
    </row>
    <row r="137" spans="1:22" ht="13.5" thickBot="1">
      <c r="A137" s="106" t="str">
        <f>+CONCATENATE(A61,"p")</f>
        <v>1003p</v>
      </c>
      <c r="B137" s="601" t="str">
        <f>+VLOOKUP(LEFT($A137,LEN(A137)-1)*1,Master!$D$30:$G$226,4,FALSE)</f>
        <v>Financing</v>
      </c>
      <c r="C137" s="602"/>
      <c r="D137" s="602"/>
      <c r="E137" s="602"/>
      <c r="F137" s="602"/>
      <c r="G137" s="497">
        <f t="shared" ref="G137" si="37">+SUM(G138:G142)</f>
        <v>70308523.860000029</v>
      </c>
      <c r="H137" s="497">
        <f t="shared" ref="H137:R137" si="38">+SUM(H138:H142)</f>
        <v>31245098.877298485</v>
      </c>
      <c r="I137" s="497">
        <f t="shared" si="38"/>
        <v>56921553.759224534</v>
      </c>
      <c r="J137" s="497">
        <f t="shared" si="38"/>
        <v>475619004.2504102</v>
      </c>
      <c r="K137" s="497">
        <f t="shared" si="38"/>
        <v>101264136.32863553</v>
      </c>
      <c r="L137" s="497">
        <f t="shared" si="38"/>
        <v>41657689.62824256</v>
      </c>
      <c r="M137" s="497">
        <f t="shared" si="38"/>
        <v>75351393.258551925</v>
      </c>
      <c r="N137" s="497">
        <f t="shared" si="38"/>
        <v>84492039.946803808</v>
      </c>
      <c r="O137" s="497">
        <f t="shared" si="38"/>
        <v>49323969.143335596</v>
      </c>
      <c r="P137" s="497">
        <f t="shared" si="38"/>
        <v>42935778.693951547</v>
      </c>
      <c r="Q137" s="497">
        <f t="shared" si="38"/>
        <v>58214257.729270034</v>
      </c>
      <c r="R137" s="497">
        <f t="shared" si="38"/>
        <v>53428584.1242963</v>
      </c>
      <c r="S137" s="546">
        <f t="shared" si="28"/>
        <v>1140762029.6000204</v>
      </c>
      <c r="T137" s="530">
        <f t="shared" si="29"/>
        <v>13.961544133557732</v>
      </c>
      <c r="U137" s="276"/>
    </row>
    <row r="138" spans="1:22">
      <c r="A138" s="106" t="str">
        <f>+CONCATENATE(A62,"p")</f>
        <v>7511p</v>
      </c>
      <c r="B138" s="605" t="str">
        <f>+VLOOKUP(LEFT($A138,LEN(A138)-1)*1,Master!$D$30:$G$226,4,FALSE)</f>
        <v>Domestic Loans and Borrowings</v>
      </c>
      <c r="C138" s="606"/>
      <c r="D138" s="606"/>
      <c r="E138" s="606"/>
      <c r="F138" s="606"/>
      <c r="G138" s="85">
        <v>0</v>
      </c>
      <c r="H138" s="85">
        <v>0</v>
      </c>
      <c r="I138" s="85">
        <v>0</v>
      </c>
      <c r="J138" s="85">
        <v>50000000</v>
      </c>
      <c r="K138" s="85">
        <v>0</v>
      </c>
      <c r="L138" s="85">
        <v>0</v>
      </c>
      <c r="M138" s="85">
        <v>0</v>
      </c>
      <c r="N138" s="85">
        <v>0</v>
      </c>
      <c r="O138" s="85">
        <v>65000000</v>
      </c>
      <c r="P138" s="85">
        <v>0</v>
      </c>
      <c r="Q138" s="85">
        <v>0</v>
      </c>
      <c r="R138" s="85">
        <v>0</v>
      </c>
      <c r="S138" s="92">
        <f t="shared" si="28"/>
        <v>115000000</v>
      </c>
      <c r="T138" s="444">
        <f t="shared" si="29"/>
        <v>1.4074605690742483</v>
      </c>
      <c r="U138" s="276"/>
    </row>
    <row r="139" spans="1:22">
      <c r="A139" s="106" t="str">
        <f>+CONCATENATE(A63,"p")</f>
        <v>7512p</v>
      </c>
      <c r="B139" s="607" t="str">
        <f>+VLOOKUP(LEFT($A139,LEN(A139)-1)*1,Master!$D$30:$G$226,4,FALSE)</f>
        <v>Foreign Loans and Borrowings</v>
      </c>
      <c r="C139" s="608"/>
      <c r="D139" s="608"/>
      <c r="E139" s="608"/>
      <c r="F139" s="608"/>
      <c r="G139" s="85">
        <v>0</v>
      </c>
      <c r="H139" s="85">
        <v>0</v>
      </c>
      <c r="I139" s="85">
        <v>700000000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85">
        <v>70014118.590000004</v>
      </c>
      <c r="P139" s="85">
        <v>0</v>
      </c>
      <c r="Q139" s="85">
        <v>0</v>
      </c>
      <c r="R139" s="85">
        <v>0</v>
      </c>
      <c r="S139" s="92">
        <f t="shared" si="28"/>
        <v>770014118.59000003</v>
      </c>
      <c r="T139" s="444">
        <f t="shared" si="29"/>
        <v>9.424039213442498</v>
      </c>
      <c r="U139" s="276"/>
    </row>
    <row r="140" spans="1:22">
      <c r="A140" s="106" t="str">
        <f>+CONCATENATE(A64,"p")</f>
        <v>72p</v>
      </c>
      <c r="B140" s="607" t="str">
        <f>+VLOOKUP(LEFT($A140,LEN(A140)-1)*1,Master!$D$30:$G$226,4,FALSE)</f>
        <v>Revenues from Selling Assets</v>
      </c>
      <c r="C140" s="608"/>
      <c r="D140" s="608"/>
      <c r="E140" s="608"/>
      <c r="F140" s="608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28"/>
        <v>6000000</v>
      </c>
      <c r="T140" s="444">
        <f t="shared" si="29"/>
        <v>7.3432725343004254E-2</v>
      </c>
      <c r="U140" s="276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81522.336514710114</v>
      </c>
      <c r="H141" s="85">
        <v>445973.11311571056</v>
      </c>
      <c r="I141" s="85">
        <v>303147.50930105889</v>
      </c>
      <c r="J141" s="85">
        <v>411671.2919196891</v>
      </c>
      <c r="K141" s="85">
        <v>953218.81017704192</v>
      </c>
      <c r="L141" s="85">
        <v>1530930.5926958604</v>
      </c>
      <c r="M141" s="85">
        <v>158719.86425742233</v>
      </c>
      <c r="N141" s="85">
        <v>1527452.9651282593</v>
      </c>
      <c r="O141" s="85">
        <v>216436.80971001115</v>
      </c>
      <c r="P141" s="85">
        <v>263186.6897599264</v>
      </c>
      <c r="Q141" s="85">
        <v>1703592.4757162347</v>
      </c>
      <c r="R141" s="85">
        <v>2152051.5417040759</v>
      </c>
      <c r="S141" s="92">
        <f t="shared" si="28"/>
        <v>9747904</v>
      </c>
      <c r="T141" s="444">
        <f t="shared" si="29"/>
        <v>0.11930252618366211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Increase / decrease of deposits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2.9373090995143221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48" activePane="bottomLeft" state="frozen"/>
      <selection activeCell="I24" sqref="I24"/>
      <selection pane="bottomLeft" activeCell="T2" sqref="A2:T6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881</v>
      </c>
      <c r="H6" s="219" t="s">
        <v>882</v>
      </c>
      <c r="I6" s="219" t="s">
        <v>883</v>
      </c>
      <c r="J6" s="219" t="s">
        <v>884</v>
      </c>
      <c r="K6" s="219" t="s">
        <v>885</v>
      </c>
      <c r="L6" s="219" t="s">
        <v>886</v>
      </c>
      <c r="M6" s="219" t="s">
        <v>887</v>
      </c>
      <c r="N6" s="219" t="s">
        <v>888</v>
      </c>
      <c r="O6" s="219" t="s">
        <v>889</v>
      </c>
      <c r="P6" s="219" t="s">
        <v>890</v>
      </c>
      <c r="Q6" s="219" t="s">
        <v>891</v>
      </c>
      <c r="R6" s="219" t="s">
        <v>892</v>
      </c>
      <c r="S6" s="218"/>
      <c r="T6" s="218"/>
    </row>
    <row r="7" spans="1:23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2026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8564600000</v>
      </c>
    </row>
    <row r="8" spans="1:23" ht="16.5" customHeight="1">
      <c r="A8" s="129"/>
      <c r="B8" s="585"/>
      <c r="C8" s="586"/>
      <c r="D8" s="586"/>
      <c r="E8" s="586"/>
      <c r="F8" s="58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3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3" ht="13.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506">
        <f>G11+G19+G24+G25+G26+G27+G28</f>
        <v>162759025.44</v>
      </c>
      <c r="H10" s="506">
        <f t="shared" ref="H10:L10" si="1">+H11+H19+SUM(H24:H28)</f>
        <v>191988578.81000003</v>
      </c>
      <c r="I10" s="506">
        <f t="shared" si="1"/>
        <v>280736011.50999999</v>
      </c>
      <c r="J10" s="506">
        <f t="shared" si="1"/>
        <v>335842987.45999998</v>
      </c>
      <c r="K10" s="506">
        <f t="shared" si="1"/>
        <v>0</v>
      </c>
      <c r="L10" s="506">
        <f t="shared" si="1"/>
        <v>0</v>
      </c>
      <c r="M10" s="506">
        <f t="shared" ref="M10:R10" si="2">+M11+M19+SUM(M24:M28)</f>
        <v>0</v>
      </c>
      <c r="N10" s="506">
        <f t="shared" si="2"/>
        <v>0</v>
      </c>
      <c r="O10" s="506">
        <f t="shared" si="2"/>
        <v>0</v>
      </c>
      <c r="P10" s="506">
        <f t="shared" si="2"/>
        <v>0</v>
      </c>
      <c r="Q10" s="506">
        <f t="shared" si="2"/>
        <v>0</v>
      </c>
      <c r="R10" s="506">
        <f t="shared" si="2"/>
        <v>0</v>
      </c>
      <c r="S10" s="507">
        <f>+SUM(G10:R10)</f>
        <v>971326603.22000003</v>
      </c>
      <c r="T10" s="508">
        <f>+S10/$T$7*100</f>
        <v>11.341178843378559</v>
      </c>
    </row>
    <row r="11" spans="1:23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509">
        <f t="shared" ref="G11:I11" si="3">+SUM(G12:G18)</f>
        <v>139087177.16999999</v>
      </c>
      <c r="H11" s="509">
        <f t="shared" si="3"/>
        <v>143348120.04000002</v>
      </c>
      <c r="I11" s="509">
        <f t="shared" si="3"/>
        <v>229093563</v>
      </c>
      <c r="J11" s="509">
        <f>+SUM(J12:J18)</f>
        <v>254016557</v>
      </c>
      <c r="K11" s="509">
        <f>+SUM(K12:K18)</f>
        <v>0</v>
      </c>
      <c r="L11" s="509">
        <f>+SUM(L12:L18)</f>
        <v>0</v>
      </c>
      <c r="M11" s="509">
        <f t="shared" ref="M11:R11" si="4">+SUM(M12:M18)</f>
        <v>0</v>
      </c>
      <c r="N11" s="509">
        <f t="shared" si="4"/>
        <v>0</v>
      </c>
      <c r="O11" s="509">
        <f t="shared" si="4"/>
        <v>0</v>
      </c>
      <c r="P11" s="509">
        <f t="shared" si="4"/>
        <v>0</v>
      </c>
      <c r="Q11" s="509">
        <f t="shared" si="4"/>
        <v>0</v>
      </c>
      <c r="R11" s="510">
        <f t="shared" si="4"/>
        <v>0</v>
      </c>
      <c r="S11" s="511">
        <f>+SUM(G11:R11)</f>
        <v>765545417.21000004</v>
      </c>
      <c r="T11" s="512">
        <f t="shared" ref="T11:T66" si="5">+S11/$T$7*100</f>
        <v>8.9384841931905754</v>
      </c>
    </row>
    <row r="12" spans="1:23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3145286.2300000028</v>
      </c>
      <c r="H12" s="148">
        <v>8342027.2900000019</v>
      </c>
      <c r="I12" s="148">
        <v>8405638.6799999997</v>
      </c>
      <c r="J12" s="148">
        <v>11197954.540000003</v>
      </c>
      <c r="K12" s="148"/>
      <c r="L12" s="148"/>
      <c r="M12" s="148"/>
      <c r="N12" s="148"/>
      <c r="O12" s="148"/>
      <c r="P12" s="148"/>
      <c r="Q12" s="148"/>
      <c r="R12" s="148"/>
      <c r="S12" s="227">
        <f>+SUM(G12:R12)</f>
        <v>31090906.740000006</v>
      </c>
      <c r="T12" s="436">
        <f t="shared" si="5"/>
        <v>0.36301644840389519</v>
      </c>
    </row>
    <row r="13" spans="1:23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2074964.8399999999</v>
      </c>
      <c r="H13" s="148">
        <v>4713157.2399999993</v>
      </c>
      <c r="I13" s="148">
        <v>80663211.330000028</v>
      </c>
      <c r="J13" s="148">
        <v>101480142.86999999</v>
      </c>
      <c r="K13" s="148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188931476.28000003</v>
      </c>
      <c r="T13" s="436">
        <f t="shared" si="5"/>
        <v>2.205957969782594</v>
      </c>
      <c r="V13" s="276"/>
      <c r="W13" s="494"/>
    </row>
    <row r="14" spans="1:23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0</v>
      </c>
      <c r="H14" s="148">
        <v>0</v>
      </c>
      <c r="I14" s="148">
        <v>0</v>
      </c>
      <c r="J14" s="148">
        <v>0</v>
      </c>
      <c r="K14" s="148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103563259.62999998</v>
      </c>
      <c r="H15" s="148">
        <v>97003322.320000023</v>
      </c>
      <c r="I15" s="148">
        <v>101930830.29000001</v>
      </c>
      <c r="J15" s="148">
        <v>105556931.34999999</v>
      </c>
      <c r="K15" s="148"/>
      <c r="L15" s="148"/>
      <c r="M15" s="148"/>
      <c r="N15" s="148"/>
      <c r="O15" s="148"/>
      <c r="P15" s="148"/>
      <c r="Q15" s="148"/>
      <c r="R15" s="148"/>
      <c r="S15" s="227">
        <f t="shared" si="6"/>
        <v>408054343.59000003</v>
      </c>
      <c r="T15" s="436">
        <f t="shared" si="5"/>
        <v>4.7644296708544474</v>
      </c>
      <c r="V15" s="276"/>
      <c r="W15" s="494"/>
    </row>
    <row r="16" spans="1:23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25854602.450000003</v>
      </c>
      <c r="H16" s="148">
        <v>27186338.370000001</v>
      </c>
      <c r="I16" s="148">
        <v>30174874.149999976</v>
      </c>
      <c r="J16" s="148">
        <v>28123004.540000007</v>
      </c>
      <c r="K16" s="148"/>
      <c r="L16" s="148"/>
      <c r="M16" s="148"/>
      <c r="N16" s="148"/>
      <c r="O16" s="148"/>
      <c r="P16" s="148"/>
      <c r="Q16" s="148"/>
      <c r="R16" s="148"/>
      <c r="S16" s="227">
        <f t="shared" si="6"/>
        <v>111338819.50999999</v>
      </c>
      <c r="T16" s="436">
        <f t="shared" si="5"/>
        <v>1.2999885518296241</v>
      </c>
      <c r="V16" s="276"/>
      <c r="W16" s="494"/>
    </row>
    <row r="17" spans="1:23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3336289.84</v>
      </c>
      <c r="H17" s="148">
        <v>4897181.9400000032</v>
      </c>
      <c r="I17" s="148">
        <v>6598848.780000004</v>
      </c>
      <c r="J17" s="148">
        <v>6218969.6700000009</v>
      </c>
      <c r="K17" s="148"/>
      <c r="L17" s="148"/>
      <c r="M17" s="148"/>
      <c r="N17" s="148"/>
      <c r="O17" s="148"/>
      <c r="P17" s="148"/>
      <c r="Q17" s="148"/>
      <c r="R17" s="148"/>
      <c r="S17" s="227">
        <f t="shared" si="6"/>
        <v>21051290.230000008</v>
      </c>
      <c r="T17" s="436">
        <f t="shared" si="5"/>
        <v>0.24579420206431135</v>
      </c>
      <c r="V17" s="276"/>
      <c r="W17" s="494"/>
    </row>
    <row r="18" spans="1:23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1112774.18</v>
      </c>
      <c r="H18" s="148">
        <v>1206092.8799999999</v>
      </c>
      <c r="I18" s="148">
        <v>1320159.7699999996</v>
      </c>
      <c r="J18" s="148">
        <v>1439554.0299999996</v>
      </c>
      <c r="K18" s="148"/>
      <c r="L18" s="148"/>
      <c r="M18" s="148"/>
      <c r="N18" s="148"/>
      <c r="O18" s="148"/>
      <c r="P18" s="148"/>
      <c r="Q18" s="148"/>
      <c r="R18" s="148"/>
      <c r="S18" s="227">
        <f t="shared" si="6"/>
        <v>5078580.8599999985</v>
      </c>
      <c r="T18" s="436">
        <f t="shared" si="5"/>
        <v>5.9297350255703693E-2</v>
      </c>
      <c r="V18" s="276"/>
      <c r="W18" s="494"/>
    </row>
    <row r="19" spans="1:23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513">
        <f t="shared" ref="G19:R19" si="7">SUM(G20:G23)</f>
        <v>15040242.179999998</v>
      </c>
      <c r="H19" s="513">
        <f t="shared" si="7"/>
        <v>36321915.300000004</v>
      </c>
      <c r="I19" s="513">
        <f t="shared" si="7"/>
        <v>40463891.400000006</v>
      </c>
      <c r="J19" s="513">
        <f t="shared" si="7"/>
        <v>53793525.349999964</v>
      </c>
      <c r="K19" s="513">
        <f t="shared" si="7"/>
        <v>0</v>
      </c>
      <c r="L19" s="513">
        <f t="shared" si="7"/>
        <v>0</v>
      </c>
      <c r="M19" s="513">
        <f t="shared" si="7"/>
        <v>0</v>
      </c>
      <c r="N19" s="513">
        <f t="shared" si="7"/>
        <v>0</v>
      </c>
      <c r="O19" s="513">
        <f t="shared" si="7"/>
        <v>0</v>
      </c>
      <c r="P19" s="513">
        <f t="shared" si="7"/>
        <v>0</v>
      </c>
      <c r="Q19" s="513">
        <f t="shared" si="7"/>
        <v>0</v>
      </c>
      <c r="R19" s="513">
        <f t="shared" si="7"/>
        <v>0</v>
      </c>
      <c r="S19" s="514">
        <f t="shared" si="6"/>
        <v>145619574.22999996</v>
      </c>
      <c r="T19" s="515">
        <f t="shared" si="5"/>
        <v>1.7002495648366527</v>
      </c>
      <c r="V19" s="276"/>
      <c r="W19" s="494"/>
    </row>
    <row r="20" spans="1:23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13458517.189999998</v>
      </c>
      <c r="H20" s="148">
        <v>32046463.960000005</v>
      </c>
      <c r="I20" s="148">
        <v>35392781.870000005</v>
      </c>
      <c r="J20" s="148">
        <v>47179254.269999966</v>
      </c>
      <c r="K20" s="148"/>
      <c r="L20" s="148"/>
      <c r="M20" s="148"/>
      <c r="N20" s="148"/>
      <c r="O20" s="148"/>
      <c r="P20" s="148"/>
      <c r="Q20" s="148"/>
      <c r="R20" s="148"/>
      <c r="S20" s="227">
        <f>+SUM(G20:R20)</f>
        <v>128077017.28999998</v>
      </c>
      <c r="T20" s="436">
        <f t="shared" si="5"/>
        <v>1.4954232222170327</v>
      </c>
      <c r="V20" s="276"/>
      <c r="W20" s="494"/>
    </row>
    <row r="21" spans="1:23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123789.09000000004</v>
      </c>
      <c r="H21" s="148">
        <v>240407.16000000003</v>
      </c>
      <c r="I21" s="148">
        <v>291709.41000000003</v>
      </c>
      <c r="J21" s="148">
        <v>930383.91999999969</v>
      </c>
      <c r="K21" s="148"/>
      <c r="L21" s="148"/>
      <c r="M21" s="148"/>
      <c r="N21" s="148"/>
      <c r="O21" s="148"/>
      <c r="P21" s="148"/>
      <c r="Q21" s="148"/>
      <c r="R21" s="148"/>
      <c r="S21" s="227">
        <f t="shared" si="6"/>
        <v>1586289.5799999998</v>
      </c>
      <c r="T21" s="436">
        <f t="shared" si="5"/>
        <v>1.8521467202204423E-2</v>
      </c>
      <c r="V21" s="276"/>
      <c r="W21" s="494"/>
    </row>
    <row r="22" spans="1:23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861006.7300000001</v>
      </c>
      <c r="H22" s="148">
        <v>2298845.2200000002</v>
      </c>
      <c r="I22" s="148">
        <v>2779991.6300000022</v>
      </c>
      <c r="J22" s="148">
        <v>3276767.8700000006</v>
      </c>
      <c r="K22" s="148"/>
      <c r="L22" s="148"/>
      <c r="M22" s="148"/>
      <c r="N22" s="148"/>
      <c r="O22" s="148"/>
      <c r="P22" s="148"/>
      <c r="Q22" s="148"/>
      <c r="R22" s="148"/>
      <c r="S22" s="227">
        <f t="shared" si="6"/>
        <v>9216611.450000003</v>
      </c>
      <c r="T22" s="436">
        <f t="shared" si="5"/>
        <v>0.10761286516591555</v>
      </c>
    </row>
    <row r="23" spans="1:23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596929.17000000004</v>
      </c>
      <c r="H23" s="148">
        <v>1736198.9599999995</v>
      </c>
      <c r="I23" s="148">
        <v>1999408.4900000002</v>
      </c>
      <c r="J23" s="148">
        <v>2407119.2899999991</v>
      </c>
      <c r="K23" s="148"/>
      <c r="L23" s="148"/>
      <c r="M23" s="148"/>
      <c r="N23" s="148"/>
      <c r="O23" s="148"/>
      <c r="P23" s="148"/>
      <c r="Q23" s="148"/>
      <c r="R23" s="148"/>
      <c r="S23" s="227">
        <f t="shared" si="6"/>
        <v>6739655.9099999983</v>
      </c>
      <c r="T23" s="436">
        <f t="shared" si="5"/>
        <v>7.8692010251500341E-2</v>
      </c>
      <c r="V23" s="495"/>
      <c r="W23" s="494"/>
    </row>
    <row r="24" spans="1:23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760921.56</v>
      </c>
      <c r="H24" s="160">
        <v>1050688.3199999996</v>
      </c>
      <c r="I24" s="160">
        <v>1169824.44</v>
      </c>
      <c r="J24" s="160">
        <v>1634723.7999999996</v>
      </c>
      <c r="K24" s="160"/>
      <c r="L24" s="516"/>
      <c r="M24" s="516"/>
      <c r="N24" s="516"/>
      <c r="O24" s="516"/>
      <c r="P24" s="516"/>
      <c r="Q24" s="516"/>
      <c r="R24" s="516"/>
      <c r="S24" s="514">
        <f t="shared" si="6"/>
        <v>4616158.1199999992</v>
      </c>
      <c r="T24" s="515">
        <f t="shared" si="5"/>
        <v>5.389811689979683E-2</v>
      </c>
    </row>
    <row r="25" spans="1:23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5754526.169999999</v>
      </c>
      <c r="H25" s="160">
        <v>4998603.25</v>
      </c>
      <c r="I25" s="160">
        <v>5367759.7499999981</v>
      </c>
      <c r="J25" s="160">
        <v>7807101.879999999</v>
      </c>
      <c r="K25" s="160"/>
      <c r="L25" s="516"/>
      <c r="M25" s="516"/>
      <c r="N25" s="516"/>
      <c r="O25" s="516"/>
      <c r="P25" s="516"/>
      <c r="Q25" s="516"/>
      <c r="R25" s="516"/>
      <c r="S25" s="514">
        <f t="shared" si="6"/>
        <v>23927991.049999997</v>
      </c>
      <c r="T25" s="515">
        <f t="shared" si="5"/>
        <v>0.27938247028466007</v>
      </c>
    </row>
    <row r="26" spans="1:23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1800214.5199999961</v>
      </c>
      <c r="H26" s="160">
        <v>3845737.64</v>
      </c>
      <c r="I26" s="160">
        <v>4139819.2300000014</v>
      </c>
      <c r="J26" s="160">
        <v>12176579.980000002</v>
      </c>
      <c r="K26" s="160"/>
      <c r="L26" s="516"/>
      <c r="M26" s="516"/>
      <c r="N26" s="516"/>
      <c r="O26" s="516"/>
      <c r="P26" s="516"/>
      <c r="Q26" s="516"/>
      <c r="R26" s="516"/>
      <c r="S26" s="514">
        <f t="shared" si="6"/>
        <v>21962351.369999997</v>
      </c>
      <c r="T26" s="515">
        <f t="shared" si="5"/>
        <v>0.25643172325619407</v>
      </c>
    </row>
    <row r="27" spans="1:23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0</v>
      </c>
      <c r="H27" s="160">
        <v>0</v>
      </c>
      <c r="I27" s="160">
        <v>0</v>
      </c>
      <c r="J27" s="160">
        <v>0</v>
      </c>
      <c r="K27" s="160"/>
      <c r="L27" s="516"/>
      <c r="M27" s="516"/>
      <c r="N27" s="516"/>
      <c r="O27" s="516"/>
      <c r="P27" s="516"/>
      <c r="Q27" s="516"/>
      <c r="R27" s="516"/>
      <c r="S27" s="514">
        <f t="shared" si="6"/>
        <v>0</v>
      </c>
      <c r="T27" s="515">
        <f t="shared" si="5"/>
        <v>0</v>
      </c>
    </row>
    <row r="28" spans="1:23" ht="13.5" thickBot="1">
      <c r="A28" s="135">
        <v>74</v>
      </c>
      <c r="B28" s="557" t="str">
        <f>+VLOOKUP($A28,Master!$D$30:$G$226,4,FALSE)</f>
        <v>Grants and Transfers</v>
      </c>
      <c r="C28" s="558"/>
      <c r="D28" s="558"/>
      <c r="E28" s="558"/>
      <c r="F28" s="558"/>
      <c r="G28" s="160">
        <v>315943.83999999991</v>
      </c>
      <c r="H28" s="160">
        <v>2423514.2600000002</v>
      </c>
      <c r="I28" s="160">
        <v>501153.69</v>
      </c>
      <c r="J28" s="160">
        <v>6414499.4500000002</v>
      </c>
      <c r="K28" s="160"/>
      <c r="L28" s="516"/>
      <c r="M28" s="516"/>
      <c r="N28" s="516"/>
      <c r="O28" s="516"/>
      <c r="P28" s="516"/>
      <c r="Q28" s="516"/>
      <c r="R28" s="516"/>
      <c r="S28" s="514">
        <f t="shared" si="6"/>
        <v>9655111.2400000002</v>
      </c>
      <c r="T28" s="517">
        <f t="shared" si="5"/>
        <v>0.11273277491067883</v>
      </c>
    </row>
    <row r="29" spans="1:23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195774164.73000002</v>
      </c>
      <c r="H29" s="136">
        <f t="shared" ref="H29:L29" si="8">+H30+H40+H46+SUM(H47:H51)</f>
        <v>240644987.18999997</v>
      </c>
      <c r="I29" s="136">
        <f t="shared" si="8"/>
        <v>322978773.39000005</v>
      </c>
      <c r="J29" s="136">
        <f t="shared" si="8"/>
        <v>236942884.52000001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18">
        <f t="shared" si="6"/>
        <v>996340809.82999992</v>
      </c>
      <c r="T29" s="519">
        <f t="shared" si="5"/>
        <v>11.633243932349439</v>
      </c>
    </row>
    <row r="30" spans="1:23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" si="10">+SUM(G31:G39)</f>
        <v>70665150.38000001</v>
      </c>
      <c r="H30" s="172">
        <f t="shared" ref="H30:L30" si="11">+SUM(H31:H39)</f>
        <v>88825094.339999974</v>
      </c>
      <c r="I30" s="172">
        <f t="shared" si="11"/>
        <v>151041833.07000005</v>
      </c>
      <c r="J30" s="172">
        <f t="shared" si="11"/>
        <v>102455302.88000001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0">
        <f t="shared" si="6"/>
        <v>412987380.67000002</v>
      </c>
      <c r="T30" s="512">
        <f t="shared" si="5"/>
        <v>4.822027656516358</v>
      </c>
      <c r="U30" s="472"/>
    </row>
    <row r="31" spans="1:23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58981304.890000015</v>
      </c>
      <c r="H31" s="148">
        <v>58917306.529999986</v>
      </c>
      <c r="I31" s="148">
        <v>59330909.120000049</v>
      </c>
      <c r="J31" s="148">
        <v>59070053.280000024</v>
      </c>
      <c r="K31" s="148"/>
      <c r="L31" s="148"/>
      <c r="M31" s="148"/>
      <c r="N31" s="148"/>
      <c r="O31" s="148"/>
      <c r="P31" s="148"/>
      <c r="Q31" s="148"/>
      <c r="R31" s="148"/>
      <c r="S31" s="227">
        <f t="shared" si="6"/>
        <v>236299573.82000008</v>
      </c>
      <c r="T31" s="436">
        <f t="shared" si="5"/>
        <v>2.7590263855871853</v>
      </c>
      <c r="U31" s="472"/>
    </row>
    <row r="32" spans="1:23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481727.61999999994</v>
      </c>
      <c r="H32" s="148">
        <v>2450317.4300000002</v>
      </c>
      <c r="I32" s="148">
        <v>3803748.9</v>
      </c>
      <c r="J32" s="148">
        <v>3156480.339999998</v>
      </c>
      <c r="K32" s="148"/>
      <c r="L32" s="148"/>
      <c r="M32" s="148"/>
      <c r="N32" s="148"/>
      <c r="O32" s="148"/>
      <c r="P32" s="148"/>
      <c r="Q32" s="148"/>
      <c r="R32" s="148"/>
      <c r="S32" s="227">
        <f t="shared" si="6"/>
        <v>9892274.2899999991</v>
      </c>
      <c r="T32" s="436">
        <f t="shared" si="5"/>
        <v>0.11550188321696284</v>
      </c>
      <c r="U32" s="472"/>
    </row>
    <row r="33" spans="1:23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169033.15</v>
      </c>
      <c r="H33" s="148">
        <v>3853934.34</v>
      </c>
      <c r="I33" s="148">
        <v>3565591.7199999993</v>
      </c>
      <c r="J33" s="148">
        <v>3427591.4899999998</v>
      </c>
      <c r="K33" s="148"/>
      <c r="L33" s="148"/>
      <c r="M33" s="148"/>
      <c r="N33" s="148"/>
      <c r="O33" s="148"/>
      <c r="P33" s="148"/>
      <c r="Q33" s="148"/>
      <c r="R33" s="148"/>
      <c r="S33" s="227">
        <f t="shared" si="6"/>
        <v>11016150.699999999</v>
      </c>
      <c r="T33" s="436">
        <f t="shared" si="5"/>
        <v>0.12862422880227914</v>
      </c>
      <c r="U33" s="472"/>
    </row>
    <row r="34" spans="1:23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1768862.99</v>
      </c>
      <c r="H34" s="148">
        <v>6282291.2000000002</v>
      </c>
      <c r="I34" s="148">
        <v>6618147.4100000001</v>
      </c>
      <c r="J34" s="148">
        <v>7349137.040000001</v>
      </c>
      <c r="K34" s="148"/>
      <c r="L34" s="148"/>
      <c r="M34" s="148"/>
      <c r="N34" s="148"/>
      <c r="O34" s="148"/>
      <c r="P34" s="148"/>
      <c r="Q34" s="148"/>
      <c r="R34" s="148"/>
      <c r="S34" s="227">
        <f t="shared" si="6"/>
        <v>22018438.640000001</v>
      </c>
      <c r="T34" s="436">
        <f t="shared" si="5"/>
        <v>0.25708659645517595</v>
      </c>
      <c r="U34" s="472"/>
    </row>
    <row r="35" spans="1:23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14732.329999999998</v>
      </c>
      <c r="H35" s="148">
        <v>2261365.59</v>
      </c>
      <c r="I35" s="148">
        <v>1879395.3000000003</v>
      </c>
      <c r="J35" s="148">
        <v>5463554.8599999994</v>
      </c>
      <c r="K35" s="148"/>
      <c r="L35" s="148"/>
      <c r="M35" s="148"/>
      <c r="N35" s="148"/>
      <c r="O35" s="148"/>
      <c r="P35" s="148"/>
      <c r="Q35" s="148"/>
      <c r="R35" s="148"/>
      <c r="S35" s="227">
        <f t="shared" si="6"/>
        <v>9619048.0800000001</v>
      </c>
      <c r="T35" s="436">
        <f t="shared" si="5"/>
        <v>0.11231170258972983</v>
      </c>
      <c r="U35" s="472"/>
    </row>
    <row r="36" spans="1:23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5774784.6699999999</v>
      </c>
      <c r="H36" s="148">
        <v>2436280.3999999994</v>
      </c>
      <c r="I36" s="148">
        <v>63594317.370000005</v>
      </c>
      <c r="J36" s="148">
        <v>8383871.2699999996</v>
      </c>
      <c r="K36" s="148"/>
      <c r="L36" s="148"/>
      <c r="M36" s="148"/>
      <c r="N36" s="148"/>
      <c r="O36" s="148"/>
      <c r="P36" s="148"/>
      <c r="Q36" s="148"/>
      <c r="R36" s="148"/>
      <c r="S36" s="227">
        <f>+SUM(G36:R36)</f>
        <v>80189253.709999993</v>
      </c>
      <c r="T36" s="436">
        <f t="shared" si="5"/>
        <v>0.93628720208766314</v>
      </c>
      <c r="U36" s="472"/>
    </row>
    <row r="37" spans="1:23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32745.730000000003</v>
      </c>
      <c r="H37" s="148">
        <v>1232747.8599999999</v>
      </c>
      <c r="I37" s="148">
        <v>1032409.46</v>
      </c>
      <c r="J37" s="148">
        <v>944543.74999999977</v>
      </c>
      <c r="K37" s="148"/>
      <c r="L37" s="148"/>
      <c r="M37" s="148"/>
      <c r="N37" s="148"/>
      <c r="O37" s="148"/>
      <c r="P37" s="148"/>
      <c r="Q37" s="148"/>
      <c r="R37" s="148"/>
      <c r="S37" s="227">
        <f t="shared" si="6"/>
        <v>3242446.8</v>
      </c>
      <c r="T37" s="436">
        <f t="shared" si="5"/>
        <v>3.7858706769726552E-2</v>
      </c>
      <c r="U37" s="472"/>
    </row>
    <row r="38" spans="1:23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2693485.3800000018</v>
      </c>
      <c r="H38" s="148">
        <v>5829293.359999992</v>
      </c>
      <c r="I38" s="148">
        <v>6148675.1900000004</v>
      </c>
      <c r="J38" s="148">
        <v>8700775.929999996</v>
      </c>
      <c r="K38" s="148"/>
      <c r="L38" s="148"/>
      <c r="M38" s="148"/>
      <c r="N38" s="148"/>
      <c r="O38" s="148"/>
      <c r="P38" s="148"/>
      <c r="Q38" s="148"/>
      <c r="R38" s="148"/>
      <c r="S38" s="227">
        <f t="shared" si="6"/>
        <v>23372229.859999992</v>
      </c>
      <c r="T38" s="436">
        <f t="shared" si="5"/>
        <v>0.27289342012469925</v>
      </c>
      <c r="U38" s="472"/>
    </row>
    <row r="39" spans="1:23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v>748473.61999999988</v>
      </c>
      <c r="H39" s="148">
        <v>5561557.6300000008</v>
      </c>
      <c r="I39" s="148">
        <v>5068638.5999999996</v>
      </c>
      <c r="J39" s="148">
        <v>5959294.919999999</v>
      </c>
      <c r="K39" s="148"/>
      <c r="L39" s="148"/>
      <c r="M39" s="148"/>
      <c r="N39" s="148"/>
      <c r="O39" s="148"/>
      <c r="P39" s="148"/>
      <c r="Q39" s="148"/>
      <c r="R39" s="148"/>
      <c r="S39" s="227">
        <f t="shared" si="6"/>
        <v>17337964.77</v>
      </c>
      <c r="T39" s="436">
        <f t="shared" si="5"/>
        <v>0.20243753088293673</v>
      </c>
      <c r="U39" s="472"/>
    </row>
    <row r="40" spans="1:23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88476330.62000002</v>
      </c>
      <c r="H40" s="178">
        <f t="shared" ref="H40:L40" si="13">+SUM(H41:H45)</f>
        <v>96741550.939999983</v>
      </c>
      <c r="I40" s="178">
        <f t="shared" si="13"/>
        <v>95425470.829999998</v>
      </c>
      <c r="J40" s="178">
        <f t="shared" si="13"/>
        <v>92391678.49000001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1">
        <f t="shared" si="6"/>
        <v>373035030.88</v>
      </c>
      <c r="T40" s="522">
        <f t="shared" si="5"/>
        <v>4.3555452780048105</v>
      </c>
      <c r="U40" s="472"/>
    </row>
    <row r="41" spans="1:23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20152474.369999997</v>
      </c>
      <c r="H41" s="148">
        <v>19876524.400000002</v>
      </c>
      <c r="I41" s="148">
        <v>19305795.789999999</v>
      </c>
      <c r="J41" s="148">
        <v>20739212.280000001</v>
      </c>
      <c r="K41" s="148"/>
      <c r="L41" s="148"/>
      <c r="M41" s="148"/>
      <c r="N41" s="148"/>
      <c r="O41" s="148"/>
      <c r="P41" s="148"/>
      <c r="Q41" s="148"/>
      <c r="R41" s="148"/>
      <c r="S41" s="227">
        <f t="shared" si="6"/>
        <v>80074006.840000004</v>
      </c>
      <c r="T41" s="436">
        <f t="shared" si="5"/>
        <v>0.93494158326133148</v>
      </c>
      <c r="U41" s="472"/>
    </row>
    <row r="42" spans="1:23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83640</v>
      </c>
      <c r="H42" s="148">
        <v>1951203.29</v>
      </c>
      <c r="I42" s="148">
        <v>2113526.08</v>
      </c>
      <c r="J42" s="148">
        <v>1950130.22</v>
      </c>
      <c r="K42" s="148"/>
      <c r="L42" s="148"/>
      <c r="M42" s="148"/>
      <c r="N42" s="148"/>
      <c r="O42" s="148"/>
      <c r="P42" s="148"/>
      <c r="Q42" s="148"/>
      <c r="R42" s="148"/>
      <c r="S42" s="227">
        <f t="shared" si="6"/>
        <v>6098499.5899999999</v>
      </c>
      <c r="T42" s="436">
        <f t="shared" si="5"/>
        <v>7.1205889241762604E-2</v>
      </c>
      <c r="U42" s="472"/>
    </row>
    <row r="43" spans="1:23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67859588.080000013</v>
      </c>
      <c r="H43" s="148">
        <v>68646685.769999996</v>
      </c>
      <c r="I43" s="148">
        <v>68409043.260000005</v>
      </c>
      <c r="J43" s="148">
        <v>68370453.49000001</v>
      </c>
      <c r="K43" s="148"/>
      <c r="L43" s="148"/>
      <c r="M43" s="148"/>
      <c r="N43" s="148"/>
      <c r="O43" s="148"/>
      <c r="P43" s="148"/>
      <c r="Q43" s="148"/>
      <c r="R43" s="148"/>
      <c r="S43" s="227">
        <f t="shared" si="6"/>
        <v>273285770.60000002</v>
      </c>
      <c r="T43" s="436">
        <f t="shared" si="5"/>
        <v>3.190876054923756</v>
      </c>
      <c r="U43" s="472"/>
    </row>
    <row r="44" spans="1:23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380628.17</v>
      </c>
      <c r="H44" s="148">
        <v>3976000.8199999994</v>
      </c>
      <c r="I44" s="148">
        <v>3077011.5300000003</v>
      </c>
      <c r="J44" s="148">
        <v>429253.87</v>
      </c>
      <c r="K44" s="148"/>
      <c r="L44" s="148"/>
      <c r="M44" s="148"/>
      <c r="N44" s="148"/>
      <c r="O44" s="148"/>
      <c r="P44" s="148"/>
      <c r="Q44" s="148"/>
      <c r="R44" s="148"/>
      <c r="S44" s="227">
        <f t="shared" si="6"/>
        <v>7862894.3899999997</v>
      </c>
      <c r="T44" s="436">
        <f t="shared" si="5"/>
        <v>9.180690738621769E-2</v>
      </c>
      <c r="U44" s="472"/>
    </row>
    <row r="45" spans="1:23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0</v>
      </c>
      <c r="H45" s="148">
        <v>2291136.6600000006</v>
      </c>
      <c r="I45" s="148">
        <v>2520094.1699999995</v>
      </c>
      <c r="J45" s="148">
        <v>902628.62999999919</v>
      </c>
      <c r="K45" s="148"/>
      <c r="L45" s="148"/>
      <c r="M45" s="148"/>
      <c r="N45" s="148"/>
      <c r="O45" s="148"/>
      <c r="P45" s="148"/>
      <c r="Q45" s="148"/>
      <c r="R45" s="148"/>
      <c r="S45" s="227">
        <f t="shared" si="6"/>
        <v>5713859.459999999</v>
      </c>
      <c r="T45" s="436">
        <f t="shared" si="5"/>
        <v>6.6714843191742743E-2</v>
      </c>
      <c r="U45" s="472"/>
    </row>
    <row r="46" spans="1:23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15876937</v>
      </c>
      <c r="H46" s="160">
        <v>46715063.099999994</v>
      </c>
      <c r="I46" s="160">
        <v>43606975.510000005</v>
      </c>
      <c r="J46" s="160">
        <v>25749608.459999997</v>
      </c>
      <c r="K46" s="160"/>
      <c r="L46" s="160"/>
      <c r="M46" s="160"/>
      <c r="N46" s="160"/>
      <c r="O46" s="160"/>
      <c r="P46" s="160"/>
      <c r="Q46" s="160"/>
      <c r="R46" s="160"/>
      <c r="S46" s="514">
        <f t="shared" si="6"/>
        <v>131948584.06999999</v>
      </c>
      <c r="T46" s="515">
        <f t="shared" si="5"/>
        <v>1.540627514069542</v>
      </c>
      <c r="U46" s="472"/>
    </row>
    <row r="47" spans="1:23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18581713.800000001</v>
      </c>
      <c r="H47" s="160">
        <v>6422227.709999999</v>
      </c>
      <c r="I47" s="160">
        <v>30298969.989999998</v>
      </c>
      <c r="J47" s="160">
        <v>13465260.769999998</v>
      </c>
      <c r="K47" s="160"/>
      <c r="L47" s="160"/>
      <c r="M47" s="160"/>
      <c r="N47" s="160"/>
      <c r="O47" s="160"/>
      <c r="P47" s="160"/>
      <c r="Q47" s="160"/>
      <c r="R47" s="160"/>
      <c r="S47" s="514">
        <f t="shared" si="6"/>
        <v>68768172.269999996</v>
      </c>
      <c r="T47" s="515">
        <f t="shared" si="5"/>
        <v>0.80293501471172035</v>
      </c>
      <c r="U47" s="472"/>
      <c r="V47" s="292"/>
      <c r="W47" s="292"/>
    </row>
    <row r="48" spans="1:23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0</v>
      </c>
      <c r="I48" s="148">
        <v>0</v>
      </c>
      <c r="J48" s="148">
        <v>0</v>
      </c>
      <c r="K48" s="148"/>
      <c r="L48" s="148"/>
      <c r="M48" s="148"/>
      <c r="N48" s="148"/>
      <c r="O48" s="148"/>
      <c r="P48" s="148"/>
      <c r="Q48" s="148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0</v>
      </c>
      <c r="H49" s="148">
        <v>1959.4</v>
      </c>
      <c r="I49" s="148">
        <v>502000</v>
      </c>
      <c r="J49" s="148">
        <v>234461.94999999998</v>
      </c>
      <c r="K49" s="148"/>
      <c r="L49" s="148"/>
      <c r="M49" s="148"/>
      <c r="N49" s="148"/>
      <c r="O49" s="148"/>
      <c r="P49" s="148"/>
      <c r="Q49" s="148"/>
      <c r="R49" s="148"/>
      <c r="S49" s="227">
        <f t="shared" si="6"/>
        <v>738421.35</v>
      </c>
      <c r="T49" s="436">
        <f t="shared" si="5"/>
        <v>8.621784438269154E-3</v>
      </c>
      <c r="U49" s="472"/>
    </row>
    <row r="50" spans="1:21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0</v>
      </c>
      <c r="H50" s="148">
        <v>0</v>
      </c>
      <c r="I50" s="148">
        <v>0</v>
      </c>
      <c r="J50" s="148">
        <v>0</v>
      </c>
      <c r="K50" s="148"/>
      <c r="L50" s="148"/>
      <c r="M50" s="148"/>
      <c r="N50" s="148"/>
      <c r="O50" s="148"/>
      <c r="P50" s="148"/>
      <c r="Q50" s="148"/>
      <c r="R50" s="148"/>
      <c r="S50" s="227">
        <f t="shared" si="6"/>
        <v>0</v>
      </c>
      <c r="T50" s="436">
        <f t="shared" si="5"/>
        <v>0</v>
      </c>
      <c r="U50" s="472"/>
    </row>
    <row r="51" spans="1:21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2174032.9299999997</v>
      </c>
      <c r="H51" s="430">
        <v>1939091.7000000004</v>
      </c>
      <c r="I51" s="430">
        <v>2103523.9899999998</v>
      </c>
      <c r="J51" s="430">
        <v>2646571.9699999997</v>
      </c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8863220.5899999999</v>
      </c>
      <c r="T51" s="440">
        <f t="shared" si="5"/>
        <v>0.10348668460873828</v>
      </c>
      <c r="U51" s="472"/>
    </row>
    <row r="52" spans="1:21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84">
        <v>0</v>
      </c>
      <c r="I52" s="84">
        <v>0</v>
      </c>
      <c r="J52" s="84">
        <v>0</v>
      </c>
      <c r="K52" s="84"/>
      <c r="L52" s="84"/>
      <c r="M52" s="84"/>
      <c r="N52" s="84"/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15">+G10-G29</f>
        <v>-33015139.290000021</v>
      </c>
      <c r="H53" s="136">
        <f t="shared" si="15"/>
        <v>-48656408.379999936</v>
      </c>
      <c r="I53" s="136">
        <f t="shared" si="15"/>
        <v>-42242761.880000055</v>
      </c>
      <c r="J53" s="136">
        <f t="shared" si="15"/>
        <v>98900102.939999968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23">
        <f>SUM(G53:R53)</f>
        <v>-25014206.610000044</v>
      </c>
      <c r="T53" s="524">
        <f t="shared" si="5"/>
        <v>-0.29206508897088063</v>
      </c>
    </row>
    <row r="54" spans="1:21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16">+G53+G36</f>
        <v>-27240354.62000002</v>
      </c>
      <c r="H54" s="190">
        <f t="shared" si="16"/>
        <v>-46220127.979999937</v>
      </c>
      <c r="I54" s="190">
        <f t="shared" si="16"/>
        <v>21351555.48999995</v>
      </c>
      <c r="J54" s="190">
        <f t="shared" si="16"/>
        <v>107283974.20999996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23">
        <f t="shared" si="6"/>
        <v>55175047.099999949</v>
      </c>
      <c r="T54" s="524">
        <f t="shared" si="5"/>
        <v>0.64422211311678246</v>
      </c>
    </row>
    <row r="55" spans="1:21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v>35130842.790000007</v>
      </c>
      <c r="H55" s="178">
        <v>8123801.9100000001</v>
      </c>
      <c r="I55" s="178">
        <v>26510380.109999999</v>
      </c>
      <c r="J55" s="160">
        <v>75586170.969999999</v>
      </c>
      <c r="K55" s="178">
        <f t="shared" ref="K55:L55" si="17">+SUM(K56:K57)</f>
        <v>0</v>
      </c>
      <c r="L55" s="178">
        <f t="shared" si="17"/>
        <v>0</v>
      </c>
      <c r="M55" s="178">
        <f t="shared" ref="M55:Q55" si="18">+SUM(M56:M57)</f>
        <v>0</v>
      </c>
      <c r="N55" s="178">
        <f t="shared" si="18"/>
        <v>0</v>
      </c>
      <c r="O55" s="178">
        <f t="shared" si="18"/>
        <v>0</v>
      </c>
      <c r="P55" s="178">
        <f t="shared" si="18"/>
        <v>0</v>
      </c>
      <c r="Q55" s="178">
        <f t="shared" si="18"/>
        <v>0</v>
      </c>
      <c r="R55" s="178">
        <f>+SUM(R56:R57)</f>
        <v>0</v>
      </c>
      <c r="S55" s="525">
        <f t="shared" si="6"/>
        <v>145351195.78</v>
      </c>
      <c r="T55" s="526">
        <f t="shared" si="5"/>
        <v>1.6971159865025804</v>
      </c>
    </row>
    <row r="56" spans="1:21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1661742.09</v>
      </c>
      <c r="H56" s="196">
        <v>1014139.8699999999</v>
      </c>
      <c r="I56" s="196">
        <v>4622260.75</v>
      </c>
      <c r="J56" s="196">
        <v>51696507.350000001</v>
      </c>
      <c r="K56" s="196"/>
      <c r="L56" s="196"/>
      <c r="M56" s="196"/>
      <c r="N56" s="196"/>
      <c r="O56" s="196"/>
      <c r="P56" s="196"/>
      <c r="Q56" s="196"/>
      <c r="R56" s="196"/>
      <c r="S56" s="235">
        <f t="shared" si="6"/>
        <v>58994650.060000002</v>
      </c>
      <c r="T56" s="444">
        <f t="shared" si="5"/>
        <v>0.68881967704271074</v>
      </c>
    </row>
    <row r="57" spans="1:21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33469100.699999999</v>
      </c>
      <c r="H57" s="196">
        <v>7109662.040000001</v>
      </c>
      <c r="I57" s="196">
        <v>21888119.359999999</v>
      </c>
      <c r="J57" s="196">
        <v>23889663.620000001</v>
      </c>
      <c r="K57" s="196"/>
      <c r="L57" s="196"/>
      <c r="M57" s="196"/>
      <c r="N57" s="196"/>
      <c r="O57" s="196"/>
      <c r="P57" s="196"/>
      <c r="Q57" s="196"/>
      <c r="R57" s="196"/>
      <c r="S57" s="235">
        <f>+SUM(G57:R57)</f>
        <v>86356545.719999999</v>
      </c>
      <c r="T57" s="444">
        <f t="shared" si="5"/>
        <v>1.0082963094598698</v>
      </c>
    </row>
    <row r="58" spans="1:21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4765189.4800000004</v>
      </c>
      <c r="H58" s="432">
        <v>9863292.7199999988</v>
      </c>
      <c r="I58" s="432">
        <v>160000</v>
      </c>
      <c r="J58" s="432">
        <v>0</v>
      </c>
      <c r="K58" s="432"/>
      <c r="L58" s="432"/>
      <c r="M58" s="432"/>
      <c r="N58" s="432"/>
      <c r="O58" s="432"/>
      <c r="P58" s="432"/>
      <c r="Q58" s="432"/>
      <c r="R58" s="432"/>
      <c r="S58" s="525">
        <f>SUM(G58:R58)</f>
        <v>14788482.199999999</v>
      </c>
      <c r="T58" s="527">
        <f t="shared" si="5"/>
        <v>0.17266985264927726</v>
      </c>
    </row>
    <row r="59" spans="1:21" ht="13.5" thickBot="1">
      <c r="A59" s="135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148">
        <v>242545.05</v>
      </c>
      <c r="H59" s="148">
        <v>1705830</v>
      </c>
      <c r="I59" s="148">
        <v>980871.29</v>
      </c>
      <c r="J59" s="148">
        <v>1020242.5700000001</v>
      </c>
      <c r="K59" s="148"/>
      <c r="L59" s="148"/>
      <c r="M59" s="148"/>
      <c r="N59" s="148"/>
      <c r="O59" s="148"/>
      <c r="P59" s="148"/>
      <c r="Q59" s="148"/>
      <c r="R59" s="432"/>
      <c r="S59" s="525">
        <f>SUM(G59:R59)</f>
        <v>3949488.91</v>
      </c>
      <c r="T59" s="527">
        <f t="shared" si="5"/>
        <v>4.6114108189524321E-2</v>
      </c>
    </row>
    <row r="60" spans="1:21" ht="13.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02">
        <f>+G53-G55-G58-G59</f>
        <v>-73153716.610000029</v>
      </c>
      <c r="H60" s="202">
        <f t="shared" ref="H60:S60" si="19">+H53-H55-H58-H59</f>
        <v>-68349333.009999931</v>
      </c>
      <c r="I60" s="202">
        <f t="shared" si="19"/>
        <v>-69894013.280000061</v>
      </c>
      <c r="J60" s="202">
        <f t="shared" si="19"/>
        <v>22293689.399999969</v>
      </c>
      <c r="K60" s="202">
        <f t="shared" si="19"/>
        <v>0</v>
      </c>
      <c r="L60" s="202">
        <f t="shared" si="19"/>
        <v>0</v>
      </c>
      <c r="M60" s="202">
        <f t="shared" si="19"/>
        <v>0</v>
      </c>
      <c r="N60" s="202">
        <f t="shared" si="19"/>
        <v>0</v>
      </c>
      <c r="O60" s="202">
        <f t="shared" si="19"/>
        <v>0</v>
      </c>
      <c r="P60" s="202">
        <f t="shared" si="19"/>
        <v>0</v>
      </c>
      <c r="Q60" s="202">
        <f t="shared" si="19"/>
        <v>0</v>
      </c>
      <c r="R60" s="202">
        <f t="shared" si="19"/>
        <v>0</v>
      </c>
      <c r="S60" s="525">
        <f t="shared" si="19"/>
        <v>-189103373.50000003</v>
      </c>
      <c r="T60" s="528">
        <f t="shared" si="5"/>
        <v>-2.2079650363122627</v>
      </c>
    </row>
    <row r="61" spans="1:21" ht="13.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+SUM(G62:G66)</f>
        <v>73153716.610000029</v>
      </c>
      <c r="H61" s="136">
        <f t="shared" ref="H61:L61" si="20">+SUM(H62:H66)</f>
        <v>68349333.009999931</v>
      </c>
      <c r="I61" s="136">
        <f t="shared" si="20"/>
        <v>69894013.280000061</v>
      </c>
      <c r="J61" s="136">
        <f t="shared" si="20"/>
        <v>-22293689.399999969</v>
      </c>
      <c r="K61" s="136">
        <f t="shared" si="20"/>
        <v>0</v>
      </c>
      <c r="L61" s="136">
        <f t="shared" si="20"/>
        <v>0</v>
      </c>
      <c r="M61" s="136">
        <f t="shared" ref="M61:R61" si="21">+SUM(M62:M66)</f>
        <v>0</v>
      </c>
      <c r="N61" s="136">
        <f t="shared" si="21"/>
        <v>0</v>
      </c>
      <c r="O61" s="136">
        <f t="shared" si="21"/>
        <v>0</v>
      </c>
      <c r="P61" s="136">
        <f t="shared" si="21"/>
        <v>0</v>
      </c>
      <c r="Q61" s="136">
        <f t="shared" si="21"/>
        <v>0</v>
      </c>
      <c r="R61" s="136">
        <f t="shared" si="21"/>
        <v>0</v>
      </c>
      <c r="S61" s="529">
        <f t="shared" si="6"/>
        <v>189103373.50000003</v>
      </c>
      <c r="T61" s="530">
        <f t="shared" si="5"/>
        <v>2.2079650363122627</v>
      </c>
    </row>
    <row r="62" spans="1:21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96">
        <v>0</v>
      </c>
      <c r="H62" s="196">
        <v>0</v>
      </c>
      <c r="I62" s="196">
        <v>0</v>
      </c>
      <c r="J62" s="196">
        <v>0</v>
      </c>
      <c r="K62" s="196"/>
      <c r="L62" s="196"/>
      <c r="M62" s="457"/>
      <c r="N62" s="196"/>
      <c r="O62" s="196"/>
      <c r="P62" s="196"/>
      <c r="Q62" s="196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73" t="str">
        <f>+VLOOKUP($A63,Master!$D$30:$G$226,4,FALSE)</f>
        <v>Foreign Loans and Borrowings</v>
      </c>
      <c r="C63" s="574"/>
      <c r="D63" s="574"/>
      <c r="E63" s="574"/>
      <c r="F63" s="574"/>
      <c r="G63" s="196">
        <v>16583760.119999999</v>
      </c>
      <c r="H63" s="196">
        <v>680753.51</v>
      </c>
      <c r="I63" s="196">
        <v>727491.71</v>
      </c>
      <c r="J63" s="196">
        <v>3030009.4100000006</v>
      </c>
      <c r="K63" s="196"/>
      <c r="L63" s="196"/>
      <c r="M63" s="457"/>
      <c r="N63" s="196"/>
      <c r="O63" s="196"/>
      <c r="P63" s="196"/>
      <c r="Q63" s="196"/>
      <c r="R63" s="196"/>
      <c r="S63" s="235">
        <f t="shared" si="6"/>
        <v>21022014.75</v>
      </c>
      <c r="T63" s="444">
        <f t="shared" si="5"/>
        <v>0.24545238248137682</v>
      </c>
    </row>
    <row r="64" spans="1:21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96">
        <v>36416.97</v>
      </c>
      <c r="H64" s="196">
        <v>64300.280000000013</v>
      </c>
      <c r="I64" s="196">
        <v>59242.58</v>
      </c>
      <c r="J64" s="196">
        <v>200993.16000000006</v>
      </c>
      <c r="K64" s="196"/>
      <c r="L64" s="196"/>
      <c r="M64" s="457"/>
      <c r="N64" s="196"/>
      <c r="O64" s="196"/>
      <c r="P64" s="196"/>
      <c r="Q64" s="196"/>
      <c r="R64" s="196"/>
      <c r="S64" s="235">
        <f t="shared" si="6"/>
        <v>360952.99000000011</v>
      </c>
      <c r="T64" s="444">
        <f t="shared" si="5"/>
        <v>4.2144757490133822E-3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60">
        <v>2415467.94</v>
      </c>
      <c r="H65" s="160">
        <v>1030931.66</v>
      </c>
      <c r="I65" s="160">
        <v>850510.46000000008</v>
      </c>
      <c r="J65" s="160">
        <v>2538097.29</v>
      </c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6835007.3500000006</v>
      </c>
      <c r="T65" s="437">
        <f t="shared" si="5"/>
        <v>7.9805330663428542E-2</v>
      </c>
    </row>
    <row r="66" spans="1:20" ht="13.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10">
        <f>-G60-SUM(G62:G65)</f>
        <v>54118071.580000028</v>
      </c>
      <c r="H66" s="210">
        <f t="shared" ref="H66:L66" si="22">-H60-SUM(H62:H65)</f>
        <v>66573347.559999928</v>
      </c>
      <c r="I66" s="210">
        <f t="shared" si="22"/>
        <v>68256768.530000061</v>
      </c>
      <c r="J66" s="210">
        <f t="shared" si="22"/>
        <v>-28062789.259999968</v>
      </c>
      <c r="K66" s="210">
        <f t="shared" si="22"/>
        <v>0</v>
      </c>
      <c r="L66" s="210">
        <f t="shared" si="22"/>
        <v>0</v>
      </c>
      <c r="M66" s="210">
        <f t="shared" ref="M66:S66" si="23">-M60-SUM(M62:M65)</f>
        <v>0</v>
      </c>
      <c r="N66" s="210">
        <f t="shared" si="23"/>
        <v>0</v>
      </c>
      <c r="O66" s="210">
        <f t="shared" si="23"/>
        <v>0</v>
      </c>
      <c r="P66" s="210">
        <f t="shared" si="23"/>
        <v>0</v>
      </c>
      <c r="Q66" s="210">
        <f t="shared" si="23"/>
        <v>0</v>
      </c>
      <c r="R66" s="210">
        <f t="shared" si="23"/>
        <v>0</v>
      </c>
      <c r="S66" s="238">
        <f t="shared" si="23"/>
        <v>160885398.41000003</v>
      </c>
      <c r="T66" s="448">
        <f t="shared" si="5"/>
        <v>1.8784928474184437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4">+CONCATENATE(G6,"p")</f>
        <v>2026-01p</v>
      </c>
      <c r="H82" s="59" t="str">
        <f t="shared" si="24"/>
        <v>2026-02p</v>
      </c>
      <c r="I82" s="59" t="str">
        <f t="shared" si="24"/>
        <v>2026-03p</v>
      </c>
      <c r="J82" s="59" t="str">
        <f t="shared" si="24"/>
        <v>2026-04p</v>
      </c>
      <c r="K82" s="59" t="str">
        <f t="shared" si="24"/>
        <v>2026-05p</v>
      </c>
      <c r="L82" s="59" t="str">
        <f t="shared" si="24"/>
        <v>2026-06p</v>
      </c>
      <c r="M82" s="59" t="str">
        <f t="shared" si="24"/>
        <v>2026-07p</v>
      </c>
      <c r="N82" s="59" t="str">
        <f t="shared" si="24"/>
        <v>2026-08p</v>
      </c>
      <c r="O82" s="59" t="str">
        <f t="shared" si="24"/>
        <v>2026-09p</v>
      </c>
      <c r="P82" s="59" t="str">
        <f t="shared" si="24"/>
        <v>2026-10p</v>
      </c>
      <c r="Q82" s="59" t="str">
        <f t="shared" si="24"/>
        <v>2026-11p</v>
      </c>
      <c r="R82" s="59" t="str">
        <f t="shared" si="24"/>
        <v>2026-12p</v>
      </c>
    </row>
    <row r="83" spans="1:25" ht="15.75" customHeight="1" thickBot="1">
      <c r="B83" s="627" t="str">
        <f>+Master!G253</f>
        <v>Planned Budget Execution</v>
      </c>
      <c r="C83" s="628"/>
      <c r="D83" s="628"/>
      <c r="E83" s="628"/>
      <c r="F83" s="628"/>
      <c r="G83" s="635">
        <v>2026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96" t="str">
        <f>+S7</f>
        <v>GDP</v>
      </c>
      <c r="T83" s="221">
        <f>+T7</f>
        <v>8564600000</v>
      </c>
    </row>
    <row r="84" spans="1:25" ht="15.75" customHeight="1">
      <c r="B84" s="629"/>
      <c r="C84" s="630"/>
      <c r="D84" s="630"/>
      <c r="E84" s="630"/>
      <c r="F84" s="631"/>
      <c r="G84" s="62" t="str">
        <f t="shared" ref="G84:R84" si="25">+G8</f>
        <v>Januar</v>
      </c>
      <c r="H84" s="62" t="str">
        <f t="shared" si="25"/>
        <v>Februar</v>
      </c>
      <c r="I84" s="62" t="str">
        <f t="shared" si="25"/>
        <v>Mart</v>
      </c>
      <c r="J84" s="62" t="str">
        <f t="shared" si="25"/>
        <v>April</v>
      </c>
      <c r="K84" s="62" t="str">
        <f t="shared" si="25"/>
        <v>Maj</v>
      </c>
      <c r="L84" s="62" t="str">
        <f t="shared" si="25"/>
        <v>Jun</v>
      </c>
      <c r="M84" s="62" t="str">
        <f t="shared" si="25"/>
        <v>July</v>
      </c>
      <c r="N84" s="62" t="str">
        <f t="shared" si="25"/>
        <v>August</v>
      </c>
      <c r="O84" s="62" t="str">
        <f t="shared" si="25"/>
        <v>September</v>
      </c>
      <c r="P84" s="62" t="str">
        <f t="shared" si="25"/>
        <v>October</v>
      </c>
      <c r="Q84" s="62" t="str">
        <f t="shared" si="25"/>
        <v>November</v>
      </c>
      <c r="R84" s="62" t="str">
        <f t="shared" si="25"/>
        <v>December</v>
      </c>
      <c r="S84" s="635" t="str">
        <f>+Master!G247</f>
        <v>Jan - Dec</v>
      </c>
      <c r="T84" s="637">
        <f>+T8</f>
        <v>0</v>
      </c>
    </row>
    <row r="85" spans="1:25" ht="13.5" thickBot="1">
      <c r="B85" s="632"/>
      <c r="C85" s="633"/>
      <c r="D85" s="633"/>
      <c r="E85" s="633"/>
      <c r="F85" s="63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GDP</v>
      </c>
    </row>
    <row r="86" spans="1:25" ht="13.5" thickBot="1">
      <c r="A86" s="105" t="str">
        <f t="shared" ref="A86:A134" si="26">+CONCATENATE(A10,"p")</f>
        <v>7p</v>
      </c>
      <c r="B86" s="601" t="str">
        <f>+VLOOKUP(LEFT($A86,LEN(A86)-1)*1,Master!$D$30:$G$226,4,FALSE)</f>
        <v>Total Revenues</v>
      </c>
      <c r="C86" s="602"/>
      <c r="D86" s="602"/>
      <c r="E86" s="602"/>
      <c r="F86" s="602"/>
      <c r="G86" s="497">
        <v>162439252.06999999</v>
      </c>
      <c r="H86" s="497">
        <v>170583961.45999998</v>
      </c>
      <c r="I86" s="497">
        <v>276348555.9319492</v>
      </c>
      <c r="J86" s="497">
        <v>329238762.8309508</v>
      </c>
      <c r="K86" s="497">
        <v>224060640.75950465</v>
      </c>
      <c r="L86" s="497">
        <v>248133744.70422766</v>
      </c>
      <c r="M86" s="497">
        <v>277773867.69335419</v>
      </c>
      <c r="N86" s="497">
        <v>296121565.25832808</v>
      </c>
      <c r="O86" s="497">
        <v>287256220.59865189</v>
      </c>
      <c r="P86" s="497">
        <v>281809436.71842581</v>
      </c>
      <c r="Q86" s="497">
        <v>241740215.4747963</v>
      </c>
      <c r="R86" s="497">
        <v>288940726.51752335</v>
      </c>
      <c r="S86" s="531">
        <f>+SUM(G86:R86)</f>
        <v>3084446950.0177116</v>
      </c>
      <c r="T86" s="532">
        <f>+S86/$T$83*100</f>
        <v>36.013905494917587</v>
      </c>
      <c r="U86" s="276"/>
    </row>
    <row r="87" spans="1:25">
      <c r="A87" s="105" t="str">
        <f t="shared" si="26"/>
        <v>711p</v>
      </c>
      <c r="B87" s="625" t="str">
        <f>+VLOOKUP(LEFT($A87,LEN(A87)-1)*1,Master!$D$30:$G$226,4,FALSE)</f>
        <v>Taxes</v>
      </c>
      <c r="C87" s="626"/>
      <c r="D87" s="626"/>
      <c r="E87" s="626"/>
      <c r="F87" s="626"/>
      <c r="G87" s="533">
        <v>139086135.41999999</v>
      </c>
      <c r="H87" s="533">
        <v>127958390.96000001</v>
      </c>
      <c r="I87" s="533">
        <v>223279236.3044005</v>
      </c>
      <c r="J87" s="533">
        <v>277228426.81346524</v>
      </c>
      <c r="K87" s="533">
        <v>170981069.24916705</v>
      </c>
      <c r="L87" s="533">
        <v>188645123.38364589</v>
      </c>
      <c r="M87" s="533">
        <v>215251497.32179797</v>
      </c>
      <c r="N87" s="533">
        <v>226687145.4662126</v>
      </c>
      <c r="O87" s="533">
        <v>219262374.17355797</v>
      </c>
      <c r="P87" s="533">
        <v>201681860.98977682</v>
      </c>
      <c r="Q87" s="533">
        <v>164465338.02179495</v>
      </c>
      <c r="R87" s="534">
        <v>202148620.60826007</v>
      </c>
      <c r="S87" s="535">
        <f t="shared" ref="S87:S141" si="27">+SUM(G87:R87)</f>
        <v>2356675218.712079</v>
      </c>
      <c r="T87" s="512">
        <f t="shared" ref="T87:T142" si="28">+S87/$T$83*100</f>
        <v>27.516465669290792</v>
      </c>
      <c r="U87" s="276"/>
    </row>
    <row r="88" spans="1:25">
      <c r="A88" s="105" t="str">
        <f t="shared" si="26"/>
        <v>7111p</v>
      </c>
      <c r="B88" s="617" t="str">
        <f>+VLOOKUP(LEFT($A88,LEN(A88)-1)*1,Master!$D$30:$G$229,4,FALSE)</f>
        <v>Personal Income Tax</v>
      </c>
      <c r="C88" s="618"/>
      <c r="D88" s="618"/>
      <c r="E88" s="618"/>
      <c r="F88" s="618"/>
      <c r="G88" s="77">
        <v>3145286.23</v>
      </c>
      <c r="H88" s="77">
        <v>7501805.6500000004</v>
      </c>
      <c r="I88" s="77">
        <v>9541593.2978226002</v>
      </c>
      <c r="J88" s="77">
        <v>10315826.050880101</v>
      </c>
      <c r="K88" s="77">
        <v>9770274.8325337097</v>
      </c>
      <c r="L88" s="77">
        <v>10191023.57609795</v>
      </c>
      <c r="M88" s="77">
        <v>9696535.2963352595</v>
      </c>
      <c r="N88" s="77">
        <v>11293978.283702901</v>
      </c>
      <c r="O88" s="77">
        <v>10706229.462152939</v>
      </c>
      <c r="P88" s="77">
        <v>10490086.5402983</v>
      </c>
      <c r="Q88" s="77">
        <v>10736462.915425731</v>
      </c>
      <c r="R88" s="77">
        <v>18508423.7355696</v>
      </c>
      <c r="S88" s="101">
        <f t="shared" si="27"/>
        <v>121897525.87081909</v>
      </c>
      <c r="T88" s="436">
        <f t="shared" si="28"/>
        <v>1.423271674927248</v>
      </c>
      <c r="U88" s="276"/>
    </row>
    <row r="89" spans="1:25">
      <c r="A89" s="105" t="str">
        <f t="shared" si="26"/>
        <v>7112p</v>
      </c>
      <c r="B89" s="617" t="str">
        <f>+VLOOKUP(LEFT($A89,LEN(A89)-1)*1,Master!$D$30:$G$229,4,FALSE)</f>
        <v>Corporate Income Tax</v>
      </c>
      <c r="C89" s="618"/>
      <c r="D89" s="618"/>
      <c r="E89" s="618"/>
      <c r="F89" s="618"/>
      <c r="G89" s="77">
        <v>2074964.84</v>
      </c>
      <c r="H89" s="77">
        <v>3458155.25</v>
      </c>
      <c r="I89" s="77">
        <v>82413361.451368406</v>
      </c>
      <c r="J89" s="77">
        <v>123410301.130749</v>
      </c>
      <c r="K89" s="77">
        <v>4292333.1561694536</v>
      </c>
      <c r="L89" s="77">
        <v>4586263.5974512296</v>
      </c>
      <c r="M89" s="77">
        <v>4287369.4523842055</v>
      </c>
      <c r="N89" s="77">
        <v>4129340.6792961839</v>
      </c>
      <c r="O89" s="77">
        <v>4675368.6756879343</v>
      </c>
      <c r="P89" s="77">
        <v>3017295.7800836889</v>
      </c>
      <c r="Q89" s="77">
        <v>4273210.9535694756</v>
      </c>
      <c r="R89" s="77">
        <v>3063149.0788004398</v>
      </c>
      <c r="S89" s="101">
        <f t="shared" si="27"/>
        <v>243681114.04556003</v>
      </c>
      <c r="T89" s="436">
        <f t="shared" si="28"/>
        <v>2.8452130169016652</v>
      </c>
      <c r="U89" s="276"/>
    </row>
    <row r="90" spans="1:25">
      <c r="A90" s="105" t="str">
        <f t="shared" si="26"/>
        <v>7113p</v>
      </c>
      <c r="B90" s="617" t="str">
        <f>+VLOOKUP(LEFT($A90,LEN(A90)-1)*1,Master!$D$30:$G$229,4,FALSE)</f>
        <v xml:space="preserve">Taxes on Sales of Property </v>
      </c>
      <c r="C90" s="618"/>
      <c r="D90" s="618"/>
      <c r="E90" s="618"/>
      <c r="F90" s="61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7"/>
        <v>0</v>
      </c>
      <c r="T90" s="436">
        <f t="shared" si="28"/>
        <v>0</v>
      </c>
      <c r="U90" s="276"/>
    </row>
    <row r="91" spans="1:25">
      <c r="A91" s="105" t="str">
        <f t="shared" si="26"/>
        <v>7114p</v>
      </c>
      <c r="B91" s="617" t="str">
        <f>+VLOOKUP(LEFT($A91,LEN(A91)-1)*1,Master!$D$30:$G$229,4,FALSE)</f>
        <v>Value Added Tax</v>
      </c>
      <c r="C91" s="618"/>
      <c r="D91" s="618"/>
      <c r="E91" s="618"/>
      <c r="F91" s="618"/>
      <c r="G91" s="77">
        <v>103563259.63</v>
      </c>
      <c r="H91" s="77">
        <v>85906011.700000003</v>
      </c>
      <c r="I91" s="77">
        <v>100722981.744941</v>
      </c>
      <c r="J91" s="77">
        <v>102894956.134937</v>
      </c>
      <c r="K91" s="77">
        <v>115364478.1828949</v>
      </c>
      <c r="L91" s="77">
        <v>127631724.62428281</v>
      </c>
      <c r="M91" s="77">
        <v>144867442.25136679</v>
      </c>
      <c r="N91" s="77">
        <v>153328125.54158679</v>
      </c>
      <c r="O91" s="77">
        <v>153903199.46410081</v>
      </c>
      <c r="P91" s="77">
        <v>139835606.86198401</v>
      </c>
      <c r="Q91" s="77">
        <v>110762381.97762799</v>
      </c>
      <c r="R91" s="77">
        <v>135480231.886278</v>
      </c>
      <c r="S91" s="101">
        <f t="shared" si="27"/>
        <v>1474260399.9999998</v>
      </c>
      <c r="T91" s="436">
        <f t="shared" si="28"/>
        <v>17.213418023025007</v>
      </c>
      <c r="U91" s="276"/>
    </row>
    <row r="92" spans="1:25">
      <c r="A92" s="105" t="str">
        <f t="shared" si="26"/>
        <v>7115p</v>
      </c>
      <c r="B92" s="617" t="str">
        <f>+VLOOKUP(LEFT($A92,LEN(A92)-1)*1,Master!$D$30:$G$229,4,FALSE)</f>
        <v>Excises</v>
      </c>
      <c r="C92" s="618"/>
      <c r="D92" s="618"/>
      <c r="E92" s="618"/>
      <c r="F92" s="618"/>
      <c r="G92" s="77">
        <v>25853560.700000003</v>
      </c>
      <c r="H92" s="77">
        <v>25782205.390000001</v>
      </c>
      <c r="I92" s="77">
        <v>23470631.970260199</v>
      </c>
      <c r="J92" s="77">
        <v>33290334.5724907</v>
      </c>
      <c r="K92" s="77">
        <v>34046096.65427509</v>
      </c>
      <c r="L92" s="77">
        <v>38245709.919014864</v>
      </c>
      <c r="M92" s="77">
        <v>47873590.959907062</v>
      </c>
      <c r="N92" s="77">
        <v>49503814.562137462</v>
      </c>
      <c r="O92" s="77">
        <v>41937531.480353162</v>
      </c>
      <c r="P92" s="77">
        <v>41057620.817843899</v>
      </c>
      <c r="Q92" s="77">
        <v>30854275.09293681</v>
      </c>
      <c r="R92" s="77">
        <v>37384627.880780697</v>
      </c>
      <c r="S92" s="101">
        <f t="shared" si="27"/>
        <v>429300000</v>
      </c>
      <c r="T92" s="436">
        <f t="shared" si="28"/>
        <v>5.0124932863181</v>
      </c>
      <c r="U92" s="276"/>
      <c r="W92" s="242"/>
      <c r="X92" s="242"/>
      <c r="Y92" s="242"/>
    </row>
    <row r="93" spans="1:25">
      <c r="A93" s="105" t="str">
        <f t="shared" si="26"/>
        <v>7116p</v>
      </c>
      <c r="B93" s="617" t="str">
        <f>+VLOOKUP(LEFT($A93,LEN(A93)-1)*1,Master!$D$30:$G$229,4,FALSE)</f>
        <v>Tax on International Trade and Transactions</v>
      </c>
      <c r="C93" s="618"/>
      <c r="D93" s="618"/>
      <c r="E93" s="618"/>
      <c r="F93" s="618"/>
      <c r="G93" s="77">
        <v>3336289.84</v>
      </c>
      <c r="H93" s="77">
        <v>4197843.17</v>
      </c>
      <c r="I93" s="77">
        <v>5730378.2462336114</v>
      </c>
      <c r="J93" s="77">
        <v>5521131.0428255089</v>
      </c>
      <c r="K93" s="77">
        <v>5863712.9453032995</v>
      </c>
      <c r="L93" s="77">
        <v>6550569.485030341</v>
      </c>
      <c r="M93" s="77">
        <v>6897318.1238761339</v>
      </c>
      <c r="N93" s="77">
        <v>6998831.4851978477</v>
      </c>
      <c r="O93" s="77">
        <v>6493627.6115585314</v>
      </c>
      <c r="P93" s="77">
        <v>5907364.0405404856</v>
      </c>
      <c r="Q93" s="77">
        <v>6475650.7942183083</v>
      </c>
      <c r="R93" s="77">
        <v>6457486.382455918</v>
      </c>
      <c r="S93" s="101">
        <f t="shared" si="27"/>
        <v>70430203.167239994</v>
      </c>
      <c r="T93" s="436">
        <f t="shared" si="28"/>
        <v>0.82234083514980272</v>
      </c>
      <c r="U93" s="276"/>
    </row>
    <row r="94" spans="1:25">
      <c r="A94" s="105" t="str">
        <f t="shared" si="26"/>
        <v>7118p</v>
      </c>
      <c r="B94" s="617" t="str">
        <f>+VLOOKUP(LEFT($A94,LEN(A94)-1)*1,Master!$D$30:$G$229,4,FALSE)</f>
        <v>Other Republic Taxes</v>
      </c>
      <c r="C94" s="618"/>
      <c r="D94" s="618"/>
      <c r="E94" s="618"/>
      <c r="F94" s="618"/>
      <c r="G94" s="77">
        <v>1112774.18</v>
      </c>
      <c r="H94" s="77">
        <v>1112369.8</v>
      </c>
      <c r="I94" s="77">
        <v>1400289.5937747119</v>
      </c>
      <c r="J94" s="77">
        <v>1795877.881582927</v>
      </c>
      <c r="K94" s="77">
        <v>1644173.477990618</v>
      </c>
      <c r="L94" s="77">
        <v>1439832.1817686979</v>
      </c>
      <c r="M94" s="77">
        <v>1629241.237928529</v>
      </c>
      <c r="N94" s="77">
        <v>1433054.9142914431</v>
      </c>
      <c r="O94" s="77">
        <v>1546417.4797046159</v>
      </c>
      <c r="P94" s="77">
        <v>1373886.9490263991</v>
      </c>
      <c r="Q94" s="77">
        <v>1363356.288016639</v>
      </c>
      <c r="R94" s="77">
        <v>1254701.6443754211</v>
      </c>
      <c r="S94" s="101">
        <f t="shared" si="27"/>
        <v>17105975.628460005</v>
      </c>
      <c r="T94" s="436">
        <f t="shared" si="28"/>
        <v>0.19972883296896535</v>
      </c>
      <c r="U94" s="276"/>
    </row>
    <row r="95" spans="1:25">
      <c r="A95" s="105" t="str">
        <f t="shared" si="26"/>
        <v>712p</v>
      </c>
      <c r="B95" s="623" t="str">
        <f>+VLOOKUP(LEFT($A95,LEN(A95)-1)*1,Master!$D$30:$G$229,4,FALSE)</f>
        <v>Contributions</v>
      </c>
      <c r="C95" s="624"/>
      <c r="D95" s="624"/>
      <c r="E95" s="624"/>
      <c r="F95" s="624"/>
      <c r="G95" s="536">
        <v>15040242.18</v>
      </c>
      <c r="H95" s="536">
        <v>33912527.129999995</v>
      </c>
      <c r="I95" s="537">
        <v>38122272.682000183</v>
      </c>
      <c r="J95" s="536">
        <v>36861095.016813256</v>
      </c>
      <c r="K95" s="536">
        <v>37091014.324559391</v>
      </c>
      <c r="L95" s="536">
        <v>39896957.696693726</v>
      </c>
      <c r="M95" s="536">
        <v>40629272.597245134</v>
      </c>
      <c r="N95" s="536">
        <v>39218224.569931686</v>
      </c>
      <c r="O95" s="536">
        <v>36622021.814950533</v>
      </c>
      <c r="P95" s="536">
        <v>35022993.184191018</v>
      </c>
      <c r="Q95" s="536">
        <v>35368438.116964862</v>
      </c>
      <c r="R95" s="538">
        <v>68185676.293503135</v>
      </c>
      <c r="S95" s="539">
        <f t="shared" si="27"/>
        <v>455970735.60685289</v>
      </c>
      <c r="T95" s="515">
        <f t="shared" si="28"/>
        <v>5.323899955711334</v>
      </c>
      <c r="U95" s="276"/>
    </row>
    <row r="96" spans="1:25">
      <c r="A96" s="105" t="str">
        <f t="shared" si="26"/>
        <v>7121p</v>
      </c>
      <c r="B96" s="617" t="str">
        <f>+VLOOKUP(LEFT($A96,LEN(A96)-1)*1,Master!$D$30:$G$229,4,FALSE)</f>
        <v>Contributions for Pension and Disability Insurance</v>
      </c>
      <c r="C96" s="618"/>
      <c r="D96" s="618"/>
      <c r="E96" s="618"/>
      <c r="F96" s="618"/>
      <c r="G96" s="77">
        <v>13458517.189999999</v>
      </c>
      <c r="H96" s="77">
        <v>30119156.719999999</v>
      </c>
      <c r="I96" s="77">
        <v>33834822.429532893</v>
      </c>
      <c r="J96" s="77">
        <v>32746003.592248771</v>
      </c>
      <c r="K96" s="77">
        <v>33109848.23931599</v>
      </c>
      <c r="L96" s="77">
        <v>34920317.382558778</v>
      </c>
      <c r="M96" s="77">
        <v>35774561.025258452</v>
      </c>
      <c r="N96" s="77">
        <v>33896336.875690714</v>
      </c>
      <c r="O96" s="77">
        <v>32049537.889377549</v>
      </c>
      <c r="P96" s="77">
        <v>30202378.331233311</v>
      </c>
      <c r="Q96" s="77">
        <v>30955042.544447221</v>
      </c>
      <c r="R96" s="77">
        <v>58664964.38852933</v>
      </c>
      <c r="S96" s="101">
        <f t="shared" si="27"/>
        <v>399731486.60819304</v>
      </c>
      <c r="T96" s="436">
        <f t="shared" si="28"/>
        <v>4.6672522547251836</v>
      </c>
      <c r="U96" s="276"/>
      <c r="V96" s="292"/>
    </row>
    <row r="97" spans="1:22">
      <c r="A97" s="105" t="str">
        <f t="shared" si="26"/>
        <v>7122p</v>
      </c>
      <c r="B97" s="617" t="str">
        <f>+VLOOKUP(LEFT($A97,LEN(A97)-1)*1,Master!$D$30:$G$229,4,FALSE)</f>
        <v>Contributions for Health Insurance</v>
      </c>
      <c r="C97" s="618"/>
      <c r="D97" s="618"/>
      <c r="E97" s="618"/>
      <c r="F97" s="618"/>
      <c r="G97" s="77">
        <v>123789.09</v>
      </c>
      <c r="H97" s="77">
        <v>203327.02</v>
      </c>
      <c r="I97" s="77">
        <v>416686.55694443011</v>
      </c>
      <c r="J97" s="77">
        <v>416686.55694443011</v>
      </c>
      <c r="K97" s="77">
        <v>487585.36413836322</v>
      </c>
      <c r="L97" s="77">
        <v>504633.10196657077</v>
      </c>
      <c r="M97" s="77">
        <v>504633.10196657077</v>
      </c>
      <c r="N97" s="77">
        <v>504633.10196657077</v>
      </c>
      <c r="O97" s="77">
        <v>504633.10196657077</v>
      </c>
      <c r="P97" s="77">
        <v>416686.55694443011</v>
      </c>
      <c r="Q97" s="77">
        <v>416686.55694443011</v>
      </c>
      <c r="R97" s="77">
        <v>500019.89021763433</v>
      </c>
      <c r="S97" s="101">
        <f t="shared" si="27"/>
        <v>5000000</v>
      </c>
      <c r="T97" s="436">
        <f t="shared" si="28"/>
        <v>5.8379842607944328E-2</v>
      </c>
      <c r="U97" s="276"/>
    </row>
    <row r="98" spans="1:22">
      <c r="A98" s="105" t="str">
        <f t="shared" si="26"/>
        <v>7123p</v>
      </c>
      <c r="B98" s="617" t="str">
        <f>+VLOOKUP(LEFT($A98,LEN(A98)-1)*1,Master!$D$30:$G$229,4,FALSE)</f>
        <v>Contributions for  Unemployment Insurance</v>
      </c>
      <c r="C98" s="618"/>
      <c r="D98" s="618"/>
      <c r="E98" s="618"/>
      <c r="F98" s="618"/>
      <c r="G98" s="77">
        <v>861006.73</v>
      </c>
      <c r="H98" s="77">
        <v>2061091.27</v>
      </c>
      <c r="I98" s="77">
        <v>2071452.0414873669</v>
      </c>
      <c r="J98" s="77">
        <v>2128817.712025594</v>
      </c>
      <c r="K98" s="77">
        <v>1888051.083314558</v>
      </c>
      <c r="L98" s="77">
        <v>2563934.2497231429</v>
      </c>
      <c r="M98" s="77">
        <v>2377617.330563623</v>
      </c>
      <c r="N98" s="77">
        <v>2895542.5008013318</v>
      </c>
      <c r="O98" s="77">
        <v>2597255.7287014481</v>
      </c>
      <c r="P98" s="77">
        <v>2537017.2737152278</v>
      </c>
      <c r="Q98" s="77">
        <v>2405912.9660101719</v>
      </c>
      <c r="R98" s="77">
        <v>5420141.1176091339</v>
      </c>
      <c r="S98" s="101">
        <f t="shared" si="27"/>
        <v>29807840.003951594</v>
      </c>
      <c r="T98" s="436">
        <f t="shared" si="28"/>
        <v>0.34803540158269614</v>
      </c>
      <c r="U98" s="276"/>
    </row>
    <row r="99" spans="1:22">
      <c r="A99" s="105" t="str">
        <f t="shared" si="26"/>
        <v>7124p</v>
      </c>
      <c r="B99" s="617" t="str">
        <f>+VLOOKUP(LEFT($A99,LEN(A99)-1)*1,Master!$D$30:$G$229,4,FALSE)</f>
        <v>Other contributions</v>
      </c>
      <c r="C99" s="618"/>
      <c r="D99" s="618"/>
      <c r="E99" s="618"/>
      <c r="F99" s="618"/>
      <c r="G99" s="77">
        <v>596929.17000000004</v>
      </c>
      <c r="H99" s="77">
        <v>1528952.12</v>
      </c>
      <c r="I99" s="77">
        <v>1799311.6540354949</v>
      </c>
      <c r="J99" s="77">
        <v>1569587.1555944581</v>
      </c>
      <c r="K99" s="77">
        <v>1605529.637790482</v>
      </c>
      <c r="L99" s="77">
        <v>1908072.962445236</v>
      </c>
      <c r="M99" s="77">
        <v>1972461.139456494</v>
      </c>
      <c r="N99" s="77">
        <v>1921712.0914730751</v>
      </c>
      <c r="O99" s="77">
        <v>1470595.094904968</v>
      </c>
      <c r="P99" s="77">
        <v>1866911.022298048</v>
      </c>
      <c r="Q99" s="77">
        <v>1590796.0495630379</v>
      </c>
      <c r="R99" s="77">
        <v>3600550.897147039</v>
      </c>
      <c r="S99" s="101">
        <f t="shared" si="27"/>
        <v>21431408.994708329</v>
      </c>
      <c r="T99" s="436">
        <f t="shared" si="28"/>
        <v>0.25023245679551093</v>
      </c>
      <c r="U99" s="276"/>
    </row>
    <row r="100" spans="1:22">
      <c r="A100" s="105" t="str">
        <f t="shared" si="26"/>
        <v>713p</v>
      </c>
      <c r="B100" s="623" t="str">
        <f>+VLOOKUP(LEFT($A100,LEN(A100)-1)*1,Master!$D$30:$G$229,4,FALSE)</f>
        <v>Duties</v>
      </c>
      <c r="C100" s="624"/>
      <c r="D100" s="624"/>
      <c r="E100" s="624"/>
      <c r="F100" s="624"/>
      <c r="G100" s="503">
        <v>760921.56</v>
      </c>
      <c r="H100" s="503">
        <v>871357.06000000017</v>
      </c>
      <c r="I100" s="503">
        <v>1354982.5073912749</v>
      </c>
      <c r="J100" s="503">
        <v>1548621.4762266001</v>
      </c>
      <c r="K100" s="503">
        <v>1311753.8035919121</v>
      </c>
      <c r="L100" s="503">
        <v>1734866.3061894828</v>
      </c>
      <c r="M100" s="503">
        <v>2463110.412780867</v>
      </c>
      <c r="N100" s="503">
        <v>2721558.4807797847</v>
      </c>
      <c r="O100" s="503">
        <v>2283008.9060167298</v>
      </c>
      <c r="P100" s="503">
        <v>1623110.0924870989</v>
      </c>
      <c r="Q100" s="503">
        <v>1410485.8526485232</v>
      </c>
      <c r="R100" s="503">
        <v>1874908.2177277268</v>
      </c>
      <c r="S100" s="539">
        <f t="shared" si="27"/>
        <v>19958684.675840005</v>
      </c>
      <c r="T100" s="515">
        <f t="shared" si="28"/>
        <v>0.23303697400742598</v>
      </c>
      <c r="U100" s="276"/>
    </row>
    <row r="101" spans="1:22">
      <c r="A101" s="105" t="str">
        <f t="shared" si="26"/>
        <v>714p</v>
      </c>
      <c r="B101" s="623" t="str">
        <f>+VLOOKUP(LEFT($A101,LEN(A101)-1)*1,Master!$D$30:$G$229,4,FALSE)</f>
        <v>Fees</v>
      </c>
      <c r="C101" s="624"/>
      <c r="D101" s="624"/>
      <c r="E101" s="624"/>
      <c r="F101" s="624"/>
      <c r="G101" s="503">
        <v>5754526.1699999999</v>
      </c>
      <c r="H101" s="503">
        <v>4706927.32</v>
      </c>
      <c r="I101" s="503">
        <v>6367290.5879893601</v>
      </c>
      <c r="J101" s="503">
        <v>6077852.1208678391</v>
      </c>
      <c r="K101" s="503">
        <v>6136852.7056416813</v>
      </c>
      <c r="L101" s="503">
        <v>7726495.7396486197</v>
      </c>
      <c r="M101" s="503">
        <v>7874071.2225498315</v>
      </c>
      <c r="N101" s="503">
        <v>7683242.1843613042</v>
      </c>
      <c r="O101" s="503">
        <v>8234896.4815740976</v>
      </c>
      <c r="P101" s="503">
        <v>6739804.5901674582</v>
      </c>
      <c r="Q101" s="503">
        <v>6923870.8099540547</v>
      </c>
      <c r="R101" s="503">
        <v>7624499.4761657491</v>
      </c>
      <c r="S101" s="539">
        <f t="shared" si="27"/>
        <v>81850329.40891999</v>
      </c>
      <c r="T101" s="515">
        <f t="shared" si="28"/>
        <v>0.95568186966022917</v>
      </c>
      <c r="U101" s="276"/>
    </row>
    <row r="102" spans="1:22">
      <c r="A102" s="105" t="str">
        <f t="shared" si="26"/>
        <v>715p</v>
      </c>
      <c r="B102" s="623" t="str">
        <f>+VLOOKUP(LEFT($A102,LEN(A102)-1)*1,Master!$D$30:$G$229,4,FALSE)</f>
        <v>Other revenues</v>
      </c>
      <c r="C102" s="624"/>
      <c r="D102" s="624"/>
      <c r="E102" s="624"/>
      <c r="F102" s="624"/>
      <c r="G102" s="503">
        <v>1797426.74</v>
      </c>
      <c r="H102" s="503">
        <v>2003809.9199999997</v>
      </c>
      <c r="I102" s="503">
        <v>4224773.8501678938</v>
      </c>
      <c r="J102" s="503">
        <v>4369058.0058000032</v>
      </c>
      <c r="K102" s="503">
        <v>4886241.278766836</v>
      </c>
      <c r="L102" s="503">
        <v>5509329.4477721602</v>
      </c>
      <c r="M102" s="503">
        <v>5384944.0087026209</v>
      </c>
      <c r="N102" s="503">
        <v>9940422.4267649911</v>
      </c>
      <c r="O102" s="503">
        <v>7732947.0922748102</v>
      </c>
      <c r="P102" s="503">
        <v>7587958.4640256204</v>
      </c>
      <c r="Q102" s="503">
        <v>5418373.2756561711</v>
      </c>
      <c r="R102" s="503">
        <v>5936697.1040888941</v>
      </c>
      <c r="S102" s="539">
        <f t="shared" si="27"/>
        <v>64791981.614020005</v>
      </c>
      <c r="T102" s="515">
        <f t="shared" si="28"/>
        <v>0.75650913777666218</v>
      </c>
      <c r="U102" s="276"/>
    </row>
    <row r="103" spans="1:22">
      <c r="A103" s="105" t="str">
        <f t="shared" si="26"/>
        <v>73p</v>
      </c>
      <c r="B103" s="623" t="str">
        <f>+VLOOKUP(LEFT($A103,LEN(A103)-1)*1,Master!$D$30:$G$229,4,FALSE)</f>
        <v>Receipts from Repayment of Loans and Funds Carried over from Previous Year</v>
      </c>
      <c r="C103" s="624"/>
      <c r="D103" s="624"/>
      <c r="E103" s="624"/>
      <c r="F103" s="624"/>
      <c r="G103" s="503">
        <v>0</v>
      </c>
      <c r="H103" s="503">
        <v>0</v>
      </c>
      <c r="I103" s="503">
        <v>0</v>
      </c>
      <c r="J103" s="503">
        <v>0</v>
      </c>
      <c r="K103" s="503">
        <v>0</v>
      </c>
      <c r="L103" s="503">
        <v>0</v>
      </c>
      <c r="M103" s="503">
        <v>0</v>
      </c>
      <c r="N103" s="503">
        <v>0</v>
      </c>
      <c r="O103" s="503">
        <v>0</v>
      </c>
      <c r="P103" s="503">
        <v>0</v>
      </c>
      <c r="Q103" s="503">
        <v>0</v>
      </c>
      <c r="R103" s="503">
        <v>0</v>
      </c>
      <c r="S103" s="539">
        <f t="shared" si="27"/>
        <v>0</v>
      </c>
      <c r="T103" s="515">
        <f t="shared" si="28"/>
        <v>0</v>
      </c>
      <c r="U103" s="276"/>
      <c r="V103" s="292"/>
    </row>
    <row r="104" spans="1:22" ht="13.5" thickBot="1">
      <c r="A104" s="105" t="str">
        <f t="shared" si="26"/>
        <v>74p</v>
      </c>
      <c r="B104" s="619" t="str">
        <f>+VLOOKUP(LEFT($A104,LEN(A104)-1)*1,Master!$D$30:$G$229,4,FALSE)</f>
        <v>Grants and Transfers</v>
      </c>
      <c r="C104" s="620"/>
      <c r="D104" s="620"/>
      <c r="E104" s="620"/>
      <c r="F104" s="620"/>
      <c r="G104" s="503">
        <v>0</v>
      </c>
      <c r="H104" s="503">
        <v>1130949.07</v>
      </c>
      <c r="I104" s="503">
        <v>3000000</v>
      </c>
      <c r="J104" s="503">
        <v>3153709.3977777781</v>
      </c>
      <c r="K104" s="503">
        <v>3653709.39777778</v>
      </c>
      <c r="L104" s="503">
        <v>4620972.1302777799</v>
      </c>
      <c r="M104" s="503">
        <v>6170972.1302777799</v>
      </c>
      <c r="N104" s="503">
        <v>9870972.1302777808</v>
      </c>
      <c r="O104" s="503">
        <v>13120972.130277781</v>
      </c>
      <c r="P104" s="503">
        <v>29153709.3977778</v>
      </c>
      <c r="Q104" s="503">
        <v>28153709.397777781</v>
      </c>
      <c r="R104" s="503">
        <v>3170324.8177777799</v>
      </c>
      <c r="S104" s="540">
        <f t="shared" si="27"/>
        <v>105200000.00000004</v>
      </c>
      <c r="T104" s="517">
        <f t="shared" si="28"/>
        <v>1.2283118884711492</v>
      </c>
      <c r="U104" s="276"/>
    </row>
    <row r="105" spans="1:22" ht="13.5" thickBot="1">
      <c r="A105" s="105" t="str">
        <f t="shared" si="26"/>
        <v>4p</v>
      </c>
      <c r="B105" s="601" t="str">
        <f>+VLOOKUP(LEFT($A105,LEN(A105)-1)*1,Master!$D$30:$G$229,4,FALSE)</f>
        <v>Total Expenditures</v>
      </c>
      <c r="C105" s="602"/>
      <c r="D105" s="602"/>
      <c r="E105" s="602"/>
      <c r="F105" s="602"/>
      <c r="G105" s="498">
        <v>276075862.74000007</v>
      </c>
      <c r="H105" s="498">
        <v>250900172.53000003</v>
      </c>
      <c r="I105" s="498">
        <v>302853997.67000008</v>
      </c>
      <c r="J105" s="498">
        <v>311206838.67000002</v>
      </c>
      <c r="K105" s="498">
        <v>249184399.54000005</v>
      </c>
      <c r="L105" s="498">
        <v>276627750.10000002</v>
      </c>
      <c r="M105" s="498">
        <v>263410795.76000002</v>
      </c>
      <c r="N105" s="498">
        <v>245921480.15000004</v>
      </c>
      <c r="O105" s="498">
        <v>276928365.88999999</v>
      </c>
      <c r="P105" s="498">
        <v>276908966.93000007</v>
      </c>
      <c r="Q105" s="498">
        <v>263195197.97999999</v>
      </c>
      <c r="R105" s="498">
        <v>369575528.01999998</v>
      </c>
      <c r="S105" s="541">
        <f>+SUM(G105:R105)</f>
        <v>3362789355.9799995</v>
      </c>
      <c r="T105" s="542">
        <f t="shared" si="28"/>
        <v>39.263822665156567</v>
      </c>
      <c r="U105" s="276"/>
    </row>
    <row r="106" spans="1:22">
      <c r="A106" s="105" t="str">
        <f t="shared" si="26"/>
        <v>41p</v>
      </c>
      <c r="B106" s="621" t="str">
        <f>+VLOOKUP(LEFT($A106,LEN(A106)-1)*1,Master!$D$30:$G$229,4,FALSE)</f>
        <v>Current Expenditures</v>
      </c>
      <c r="C106" s="622"/>
      <c r="D106" s="622"/>
      <c r="E106" s="622"/>
      <c r="F106" s="622"/>
      <c r="G106" s="504">
        <v>102776834.81000005</v>
      </c>
      <c r="H106" s="504">
        <v>87897023.549999997</v>
      </c>
      <c r="I106" s="504">
        <v>114671179.71000004</v>
      </c>
      <c r="J106" s="504">
        <v>142348016.90000001</v>
      </c>
      <c r="K106" s="504">
        <v>89858775.299999997</v>
      </c>
      <c r="L106" s="504">
        <v>107068525.90000001</v>
      </c>
      <c r="M106" s="504">
        <v>97552258.630000025</v>
      </c>
      <c r="N106" s="504">
        <v>87486989.739999995</v>
      </c>
      <c r="O106" s="504">
        <v>110961329.31000003</v>
      </c>
      <c r="P106" s="504">
        <v>112682764.51000004</v>
      </c>
      <c r="Q106" s="504">
        <v>102259218.44999996</v>
      </c>
      <c r="R106" s="505">
        <v>163373965.94</v>
      </c>
      <c r="S106" s="535">
        <f t="shared" si="27"/>
        <v>1318936882.75</v>
      </c>
      <c r="T106" s="512">
        <f t="shared" si="28"/>
        <v>15.399865524951545</v>
      </c>
      <c r="U106" s="276"/>
      <c r="V106" s="275"/>
    </row>
    <row r="107" spans="1:22">
      <c r="A107" s="105" t="str">
        <f t="shared" si="26"/>
        <v>411p</v>
      </c>
      <c r="B107" s="617" t="str">
        <f>+VLOOKUP(LEFT($A107,LEN(A107)-1)*1,Master!$D$30:$G$229,4,FALSE)</f>
        <v>Gross Salaries and Contributions</v>
      </c>
      <c r="C107" s="618"/>
      <c r="D107" s="618"/>
      <c r="E107" s="618"/>
      <c r="F107" s="618"/>
      <c r="G107" s="77">
        <v>61335676.670000017</v>
      </c>
      <c r="H107" s="77">
        <v>60338786.139999986</v>
      </c>
      <c r="I107" s="77">
        <v>59643227.720000029</v>
      </c>
      <c r="J107" s="77">
        <v>61081392.299999997</v>
      </c>
      <c r="K107" s="77">
        <v>61168112.759999983</v>
      </c>
      <c r="L107" s="77">
        <v>61088492.889999978</v>
      </c>
      <c r="M107" s="77">
        <v>59297634.670000024</v>
      </c>
      <c r="N107" s="77">
        <v>59157272.019999988</v>
      </c>
      <c r="O107" s="77">
        <v>59056810.900000028</v>
      </c>
      <c r="P107" s="77">
        <v>61312146.840000026</v>
      </c>
      <c r="Q107" s="77">
        <v>60769871.93999996</v>
      </c>
      <c r="R107" s="77">
        <v>62820007.070000008</v>
      </c>
      <c r="S107" s="101">
        <f t="shared" si="27"/>
        <v>727069431.92000008</v>
      </c>
      <c r="T107" s="436">
        <f t="shared" si="28"/>
        <v>8.4892398001074199</v>
      </c>
      <c r="U107" s="276"/>
    </row>
    <row r="108" spans="1:22">
      <c r="A108" s="105" t="str">
        <f t="shared" si="26"/>
        <v>412p</v>
      </c>
      <c r="B108" s="617" t="str">
        <f>+VLOOKUP(LEFT($A108,LEN(A108)-1)*1,Master!$D$30:$G$229,4,FALSE)</f>
        <v>Other Personal Income</v>
      </c>
      <c r="C108" s="618"/>
      <c r="D108" s="618"/>
      <c r="E108" s="618"/>
      <c r="F108" s="618"/>
      <c r="G108" s="77">
        <v>2094592.6999999993</v>
      </c>
      <c r="H108" s="77">
        <v>2029525.0899999999</v>
      </c>
      <c r="I108" s="77">
        <v>1916284.2100000014</v>
      </c>
      <c r="J108" s="77">
        <v>2163621.5200000019</v>
      </c>
      <c r="K108" s="77">
        <v>1672828.36</v>
      </c>
      <c r="L108" s="77">
        <v>2228933.4700000035</v>
      </c>
      <c r="M108" s="77">
        <v>1714336.76</v>
      </c>
      <c r="N108" s="77">
        <v>2286449.7700000005</v>
      </c>
      <c r="O108" s="77">
        <v>1824872.4000000027</v>
      </c>
      <c r="P108" s="77">
        <v>2313526.8500000024</v>
      </c>
      <c r="Q108" s="77">
        <v>1891601.0300000005</v>
      </c>
      <c r="R108" s="77">
        <v>3567819.9499999983</v>
      </c>
      <c r="S108" s="101">
        <f t="shared" si="27"/>
        <v>25704392.110000011</v>
      </c>
      <c r="T108" s="436">
        <f t="shared" si="28"/>
        <v>0.30012367314293731</v>
      </c>
      <c r="U108" s="276"/>
    </row>
    <row r="109" spans="1:22">
      <c r="A109" s="105" t="str">
        <f t="shared" si="26"/>
        <v>413p</v>
      </c>
      <c r="B109" s="617" t="str">
        <f>+VLOOKUP(LEFT($A109,LEN(A109)-1)*1,Master!$D$30:$G$229,4,FALSE)</f>
        <v>Expenditures for Supplies</v>
      </c>
      <c r="C109" s="618"/>
      <c r="D109" s="618"/>
      <c r="E109" s="618"/>
      <c r="F109" s="618"/>
      <c r="G109" s="77">
        <v>3343160.9999999935</v>
      </c>
      <c r="H109" s="77">
        <v>2915408.51</v>
      </c>
      <c r="I109" s="77">
        <v>4435898.1899999995</v>
      </c>
      <c r="J109" s="77">
        <v>3649908.7900000005</v>
      </c>
      <c r="K109" s="77">
        <v>2637559.5699999994</v>
      </c>
      <c r="L109" s="77">
        <v>2849980.95</v>
      </c>
      <c r="M109" s="77">
        <v>2815956.9699999997</v>
      </c>
      <c r="N109" s="77">
        <v>3502005.2600000007</v>
      </c>
      <c r="O109" s="77">
        <v>5407318.0700000003</v>
      </c>
      <c r="P109" s="77">
        <v>2715025.4000000004</v>
      </c>
      <c r="Q109" s="77">
        <v>4813266.9699999988</v>
      </c>
      <c r="R109" s="77">
        <v>7409660.3299999991</v>
      </c>
      <c r="S109" s="101">
        <f t="shared" si="27"/>
        <v>46495150.00999999</v>
      </c>
      <c r="T109" s="436">
        <f t="shared" si="28"/>
        <v>0.54287590792331208</v>
      </c>
      <c r="U109" s="276"/>
    </row>
    <row r="110" spans="1:22">
      <c r="A110" s="105" t="str">
        <f t="shared" si="26"/>
        <v>414p</v>
      </c>
      <c r="B110" s="617" t="str">
        <f>+VLOOKUP(LEFT($A110,LEN(A110)-1)*1,Master!$D$30:$G$229,4,FALSE)</f>
        <v>Expenditures for Services</v>
      </c>
      <c r="C110" s="618"/>
      <c r="D110" s="618"/>
      <c r="E110" s="618"/>
      <c r="F110" s="618"/>
      <c r="G110" s="77">
        <v>8791509.060000008</v>
      </c>
      <c r="H110" s="77">
        <v>8162413.4300000127</v>
      </c>
      <c r="I110" s="77">
        <v>7824529.6200000066</v>
      </c>
      <c r="J110" s="77">
        <v>9044266.900000006</v>
      </c>
      <c r="K110" s="77">
        <v>7831672.0100000063</v>
      </c>
      <c r="L110" s="77">
        <v>8588369.4400000051</v>
      </c>
      <c r="M110" s="77">
        <v>8352515.7300000088</v>
      </c>
      <c r="N110" s="77">
        <v>6852235.6300000064</v>
      </c>
      <c r="O110" s="77">
        <v>8321058.8100000052</v>
      </c>
      <c r="P110" s="77">
        <v>8251727.6900000051</v>
      </c>
      <c r="Q110" s="77">
        <v>7898547.7600000072</v>
      </c>
      <c r="R110" s="77">
        <v>17267347.740000013</v>
      </c>
      <c r="S110" s="101">
        <f t="shared" si="27"/>
        <v>107186193.8200001</v>
      </c>
      <c r="T110" s="436">
        <f t="shared" si="28"/>
        <v>1.2515026249912442</v>
      </c>
      <c r="U110" s="276"/>
    </row>
    <row r="111" spans="1:22">
      <c r="A111" s="105" t="str">
        <f t="shared" si="26"/>
        <v>415p</v>
      </c>
      <c r="B111" s="617" t="str">
        <f>+VLOOKUP(LEFT($A111,LEN(A111)-1)*1,Master!$D$30:$G$229,4,FALSE)</f>
        <v>Current Maintenance</v>
      </c>
      <c r="C111" s="618"/>
      <c r="D111" s="618"/>
      <c r="E111" s="618"/>
      <c r="F111" s="618"/>
      <c r="G111" s="77">
        <v>4733298.2899999991</v>
      </c>
      <c r="H111" s="77">
        <v>3658048.13</v>
      </c>
      <c r="I111" s="77">
        <v>4971731.5200000005</v>
      </c>
      <c r="J111" s="77">
        <v>4779653.5599999996</v>
      </c>
      <c r="K111" s="77">
        <v>4422387.5599999996</v>
      </c>
      <c r="L111" s="77">
        <v>5083476.54</v>
      </c>
      <c r="M111" s="77">
        <v>4718386.2200000007</v>
      </c>
      <c r="N111" s="77">
        <v>4792915.3600000003</v>
      </c>
      <c r="O111" s="77">
        <v>4256734.91</v>
      </c>
      <c r="P111" s="77">
        <v>5112374.4400000013</v>
      </c>
      <c r="Q111" s="77">
        <v>4928029.66</v>
      </c>
      <c r="R111" s="77">
        <v>9848080.5699999984</v>
      </c>
      <c r="S111" s="101">
        <f t="shared" si="27"/>
        <v>61305116.759999983</v>
      </c>
      <c r="T111" s="436">
        <f t="shared" si="28"/>
        <v>0.71579661350208978</v>
      </c>
      <c r="U111" s="276"/>
    </row>
    <row r="112" spans="1:22">
      <c r="A112" s="105" t="str">
        <f t="shared" si="26"/>
        <v>416p</v>
      </c>
      <c r="B112" s="617" t="str">
        <f>+VLOOKUP(LEFT($A112,LEN(A112)-1)*1,Master!$D$30:$G$229,4,FALSE)</f>
        <v>Interests</v>
      </c>
      <c r="C112" s="618"/>
      <c r="D112" s="618"/>
      <c r="E112" s="618"/>
      <c r="F112" s="618"/>
      <c r="G112" s="77">
        <v>8464976.6500000004</v>
      </c>
      <c r="H112" s="77">
        <v>2696492.4099999997</v>
      </c>
      <c r="I112" s="77">
        <v>22203570.899999999</v>
      </c>
      <c r="J112" s="77">
        <v>49733714.509999998</v>
      </c>
      <c r="K112" s="77">
        <v>3668679.6700000004</v>
      </c>
      <c r="L112" s="77">
        <v>14986169.060000001</v>
      </c>
      <c r="M112" s="77">
        <v>7339084.2000000002</v>
      </c>
      <c r="N112" s="77">
        <v>2482657.96</v>
      </c>
      <c r="O112" s="77">
        <v>21667714.07</v>
      </c>
      <c r="P112" s="77">
        <v>15475717.76</v>
      </c>
      <c r="Q112" s="77">
        <v>7591816.9299999997</v>
      </c>
      <c r="R112" s="77">
        <v>18520445.960000001</v>
      </c>
      <c r="S112" s="101">
        <f t="shared" si="27"/>
        <v>174831040.08000001</v>
      </c>
      <c r="T112" s="436">
        <f t="shared" si="28"/>
        <v>2.0413217205707217</v>
      </c>
      <c r="U112" s="276"/>
    </row>
    <row r="113" spans="1:21">
      <c r="A113" s="105" t="str">
        <f t="shared" si="26"/>
        <v>417p</v>
      </c>
      <c r="B113" s="617" t="str">
        <f>+VLOOKUP(LEFT($A113,LEN(A113)-1)*1,Master!$D$30:$G$229,4,FALSE)</f>
        <v>Rent</v>
      </c>
      <c r="C113" s="618"/>
      <c r="D113" s="618"/>
      <c r="E113" s="618"/>
      <c r="F113" s="618"/>
      <c r="G113" s="77">
        <v>1526240.320000001</v>
      </c>
      <c r="H113" s="77">
        <v>1005364.5400000006</v>
      </c>
      <c r="I113" s="77">
        <v>1267222.4600000011</v>
      </c>
      <c r="J113" s="77">
        <v>1096839.3699999996</v>
      </c>
      <c r="K113" s="77">
        <v>1005498.0400000011</v>
      </c>
      <c r="L113" s="77">
        <v>1262553.4200000006</v>
      </c>
      <c r="M113" s="77">
        <v>1142696.2300000007</v>
      </c>
      <c r="N113" s="77">
        <v>978722.42000000039</v>
      </c>
      <c r="O113" s="77">
        <v>1221691.2200000004</v>
      </c>
      <c r="P113" s="77">
        <v>1114394.93</v>
      </c>
      <c r="Q113" s="77">
        <v>1131649.2000000002</v>
      </c>
      <c r="R113" s="77">
        <v>1918060.9700000002</v>
      </c>
      <c r="S113" s="101">
        <f t="shared" si="27"/>
        <v>14670933.120000007</v>
      </c>
      <c r="T113" s="436">
        <f t="shared" si="28"/>
        <v>0.1712973532914556</v>
      </c>
      <c r="U113" s="276"/>
    </row>
    <row r="114" spans="1:21">
      <c r="A114" s="105" t="str">
        <f t="shared" si="26"/>
        <v>418p</v>
      </c>
      <c r="B114" s="617" t="str">
        <f>+VLOOKUP(LEFT($A114,LEN(A114)-1)*1,Master!$D$30:$G$229,4,FALSE)</f>
        <v>Subsidies</v>
      </c>
      <c r="C114" s="618"/>
      <c r="D114" s="618"/>
      <c r="E114" s="618"/>
      <c r="F114" s="618"/>
      <c r="G114" s="77">
        <v>4981667.2300000004</v>
      </c>
      <c r="H114" s="77">
        <v>2519479.5</v>
      </c>
      <c r="I114" s="77">
        <v>4858508.4000000004</v>
      </c>
      <c r="J114" s="77">
        <v>4236714.57</v>
      </c>
      <c r="K114" s="77">
        <v>2777954.39</v>
      </c>
      <c r="L114" s="77">
        <v>3186842.5700000003</v>
      </c>
      <c r="M114" s="77">
        <v>3907127</v>
      </c>
      <c r="N114" s="77">
        <v>2749485.8600000003</v>
      </c>
      <c r="O114" s="77">
        <v>4794489.1100000003</v>
      </c>
      <c r="P114" s="77">
        <v>9814818.2999999989</v>
      </c>
      <c r="Q114" s="77">
        <v>8274462.4199999999</v>
      </c>
      <c r="R114" s="77">
        <v>23470308.82</v>
      </c>
      <c r="S114" s="101">
        <f t="shared" si="27"/>
        <v>75571858.170000002</v>
      </c>
      <c r="T114" s="436">
        <f t="shared" si="28"/>
        <v>0.88237463711089847</v>
      </c>
      <c r="U114" s="276"/>
    </row>
    <row r="115" spans="1:21">
      <c r="A115" s="105" t="str">
        <f t="shared" si="26"/>
        <v>419p</v>
      </c>
      <c r="B115" s="617" t="str">
        <f>+VLOOKUP(LEFT($A115,LEN(A115)-1)*1,Master!$D$30:$G$229,4,FALSE)</f>
        <v>Other expenditures</v>
      </c>
      <c r="C115" s="618"/>
      <c r="D115" s="618"/>
      <c r="E115" s="618"/>
      <c r="F115" s="618"/>
      <c r="G115" s="77">
        <v>7505712.8899999987</v>
      </c>
      <c r="H115" s="77">
        <v>4571505.8</v>
      </c>
      <c r="I115" s="77">
        <v>7550206.6900000013</v>
      </c>
      <c r="J115" s="77">
        <v>6561905.379999999</v>
      </c>
      <c r="K115" s="77">
        <v>4674082.9400000004</v>
      </c>
      <c r="L115" s="77">
        <v>7793707.5599999987</v>
      </c>
      <c r="M115" s="77">
        <v>8264520.8500000006</v>
      </c>
      <c r="N115" s="77">
        <v>4685245.4600000018</v>
      </c>
      <c r="O115" s="77">
        <v>4410639.8200000012</v>
      </c>
      <c r="P115" s="77">
        <v>6573032.3000000007</v>
      </c>
      <c r="Q115" s="77">
        <v>4959972.5399999991</v>
      </c>
      <c r="R115" s="77">
        <v>18552234.530000001</v>
      </c>
      <c r="S115" s="101">
        <f t="shared" si="27"/>
        <v>86102766.75999999</v>
      </c>
      <c r="T115" s="436">
        <f t="shared" si="28"/>
        <v>1.0053331943114681</v>
      </c>
      <c r="U115" s="276"/>
    </row>
    <row r="116" spans="1:21">
      <c r="A116" s="105" t="str">
        <f t="shared" si="26"/>
        <v>42p</v>
      </c>
      <c r="B116" s="613" t="str">
        <f>+VLOOKUP(LEFT($A116,LEN(A116)-1)*1,Master!$D$30:$G$229,4,FALSE)</f>
        <v>Social Security Transfers</v>
      </c>
      <c r="C116" s="614"/>
      <c r="D116" s="614"/>
      <c r="E116" s="614"/>
      <c r="F116" s="614"/>
      <c r="G116" s="500">
        <v>97141355.000000015</v>
      </c>
      <c r="H116" s="500">
        <v>98429725.790000007</v>
      </c>
      <c r="I116" s="500">
        <v>95251653.310000017</v>
      </c>
      <c r="J116" s="500">
        <v>93851854.440000013</v>
      </c>
      <c r="K116" s="500">
        <v>93523127.110000014</v>
      </c>
      <c r="L116" s="500">
        <v>95504288.460000008</v>
      </c>
      <c r="M116" s="500">
        <v>95280802.350000009</v>
      </c>
      <c r="N116" s="500">
        <v>96603528.99000001</v>
      </c>
      <c r="O116" s="500">
        <v>95268061.499999985</v>
      </c>
      <c r="P116" s="500">
        <v>98614821.090000018</v>
      </c>
      <c r="Q116" s="500">
        <v>96523058.440000013</v>
      </c>
      <c r="R116" s="500">
        <v>99726148.170000002</v>
      </c>
      <c r="S116" s="539">
        <f t="shared" si="27"/>
        <v>1155718424.6500001</v>
      </c>
      <c r="T116" s="515">
        <f t="shared" si="28"/>
        <v>13.494131946033674</v>
      </c>
      <c r="U116" s="276"/>
    </row>
    <row r="117" spans="1:21">
      <c r="A117" s="105" t="str">
        <f t="shared" si="26"/>
        <v>421p</v>
      </c>
      <c r="B117" s="617" t="str">
        <f>+VLOOKUP(LEFT($A117,LEN(A117)-1)*1,Master!$D$30:$G$229,4,FALSE)</f>
        <v>Social Security</v>
      </c>
      <c r="C117" s="618"/>
      <c r="D117" s="618"/>
      <c r="E117" s="618"/>
      <c r="F117" s="618"/>
      <c r="G117" s="148">
        <v>20856536.470000003</v>
      </c>
      <c r="H117" s="148">
        <v>22407581.460000001</v>
      </c>
      <c r="I117" s="148">
        <v>21149012.300000001</v>
      </c>
      <c r="J117" s="148">
        <v>19806039.579999998</v>
      </c>
      <c r="K117" s="148">
        <v>19445770.109999999</v>
      </c>
      <c r="L117" s="148">
        <v>20225052.129999999</v>
      </c>
      <c r="M117" s="148">
        <v>20253590.730000004</v>
      </c>
      <c r="N117" s="148">
        <v>21220267.359999999</v>
      </c>
      <c r="O117" s="148">
        <v>19601806.599999998</v>
      </c>
      <c r="P117" s="148">
        <v>22363934.399999999</v>
      </c>
      <c r="Q117" s="148">
        <v>20815293.530000001</v>
      </c>
      <c r="R117" s="148">
        <v>21102271.25</v>
      </c>
      <c r="S117" s="101">
        <f t="shared" si="27"/>
        <v>249247155.91999999</v>
      </c>
      <c r="T117" s="436">
        <f t="shared" si="28"/>
        <v>2.9102019466174718</v>
      </c>
      <c r="U117" s="276"/>
    </row>
    <row r="118" spans="1:21">
      <c r="A118" s="105" t="str">
        <f t="shared" si="26"/>
        <v>422p</v>
      </c>
      <c r="B118" s="617" t="str">
        <f>+VLOOKUP(LEFT($A118,LEN(A118)-1)*1,Master!$D$30:$G$229,4,FALSE)</f>
        <v>Funds for redundant labor</v>
      </c>
      <c r="C118" s="618"/>
      <c r="D118" s="618"/>
      <c r="E118" s="618"/>
      <c r="F118" s="618"/>
      <c r="G118" s="148">
        <v>2250500.08</v>
      </c>
      <c r="H118" s="148">
        <v>2117233.73</v>
      </c>
      <c r="I118" s="148">
        <v>2123814.2599999998</v>
      </c>
      <c r="J118" s="148">
        <v>2098727.21</v>
      </c>
      <c r="K118" s="148">
        <v>2047332.4200000002</v>
      </c>
      <c r="L118" s="148">
        <v>2045934.44</v>
      </c>
      <c r="M118" s="148">
        <v>2028882.5899999999</v>
      </c>
      <c r="N118" s="148">
        <v>2011024.49</v>
      </c>
      <c r="O118" s="148">
        <v>2036528.0800000003</v>
      </c>
      <c r="P118" s="148">
        <v>1982494.6300000001</v>
      </c>
      <c r="Q118" s="148">
        <v>1988950.09</v>
      </c>
      <c r="R118" s="148">
        <v>4274578.9800000004</v>
      </c>
      <c r="S118" s="101">
        <f t="shared" si="27"/>
        <v>27006001</v>
      </c>
      <c r="T118" s="436">
        <f t="shared" si="28"/>
        <v>0.31532121756999743</v>
      </c>
      <c r="U118" s="276"/>
    </row>
    <row r="119" spans="1:21">
      <c r="A119" s="105" t="str">
        <f t="shared" si="26"/>
        <v>423p</v>
      </c>
      <c r="B119" s="617" t="str">
        <f>+VLOOKUP(LEFT($A119,LEN(A119)-1)*1,Master!$D$30:$G$229,4,FALSE)</f>
        <v>Pension and Disability Insurance</v>
      </c>
      <c r="C119" s="618"/>
      <c r="D119" s="618"/>
      <c r="E119" s="618"/>
      <c r="F119" s="618"/>
      <c r="G119" s="148">
        <v>67994105.710000008</v>
      </c>
      <c r="H119" s="148">
        <v>70454777.719999999</v>
      </c>
      <c r="I119" s="148">
        <v>68464856.170000017</v>
      </c>
      <c r="J119" s="148">
        <v>68592650.549999997</v>
      </c>
      <c r="K119" s="148">
        <v>68677709.140000015</v>
      </c>
      <c r="L119" s="148">
        <v>69990850.709999993</v>
      </c>
      <c r="M119" s="148">
        <v>69868116.700000003</v>
      </c>
      <c r="N119" s="148">
        <v>69976942.370000005</v>
      </c>
      <c r="O119" s="148">
        <v>70260550.23999998</v>
      </c>
      <c r="P119" s="148">
        <v>70905453.710000008</v>
      </c>
      <c r="Q119" s="148">
        <v>70961492.019999996</v>
      </c>
      <c r="R119" s="148">
        <v>71057762.689999998</v>
      </c>
      <c r="S119" s="101">
        <f t="shared" si="27"/>
        <v>837205267.73000002</v>
      </c>
      <c r="T119" s="436">
        <f t="shared" si="28"/>
        <v>9.7751823521238599</v>
      </c>
      <c r="U119" s="276"/>
    </row>
    <row r="120" spans="1:21">
      <c r="A120" s="105" t="str">
        <f t="shared" si="26"/>
        <v>424p</v>
      </c>
      <c r="B120" s="617" t="str">
        <f>+VLOOKUP(LEFT($A120,LEN(A120)-1)*1,Master!$D$30:$G$229,4,FALSE)</f>
        <v>Other Health Care Transfers</v>
      </c>
      <c r="C120" s="618"/>
      <c r="D120" s="618"/>
      <c r="E120" s="618"/>
      <c r="F120" s="618"/>
      <c r="G120" s="148">
        <v>3974578.08</v>
      </c>
      <c r="H120" s="148">
        <v>1964311.0899999999</v>
      </c>
      <c r="I120" s="148">
        <v>1964311.0899999999</v>
      </c>
      <c r="J120" s="148">
        <v>1964311.0899999999</v>
      </c>
      <c r="K120" s="148">
        <v>1964311.0899999999</v>
      </c>
      <c r="L120" s="148">
        <v>1964311.0899999999</v>
      </c>
      <c r="M120" s="148">
        <v>1964311.0899999999</v>
      </c>
      <c r="N120" s="148">
        <v>1964311.0899999999</v>
      </c>
      <c r="O120" s="148">
        <v>1964311.0899999999</v>
      </c>
      <c r="P120" s="148">
        <v>1956977.76</v>
      </c>
      <c r="Q120" s="148">
        <v>1956977.76</v>
      </c>
      <c r="R120" s="148">
        <v>1956977.6800000002</v>
      </c>
      <c r="S120" s="101">
        <f t="shared" si="27"/>
        <v>25560000.000000004</v>
      </c>
      <c r="T120" s="436">
        <f t="shared" si="28"/>
        <v>0.29843775541181145</v>
      </c>
      <c r="U120" s="276"/>
    </row>
    <row r="121" spans="1:21">
      <c r="A121" s="105" t="str">
        <f t="shared" si="26"/>
        <v>425p</v>
      </c>
      <c r="B121" s="617" t="str">
        <f>+VLOOKUP(LEFT($A121,LEN(A121)-1)*1,Master!$D$30:$G$229,4,FALSE)</f>
        <v>Other Health Care Insurance</v>
      </c>
      <c r="C121" s="618"/>
      <c r="D121" s="618"/>
      <c r="E121" s="618"/>
      <c r="F121" s="618"/>
      <c r="G121" s="148">
        <v>2065634.66</v>
      </c>
      <c r="H121" s="148">
        <v>1485821.79</v>
      </c>
      <c r="I121" s="148">
        <v>1549659.49</v>
      </c>
      <c r="J121" s="148">
        <v>1390126.01</v>
      </c>
      <c r="K121" s="148">
        <v>1388004.35</v>
      </c>
      <c r="L121" s="148">
        <v>1278140.0900000001</v>
      </c>
      <c r="M121" s="148">
        <v>1165901.24</v>
      </c>
      <c r="N121" s="148">
        <v>1430983.6799999999</v>
      </c>
      <c r="O121" s="148">
        <v>1404865.49</v>
      </c>
      <c r="P121" s="148">
        <v>1405960.59</v>
      </c>
      <c r="Q121" s="148">
        <v>800345.04</v>
      </c>
      <c r="R121" s="148">
        <v>1334557.57</v>
      </c>
      <c r="S121" s="101">
        <f t="shared" si="27"/>
        <v>16700000</v>
      </c>
      <c r="T121" s="436">
        <f t="shared" si="28"/>
        <v>0.19498867431053404</v>
      </c>
      <c r="U121" s="276"/>
    </row>
    <row r="122" spans="1:21">
      <c r="A122" s="105" t="str">
        <f t="shared" si="26"/>
        <v>43p</v>
      </c>
      <c r="B122" s="615" t="str">
        <f>+VLOOKUP(LEFT($A122,LEN(A122)-1)*1,Master!$D$30:$G$229,4,FALSE)</f>
        <v xml:space="preserve">Transfers to Institutions, Individuals, NGO and Public Sector </v>
      </c>
      <c r="C122" s="616"/>
      <c r="D122" s="616"/>
      <c r="E122" s="616"/>
      <c r="F122" s="616"/>
      <c r="G122" s="503">
        <v>41078999.899999999</v>
      </c>
      <c r="H122" s="503">
        <v>37609091.900000006</v>
      </c>
      <c r="I122" s="503">
        <v>41480698.100000001</v>
      </c>
      <c r="J122" s="503">
        <v>41025293.770000003</v>
      </c>
      <c r="K122" s="503">
        <v>40405028.440000013</v>
      </c>
      <c r="L122" s="503">
        <v>41871311.990000002</v>
      </c>
      <c r="M122" s="503">
        <v>42872116.689999998</v>
      </c>
      <c r="N122" s="503">
        <v>35806003.100000001</v>
      </c>
      <c r="O122" s="503">
        <v>40548918.929999992</v>
      </c>
      <c r="P122" s="503">
        <v>37943306.299999997</v>
      </c>
      <c r="Q122" s="503">
        <v>38223430.82</v>
      </c>
      <c r="R122" s="503">
        <v>60844726.18999999</v>
      </c>
      <c r="S122" s="539">
        <f>+SUM(G122:R122)</f>
        <v>499708926.13000005</v>
      </c>
      <c r="T122" s="515">
        <f t="shared" si="28"/>
        <v>5.8345856914508571</v>
      </c>
      <c r="U122" s="276"/>
    </row>
    <row r="123" spans="1:21">
      <c r="A123" s="105" t="str">
        <f t="shared" si="26"/>
        <v>44p</v>
      </c>
      <c r="B123" s="615" t="str">
        <f>+VLOOKUP(LEFT($A123,LEN(A123)-1)*1,Master!$D$30:$G$229,4,FALSE)</f>
        <v>Capital Expenditure</v>
      </c>
      <c r="C123" s="616"/>
      <c r="D123" s="616"/>
      <c r="E123" s="616"/>
      <c r="F123" s="616"/>
      <c r="G123" s="503">
        <v>31738678.650000013</v>
      </c>
      <c r="H123" s="503">
        <v>25631144.730000008</v>
      </c>
      <c r="I123" s="503">
        <v>33300001.570000019</v>
      </c>
      <c r="J123" s="503">
        <v>33365285.109999999</v>
      </c>
      <c r="K123" s="503">
        <v>24719670.920000009</v>
      </c>
      <c r="L123" s="503">
        <v>31084265.130000003</v>
      </c>
      <c r="M123" s="503">
        <v>26903212.780000005</v>
      </c>
      <c r="N123" s="503">
        <v>25873496.330000013</v>
      </c>
      <c r="O123" s="503">
        <v>28685724.790000007</v>
      </c>
      <c r="P123" s="503">
        <v>27169656.830000006</v>
      </c>
      <c r="Q123" s="503">
        <v>24795938.860000014</v>
      </c>
      <c r="R123" s="503">
        <v>34836107.229999997</v>
      </c>
      <c r="S123" s="539">
        <f>+SUM(G123:R123)</f>
        <v>348103182.93000007</v>
      </c>
      <c r="T123" s="515">
        <f t="shared" si="28"/>
        <v>4.0644418061555712</v>
      </c>
      <c r="U123" s="276"/>
    </row>
    <row r="124" spans="1:21">
      <c r="A124" s="105" t="str">
        <f t="shared" si="26"/>
        <v>451p</v>
      </c>
      <c r="B124" s="607" t="str">
        <f>+VLOOKUP(LEFT($A124,LEN(A124)-1)*1,Master!$D$30:$G$229,4,FALSE)</f>
        <v>Credits and Borrowings</v>
      </c>
      <c r="C124" s="608"/>
      <c r="D124" s="608"/>
      <c r="E124" s="608"/>
      <c r="F124" s="608"/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01">
        <f t="shared" si="27"/>
        <v>0</v>
      </c>
      <c r="T124" s="436">
        <f t="shared" si="28"/>
        <v>0</v>
      </c>
      <c r="U124" s="276"/>
    </row>
    <row r="125" spans="1:21">
      <c r="A125" s="105" t="str">
        <f t="shared" si="26"/>
        <v>47p</v>
      </c>
      <c r="B125" s="607" t="str">
        <f>+VLOOKUP(LEFT($A125,LEN(A125)-1)*1,Master!$D$30:$G$229,4,FALSE)</f>
        <v>Reserves</v>
      </c>
      <c r="C125" s="608"/>
      <c r="D125" s="608"/>
      <c r="E125" s="608"/>
      <c r="F125" s="608"/>
      <c r="G125" s="77">
        <v>2894146.88</v>
      </c>
      <c r="H125" s="77">
        <v>907850.84</v>
      </c>
      <c r="I125" s="77">
        <v>17727166.02</v>
      </c>
      <c r="J125" s="77">
        <v>263440.75</v>
      </c>
      <c r="K125" s="77">
        <v>98122.52</v>
      </c>
      <c r="L125" s="77">
        <v>848129.05</v>
      </c>
      <c r="M125" s="77">
        <v>124843.75</v>
      </c>
      <c r="N125" s="77">
        <v>8652.3799999999992</v>
      </c>
      <c r="O125" s="77">
        <v>229771.06</v>
      </c>
      <c r="P125" s="77">
        <v>98060.44</v>
      </c>
      <c r="Q125" s="77">
        <v>1138140.83</v>
      </c>
      <c r="R125" s="77">
        <v>10391438</v>
      </c>
      <c r="S125" s="101">
        <f t="shared" si="27"/>
        <v>34729762.519999996</v>
      </c>
      <c r="T125" s="436">
        <f t="shared" si="28"/>
        <v>0.40550361394577678</v>
      </c>
      <c r="U125" s="276"/>
    </row>
    <row r="126" spans="1:21">
      <c r="A126" s="105" t="str">
        <f t="shared" si="26"/>
        <v>462p</v>
      </c>
      <c r="B126" s="607" t="str">
        <f>+VLOOKUP(LEFT($A126,LEN(A126)-1)*1,Master!$D$30:$G$229,4,FALSE)</f>
        <v>Repayment of Guarantees</v>
      </c>
      <c r="C126" s="608"/>
      <c r="D126" s="608"/>
      <c r="E126" s="608"/>
      <c r="F126" s="608"/>
      <c r="G126" s="148">
        <v>0.16</v>
      </c>
      <c r="H126" s="148">
        <v>0.16</v>
      </c>
      <c r="I126" s="148">
        <v>0.16</v>
      </c>
      <c r="J126" s="148">
        <v>0.16</v>
      </c>
      <c r="K126" s="148">
        <v>0.16</v>
      </c>
      <c r="L126" s="148">
        <v>0.16</v>
      </c>
      <c r="M126" s="148">
        <v>0.16</v>
      </c>
      <c r="N126" s="148">
        <v>0.16</v>
      </c>
      <c r="O126" s="148">
        <v>0.16</v>
      </c>
      <c r="P126" s="148">
        <v>0.16</v>
      </c>
      <c r="Q126" s="148">
        <v>0.16</v>
      </c>
      <c r="R126" s="148">
        <v>0.24</v>
      </c>
      <c r="S126" s="101">
        <f t="shared" si="27"/>
        <v>1.9999999999999998</v>
      </c>
      <c r="T126" s="436">
        <f t="shared" si="28"/>
        <v>2.3351937043177729E-8</v>
      </c>
      <c r="U126" s="276"/>
    </row>
    <row r="127" spans="1:21">
      <c r="A127" s="106" t="str">
        <f t="shared" si="26"/>
        <v>4630p</v>
      </c>
      <c r="B127" s="607" t="str">
        <f>+VLOOKUP(LEFT($A127,LEN(A127)-1)*1,Master!$D$30:$G$229,4,FALSE)</f>
        <v>Repayments of liabilities form the previous period</v>
      </c>
      <c r="C127" s="608"/>
      <c r="D127" s="608"/>
      <c r="E127" s="608"/>
      <c r="F127" s="608"/>
      <c r="G127" s="85">
        <v>445847.34000000189</v>
      </c>
      <c r="H127" s="77">
        <v>425335.56000000192</v>
      </c>
      <c r="I127" s="77">
        <v>423298.80000000191</v>
      </c>
      <c r="J127" s="77">
        <v>352947.54000000079</v>
      </c>
      <c r="K127" s="77">
        <v>579675.09000000579</v>
      </c>
      <c r="L127" s="77">
        <v>251229.40999999866</v>
      </c>
      <c r="M127" s="77">
        <v>677561.40000000049</v>
      </c>
      <c r="N127" s="77">
        <v>142809.44999999987</v>
      </c>
      <c r="O127" s="77">
        <v>1234560.1399999978</v>
      </c>
      <c r="P127" s="77">
        <v>400357.6000000019</v>
      </c>
      <c r="Q127" s="77">
        <v>255410.41999999864</v>
      </c>
      <c r="R127" s="77">
        <v>403142.24999999977</v>
      </c>
      <c r="S127" s="92">
        <f>+SUM(G127:R127)</f>
        <v>5592175.0000000093</v>
      </c>
      <c r="T127" s="444">
        <f t="shared" si="28"/>
        <v>6.529405926721632E-2</v>
      </c>
      <c r="U127" s="276"/>
    </row>
    <row r="128" spans="1:21" ht="13.5" thickBot="1">
      <c r="A128" s="105" t="str">
        <f t="shared" si="26"/>
        <v>1005p</v>
      </c>
      <c r="B128" s="607" t="str">
        <f>+VLOOKUP(LEFT($A128,LEN(A128)-1)*1,Master!$D$30:$G$229,4,FALSE)</f>
        <v>Net increase of liabilities</v>
      </c>
      <c r="C128" s="608"/>
      <c r="D128" s="608"/>
      <c r="E128" s="608"/>
      <c r="F128" s="60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8"/>
        <v>0</v>
      </c>
      <c r="U128" s="276"/>
    </row>
    <row r="129" spans="1:22" ht="13.5" thickBot="1">
      <c r="A129" s="106" t="str">
        <f t="shared" si="26"/>
        <v>1000p</v>
      </c>
      <c r="B129" s="609" t="str">
        <f>+VLOOKUP(LEFT($A129,LEN(A129)-1)*1,Master!$D$30:$G$226,4,FALSE)</f>
        <v>Surplus / deficit</v>
      </c>
      <c r="C129" s="610"/>
      <c r="D129" s="610"/>
      <c r="E129" s="610"/>
      <c r="F129" s="610"/>
      <c r="G129" s="497">
        <v>-113636610.67000008</v>
      </c>
      <c r="H129" s="498">
        <v>-80316211.070000023</v>
      </c>
      <c r="I129" s="497">
        <v>-26505441.738050878</v>
      </c>
      <c r="J129" s="497">
        <v>18031924.16095072</v>
      </c>
      <c r="K129" s="497">
        <v>-25123758.780495405</v>
      </c>
      <c r="L129" s="497">
        <v>-28494005.395772368</v>
      </c>
      <c r="M129" s="497">
        <v>14363071.933354169</v>
      </c>
      <c r="N129" s="497">
        <v>50200085.108328104</v>
      </c>
      <c r="O129" s="497">
        <v>10327854.7086519</v>
      </c>
      <c r="P129" s="497">
        <v>4900469.7884257436</v>
      </c>
      <c r="Q129" s="497">
        <v>-21454982.505203664</v>
      </c>
      <c r="R129" s="497">
        <v>-80634801.502476633</v>
      </c>
      <c r="S129" s="543">
        <f t="shared" si="27"/>
        <v>-278342405.96228838</v>
      </c>
      <c r="T129" s="524">
        <f t="shared" si="28"/>
        <v>-3.2499171702389882</v>
      </c>
      <c r="U129" s="276"/>
    </row>
    <row r="130" spans="1:22" ht="13.5" thickBot="1">
      <c r="A130" s="106" t="str">
        <f t="shared" si="26"/>
        <v>1001p</v>
      </c>
      <c r="B130" s="611" t="str">
        <f>+VLOOKUP(LEFT($A130,LEN(A130)-1)*1,Master!$D$30:$G$226,4,FALSE)</f>
        <v>Primary surplus/deficit</v>
      </c>
      <c r="C130" s="612"/>
      <c r="D130" s="612"/>
      <c r="E130" s="612"/>
      <c r="F130" s="612"/>
      <c r="G130" s="499">
        <v>-105171634.02000007</v>
      </c>
      <c r="H130" s="499">
        <v>-77619718.660000026</v>
      </c>
      <c r="I130" s="499">
        <v>-4301870.8380508795</v>
      </c>
      <c r="J130" s="499">
        <v>67765638.670950711</v>
      </c>
      <c r="K130" s="499">
        <v>-21455079.110495403</v>
      </c>
      <c r="L130" s="499">
        <v>-13507836.335772367</v>
      </c>
      <c r="M130" s="499">
        <v>21702156.133354168</v>
      </c>
      <c r="N130" s="499">
        <v>52682743.068328105</v>
      </c>
      <c r="O130" s="499">
        <v>31995568.778651901</v>
      </c>
      <c r="P130" s="499">
        <v>20376187.548425741</v>
      </c>
      <c r="Q130" s="499">
        <v>-13863165.575203665</v>
      </c>
      <c r="R130" s="499">
        <v>-62114355.542476632</v>
      </c>
      <c r="S130" s="543">
        <f t="shared" si="27"/>
        <v>-103511365.8822884</v>
      </c>
      <c r="T130" s="524">
        <f t="shared" si="28"/>
        <v>-1.2085954496682669</v>
      </c>
      <c r="U130" s="276"/>
    </row>
    <row r="131" spans="1:22">
      <c r="A131" s="106" t="str">
        <f t="shared" si="26"/>
        <v>46p</v>
      </c>
      <c r="B131" s="613" t="str">
        <f>+VLOOKUP(LEFT($A131,LEN(A131)-1)*1,Master!$D$30:$G$226,4,FALSE)</f>
        <v>Repayment of Debt</v>
      </c>
      <c r="C131" s="614"/>
      <c r="D131" s="614"/>
      <c r="E131" s="614"/>
      <c r="F131" s="614"/>
      <c r="G131" s="500">
        <v>38776677.729999997</v>
      </c>
      <c r="H131" s="500">
        <v>6623849.54</v>
      </c>
      <c r="I131" s="500">
        <v>8538883.3599999994</v>
      </c>
      <c r="J131" s="500">
        <v>77955174.939999998</v>
      </c>
      <c r="K131" s="500">
        <v>12713349.220000001</v>
      </c>
      <c r="L131" s="500">
        <v>71941312.399999991</v>
      </c>
      <c r="M131" s="501">
        <v>42612513.939999998</v>
      </c>
      <c r="N131" s="500">
        <v>6821797.4299999997</v>
      </c>
      <c r="O131" s="500">
        <v>10991740.379999999</v>
      </c>
      <c r="P131" s="500">
        <v>10748760.469999999</v>
      </c>
      <c r="Q131" s="500">
        <v>25887272.060000002</v>
      </c>
      <c r="R131" s="500">
        <v>69983127.530000001</v>
      </c>
      <c r="S131" s="544">
        <f t="shared" si="27"/>
        <v>383594459</v>
      </c>
      <c r="T131" s="526">
        <f t="shared" si="28"/>
        <v>4.4788368283399107</v>
      </c>
      <c r="U131" s="276"/>
      <c r="V131" s="494"/>
    </row>
    <row r="132" spans="1:22">
      <c r="A132" s="106" t="str">
        <f t="shared" si="26"/>
        <v>4611p</v>
      </c>
      <c r="B132" s="605" t="str">
        <f>+VLOOKUP(LEFT($A132,LEN(A132)-1)*1,Master!$D$30:$G$226,4,FALSE)</f>
        <v>Repayment of Domestic Debt</v>
      </c>
      <c r="C132" s="606"/>
      <c r="D132" s="606"/>
      <c r="E132" s="606"/>
      <c r="F132" s="606"/>
      <c r="G132" s="85">
        <v>1689177.73</v>
      </c>
      <c r="H132" s="85">
        <v>1011346.87</v>
      </c>
      <c r="I132" s="85">
        <v>4628146.62</v>
      </c>
      <c r="J132" s="85">
        <v>51690881.789999999</v>
      </c>
      <c r="K132" s="85">
        <v>2155005.5700000003</v>
      </c>
      <c r="L132" s="85">
        <v>13538484.6</v>
      </c>
      <c r="M132" s="455">
        <v>1714623.3900000001</v>
      </c>
      <c r="N132" s="455">
        <v>1043364.38</v>
      </c>
      <c r="O132" s="455">
        <v>5060550.79</v>
      </c>
      <c r="P132" s="455">
        <v>5885.87</v>
      </c>
      <c r="Q132" s="455">
        <v>1058130.4900000002</v>
      </c>
      <c r="R132" s="455">
        <v>14218860.9</v>
      </c>
      <c r="S132" s="92">
        <f t="shared" si="27"/>
        <v>97814459</v>
      </c>
      <c r="T132" s="444">
        <f t="shared" si="28"/>
        <v>1.1420785442402448</v>
      </c>
      <c r="U132" s="276"/>
    </row>
    <row r="133" spans="1:22" ht="13.5" thickBot="1">
      <c r="A133" s="106" t="str">
        <f t="shared" si="26"/>
        <v>4612p</v>
      </c>
      <c r="B133" s="607" t="str">
        <f>+VLOOKUP(LEFT($A133,LEN(A133)-1)*1,Master!$D$30:$G$226,4,FALSE)</f>
        <v>Repayment of Foreign Debt</v>
      </c>
      <c r="C133" s="608"/>
      <c r="D133" s="608"/>
      <c r="E133" s="608"/>
      <c r="F133" s="608"/>
      <c r="G133" s="85">
        <v>37087500</v>
      </c>
      <c r="H133" s="85">
        <v>5612502.6699999999</v>
      </c>
      <c r="I133" s="85">
        <v>3910736.7399999998</v>
      </c>
      <c r="J133" s="85">
        <v>26264293.149999999</v>
      </c>
      <c r="K133" s="85">
        <v>10558343.65</v>
      </c>
      <c r="L133" s="85">
        <v>58402827.799999997</v>
      </c>
      <c r="M133" s="455">
        <v>40897890.549999997</v>
      </c>
      <c r="N133" s="455">
        <v>5778433.0499999998</v>
      </c>
      <c r="O133" s="455">
        <v>5931189.5899999999</v>
      </c>
      <c r="P133" s="455">
        <v>10742874.6</v>
      </c>
      <c r="Q133" s="455">
        <v>24829141.57</v>
      </c>
      <c r="R133" s="455">
        <v>55764266.630000003</v>
      </c>
      <c r="S133" s="92">
        <f t="shared" si="27"/>
        <v>285780000</v>
      </c>
      <c r="T133" s="444">
        <f t="shared" si="28"/>
        <v>3.3367582840996661</v>
      </c>
      <c r="U133" s="276"/>
    </row>
    <row r="134" spans="1:22" ht="13.5" thickBot="1">
      <c r="A134" s="106" t="str">
        <f t="shared" si="26"/>
        <v>4418p</v>
      </c>
      <c r="B134" s="601" t="str">
        <f>+VLOOKUP(LEFT($A134,LEN(A134)-1)*1,Master!$D$30:$G$226,4,FALSE)</f>
        <v>Capital Expenditure for Securities</v>
      </c>
      <c r="C134" s="602"/>
      <c r="D134" s="602"/>
      <c r="E134" s="602"/>
      <c r="F134" s="602"/>
      <c r="G134" s="497">
        <v>2848333.42</v>
      </c>
      <c r="H134" s="497">
        <v>0</v>
      </c>
      <c r="I134" s="497">
        <v>21979568.16</v>
      </c>
      <c r="J134" s="497">
        <v>0</v>
      </c>
      <c r="K134" s="497">
        <v>0</v>
      </c>
      <c r="L134" s="497">
        <v>7607131.5800000001</v>
      </c>
      <c r="M134" s="497">
        <v>1743970.28</v>
      </c>
      <c r="N134" s="497">
        <v>0</v>
      </c>
      <c r="O134" s="497">
        <v>0</v>
      </c>
      <c r="P134" s="497">
        <v>0</v>
      </c>
      <c r="Q134" s="497">
        <v>0</v>
      </c>
      <c r="R134" s="497">
        <v>997.56000000000006</v>
      </c>
      <c r="S134" s="543">
        <f t="shared" si="27"/>
        <v>34180001</v>
      </c>
      <c r="T134" s="524">
        <f t="shared" si="28"/>
        <v>0.39908461574387594</v>
      </c>
      <c r="U134" s="276"/>
      <c r="V134" s="494"/>
    </row>
    <row r="135" spans="1:22" ht="13.5" thickBot="1">
      <c r="A135" s="106" t="s">
        <v>856</v>
      </c>
      <c r="B135" s="601" t="s">
        <v>113</v>
      </c>
      <c r="C135" s="602"/>
      <c r="D135" s="602"/>
      <c r="E135" s="602"/>
      <c r="F135" s="602"/>
      <c r="G135" s="496">
        <v>1237500.6399999999</v>
      </c>
      <c r="H135" s="496">
        <v>737500.86</v>
      </c>
      <c r="I135" s="496">
        <v>781055.11</v>
      </c>
      <c r="J135" s="496">
        <v>739805.87</v>
      </c>
      <c r="K135" s="496">
        <v>754731.99</v>
      </c>
      <c r="L135" s="496">
        <v>758709.4</v>
      </c>
      <c r="M135" s="496">
        <v>149560.96000000002</v>
      </c>
      <c r="N135" s="496">
        <v>41845.08</v>
      </c>
      <c r="O135" s="496">
        <v>830950.94000000006</v>
      </c>
      <c r="P135" s="496">
        <v>959461.25000000012</v>
      </c>
      <c r="Q135" s="496">
        <v>446667.9</v>
      </c>
      <c r="R135" s="496">
        <v>512218</v>
      </c>
      <c r="S135" s="543">
        <f t="shared" si="27"/>
        <v>7950008.0000000009</v>
      </c>
      <c r="T135" s="524">
        <f t="shared" si="28"/>
        <v>9.2824043154379671E-2</v>
      </c>
      <c r="U135" s="276"/>
    </row>
    <row r="136" spans="1:22" ht="13.5" thickBot="1">
      <c r="A136" s="106" t="str">
        <f>+CONCATENATE(A60,"p")</f>
        <v>1002p</v>
      </c>
      <c r="B136" s="603" t="str">
        <f>+VLOOKUP(LEFT($A136,LEN(A136)-1)*1,Master!$D$30:$G$226,4,FALSE)</f>
        <v>Financing needs</v>
      </c>
      <c r="C136" s="604"/>
      <c r="D136" s="604"/>
      <c r="E136" s="604"/>
      <c r="F136" s="604"/>
      <c r="G136" s="502">
        <v>-156499122.46000004</v>
      </c>
      <c r="H136" s="502">
        <v>-87677561.470000029</v>
      </c>
      <c r="I136" s="502">
        <v>-57804948.368050873</v>
      </c>
      <c r="J136" s="502">
        <v>-60663056.649049275</v>
      </c>
      <c r="K136" s="502">
        <v>-38591839.990495406</v>
      </c>
      <c r="L136" s="502">
        <v>-108801158.77577236</v>
      </c>
      <c r="M136" s="502">
        <v>-30142973.246645831</v>
      </c>
      <c r="N136" s="502">
        <v>43336442.598328106</v>
      </c>
      <c r="O136" s="502">
        <v>-1494836.6113480986</v>
      </c>
      <c r="P136" s="502">
        <v>-6807751.9315742552</v>
      </c>
      <c r="Q136" s="502">
        <v>-47788922.465203665</v>
      </c>
      <c r="R136" s="502">
        <v>-151131144.59247664</v>
      </c>
      <c r="S136" s="545">
        <f t="shared" si="27"/>
        <v>-704066873.96228826</v>
      </c>
      <c r="T136" s="528">
        <f t="shared" si="28"/>
        <v>-8.2206626574771526</v>
      </c>
      <c r="U136" s="276"/>
    </row>
    <row r="137" spans="1:22" ht="13.5" thickBot="1">
      <c r="A137" s="106" t="str">
        <f>+CONCATENATE(A61,"p")</f>
        <v>1003p</v>
      </c>
      <c r="B137" s="601" t="str">
        <f>+VLOOKUP(LEFT($A137,LEN(A137)-1)*1,Master!$D$30:$G$226,4,FALSE)</f>
        <v>Financing</v>
      </c>
      <c r="C137" s="602"/>
      <c r="D137" s="602"/>
      <c r="E137" s="602"/>
      <c r="F137" s="602"/>
      <c r="G137" s="497">
        <v>156499122.46000004</v>
      </c>
      <c r="H137" s="497">
        <v>87677561.470000029</v>
      </c>
      <c r="I137" s="497">
        <v>57804948.368050873</v>
      </c>
      <c r="J137" s="497">
        <v>60663056.649049275</v>
      </c>
      <c r="K137" s="497">
        <v>38591839.990495406</v>
      </c>
      <c r="L137" s="497">
        <v>108801158.77577236</v>
      </c>
      <c r="M137" s="497">
        <v>30142973.246645831</v>
      </c>
      <c r="N137" s="497">
        <v>-43336442.598328106</v>
      </c>
      <c r="O137" s="497">
        <v>1494836.6113481</v>
      </c>
      <c r="P137" s="497">
        <v>6807751.9315742552</v>
      </c>
      <c r="Q137" s="497">
        <v>47788922.465203665</v>
      </c>
      <c r="R137" s="497">
        <v>151131144.59247664</v>
      </c>
      <c r="S137" s="546">
        <f t="shared" si="27"/>
        <v>704066873.96228826</v>
      </c>
      <c r="T137" s="530">
        <f t="shared" si="28"/>
        <v>8.2206626574771526</v>
      </c>
      <c r="U137" s="276"/>
    </row>
    <row r="138" spans="1:22">
      <c r="A138" s="106" t="str">
        <f>+CONCATENATE(A62,"p")</f>
        <v>7511p</v>
      </c>
      <c r="B138" s="605" t="str">
        <f>+VLOOKUP(LEFT($A138,LEN(A138)-1)*1,Master!$D$30:$G$226,4,FALSE)</f>
        <v>Domestic Loans and Borrowings</v>
      </c>
      <c r="C138" s="606"/>
      <c r="D138" s="606"/>
      <c r="E138" s="606"/>
      <c r="F138" s="606"/>
      <c r="G138" s="85">
        <v>0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50000000</v>
      </c>
      <c r="P138" s="85">
        <v>0</v>
      </c>
      <c r="Q138" s="85">
        <v>50000000</v>
      </c>
      <c r="R138" s="85">
        <v>0</v>
      </c>
      <c r="S138" s="92">
        <f t="shared" si="27"/>
        <v>100000000</v>
      </c>
      <c r="T138" s="444">
        <f t="shared" si="28"/>
        <v>1.1675968521588866</v>
      </c>
      <c r="U138" s="276"/>
    </row>
    <row r="139" spans="1:22">
      <c r="A139" s="106" t="str">
        <f>+CONCATENATE(A63,"p")</f>
        <v>7512p</v>
      </c>
      <c r="B139" s="607" t="str">
        <f>+VLOOKUP(LEFT($A139,LEN(A139)-1)*1,Master!$D$30:$G$226,4,FALSE)</f>
        <v>Foreign Loans and Borrowings</v>
      </c>
      <c r="C139" s="608"/>
      <c r="D139" s="608"/>
      <c r="E139" s="608"/>
      <c r="F139" s="608"/>
      <c r="G139" s="85">
        <v>0</v>
      </c>
      <c r="H139" s="85">
        <v>0</v>
      </c>
      <c r="I139" s="85">
        <v>100000000</v>
      </c>
      <c r="J139" s="85">
        <v>0</v>
      </c>
      <c r="K139" s="85">
        <v>0</v>
      </c>
      <c r="L139" s="85">
        <v>288318968.70999998</v>
      </c>
      <c r="M139" s="85">
        <v>0</v>
      </c>
      <c r="N139" s="85">
        <v>0</v>
      </c>
      <c r="O139" s="85">
        <v>0</v>
      </c>
      <c r="P139" s="85">
        <v>0</v>
      </c>
      <c r="Q139" s="85">
        <v>0</v>
      </c>
      <c r="R139" s="85">
        <v>0</v>
      </c>
      <c r="S139" s="92">
        <f t="shared" si="27"/>
        <v>388318968.70999998</v>
      </c>
      <c r="T139" s="444">
        <f t="shared" si="28"/>
        <v>4.5340000549938111</v>
      </c>
      <c r="U139" s="276"/>
    </row>
    <row r="140" spans="1:22">
      <c r="A140" s="106" t="str">
        <f>+CONCATENATE(A64,"p")</f>
        <v>72p</v>
      </c>
      <c r="B140" s="607" t="str">
        <f>+VLOOKUP(LEFT($A140,LEN(A140)-1)*1,Master!$D$30:$G$226,4,FALSE)</f>
        <v>Revenues from Selling Assets</v>
      </c>
      <c r="C140" s="608"/>
      <c r="D140" s="608"/>
      <c r="E140" s="608"/>
      <c r="F140" s="608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27"/>
        <v>6000000</v>
      </c>
      <c r="T140" s="444">
        <f t="shared" si="28"/>
        <v>7.0055811129533199E-2</v>
      </c>
      <c r="U140" s="276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812325</v>
      </c>
      <c r="H141" s="85">
        <v>812325</v>
      </c>
      <c r="I141" s="85">
        <v>812325</v>
      </c>
      <c r="J141" s="85">
        <v>812325</v>
      </c>
      <c r="K141" s="85">
        <v>812325</v>
      </c>
      <c r="L141" s="85">
        <v>812325</v>
      </c>
      <c r="M141" s="85">
        <v>812325</v>
      </c>
      <c r="N141" s="85">
        <v>812325</v>
      </c>
      <c r="O141" s="85">
        <v>812325</v>
      </c>
      <c r="P141" s="85">
        <v>812325</v>
      </c>
      <c r="Q141" s="85">
        <v>812325</v>
      </c>
      <c r="R141" s="85">
        <v>812329</v>
      </c>
      <c r="S141" s="92">
        <f t="shared" si="27"/>
        <v>9747904</v>
      </c>
      <c r="T141" s="444">
        <f t="shared" si="28"/>
        <v>0.11381622025547018</v>
      </c>
      <c r="U141" s="276"/>
    </row>
    <row r="142" spans="1:22" ht="13.5" thickBot="1">
      <c r="A142" s="106" t="str">
        <f t="shared" ref="A142" si="29">+CONCATENATE(A66,"p")</f>
        <v>1004p</v>
      </c>
      <c r="B142" s="87" t="str">
        <f>+VLOOKUP(LEFT($A142,LEN(A142)-1)*1,Master!$D$30:$G$226,4,FALSE)</f>
        <v>Increase / decrease of deposits</v>
      </c>
      <c r="C142" s="88"/>
      <c r="D142" s="88"/>
      <c r="E142" s="88"/>
      <c r="F142" s="88"/>
      <c r="G142" s="86">
        <v>155186797.46000004</v>
      </c>
      <c r="H142" s="86">
        <v>86365236.470000029</v>
      </c>
      <c r="I142" s="86">
        <v>-43507376.631949127</v>
      </c>
      <c r="J142" s="86">
        <v>59350731.649049275</v>
      </c>
      <c r="K142" s="86">
        <v>37279514.990495406</v>
      </c>
      <c r="L142" s="86">
        <v>-180830134.93422762</v>
      </c>
      <c r="M142" s="86">
        <v>28830648.246645831</v>
      </c>
      <c r="N142" s="86">
        <v>-44648767.598328106</v>
      </c>
      <c r="O142" s="86">
        <v>-49817488.3886519</v>
      </c>
      <c r="P142" s="86">
        <v>5495426.9315742552</v>
      </c>
      <c r="Q142" s="86">
        <v>-3523402.5347963348</v>
      </c>
      <c r="R142" s="86">
        <v>149818815.59247664</v>
      </c>
      <c r="S142" s="94">
        <f>+SUM(G142:R142)</f>
        <v>200000001.25228837</v>
      </c>
      <c r="T142" s="448">
        <f t="shared" si="28"/>
        <v>2.3351937189394527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KzJyz8zyXV5cRrcZPTiRI2a+rTx1n8tkC5rWCZ6BnLem26k26dviGeJCYyQfTm9HARlJFSmnq7ZpHvrfYflzlA==" saltValue="18WXZCcMPYsqTGU+GbKueg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ignoredErrors>
    <ignoredError sqref="G40:H4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2023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6963615000</v>
      </c>
    </row>
    <row r="8" spans="1:24" ht="16.5" customHeight="1">
      <c r="A8" s="129"/>
      <c r="B8" s="585"/>
      <c r="C8" s="586"/>
      <c r="D8" s="586"/>
      <c r="E8" s="586"/>
      <c r="F8" s="58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4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4" ht="13.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61" t="str">
        <f>+VLOOKUP($A28,Master!$D$30:$G$226,4,FALSE)</f>
        <v>Grants and Transfers</v>
      </c>
      <c r="C28" s="562"/>
      <c r="D28" s="562"/>
      <c r="E28" s="562"/>
      <c r="F28" s="56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86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73" t="str">
        <f>+VLOOKUP($A63,Master!$D$30:$G$226,4,FALSE)</f>
        <v>Foreign Loans and Borrowings</v>
      </c>
      <c r="C63" s="574"/>
      <c r="D63" s="574"/>
      <c r="E63" s="574"/>
      <c r="F63" s="574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73" t="s">
        <v>101</v>
      </c>
      <c r="C65" s="574"/>
      <c r="D65" s="574"/>
      <c r="E65" s="574"/>
      <c r="F65" s="574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27" t="str">
        <f>+Master!G253</f>
        <v>Planned Budget Execution</v>
      </c>
      <c r="C83" s="628"/>
      <c r="D83" s="628"/>
      <c r="E83" s="628"/>
      <c r="F83" s="628"/>
      <c r="G83" s="635">
        <v>2023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96" t="str">
        <f>+S7</f>
        <v>GDP</v>
      </c>
      <c r="T83" s="97">
        <v>6624340418</v>
      </c>
    </row>
    <row r="84" spans="1:26" ht="15.75" customHeight="1">
      <c r="B84" s="629"/>
      <c r="C84" s="630"/>
      <c r="D84" s="630"/>
      <c r="E84" s="630"/>
      <c r="F84" s="631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July</v>
      </c>
      <c r="N84" s="62" t="str">
        <f t="shared" si="24"/>
        <v>August</v>
      </c>
      <c r="O84" s="62" t="str">
        <f t="shared" si="24"/>
        <v>September</v>
      </c>
      <c r="P84" s="62" t="str">
        <f t="shared" si="24"/>
        <v>October</v>
      </c>
      <c r="Q84" s="62" t="str">
        <f t="shared" si="24"/>
        <v>November</v>
      </c>
      <c r="R84" s="62" t="str">
        <f t="shared" si="24"/>
        <v>December</v>
      </c>
      <c r="S84" s="635" t="str">
        <f>+Master!G247</f>
        <v>Jan - Dec</v>
      </c>
      <c r="T84" s="637">
        <f>+T8</f>
        <v>0</v>
      </c>
    </row>
    <row r="85" spans="1:26" ht="13.5" thickBot="1">
      <c r="B85" s="632"/>
      <c r="C85" s="633"/>
      <c r="D85" s="633"/>
      <c r="E85" s="633"/>
      <c r="F85" s="63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GDP</v>
      </c>
    </row>
    <row r="86" spans="1:26" ht="13.5" thickBot="1">
      <c r="A86" s="105" t="str">
        <f t="shared" ref="A86:A134" si="25">+CONCATENATE(A10,"p")</f>
        <v>7p</v>
      </c>
      <c r="B86" s="601" t="str">
        <f>+VLOOKUP(LEFT($A86,LEN(A86)-1)*1,Master!$D$30:$G$226,4,FALSE)</f>
        <v>Total Revenues</v>
      </c>
      <c r="C86" s="602"/>
      <c r="D86" s="602"/>
      <c r="E86" s="602"/>
      <c r="F86" s="602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5" t="str">
        <f>+VLOOKUP(LEFT($A87,LEN(A87)-1)*1,Master!$D$30:$G$226,4,FALSE)</f>
        <v>Taxes</v>
      </c>
      <c r="C87" s="626"/>
      <c r="D87" s="626"/>
      <c r="E87" s="626"/>
      <c r="F87" s="626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17" t="str">
        <f>+VLOOKUP(LEFT($A88,LEN(A88)-1)*1,Master!$D$30:$G$229,4,FALSE)</f>
        <v>Personal Income Tax</v>
      </c>
      <c r="C88" s="618"/>
      <c r="D88" s="618"/>
      <c r="E88" s="618"/>
      <c r="F88" s="61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17" t="str">
        <f>+VLOOKUP(LEFT($A89,LEN(A89)-1)*1,Master!$D$30:$G$229,4,FALSE)</f>
        <v>Corporate Income Tax</v>
      </c>
      <c r="C89" s="618"/>
      <c r="D89" s="618"/>
      <c r="E89" s="618"/>
      <c r="F89" s="61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17" t="str">
        <f>+VLOOKUP(LEFT($A90,LEN(A90)-1)*1,Master!$D$30:$G$229,4,FALSE)</f>
        <v xml:space="preserve">Taxes on Sales of Property </v>
      </c>
      <c r="C90" s="618"/>
      <c r="D90" s="618"/>
      <c r="E90" s="618"/>
      <c r="F90" s="61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17" t="str">
        <f>+VLOOKUP(LEFT($A91,LEN(A91)-1)*1,Master!$D$30:$G$229,4,FALSE)</f>
        <v>Value Added Tax</v>
      </c>
      <c r="C91" s="618"/>
      <c r="D91" s="618"/>
      <c r="E91" s="618"/>
      <c r="F91" s="61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17" t="str">
        <f>+VLOOKUP(LEFT($A92,LEN(A92)-1)*1,Master!$D$30:$G$229,4,FALSE)</f>
        <v>Excises</v>
      </c>
      <c r="C92" s="618"/>
      <c r="D92" s="618"/>
      <c r="E92" s="618"/>
      <c r="F92" s="61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17" t="str">
        <f>+VLOOKUP(LEFT($A93,LEN(A93)-1)*1,Master!$D$30:$G$229,4,FALSE)</f>
        <v>Tax on International Trade and Transactions</v>
      </c>
      <c r="C93" s="618"/>
      <c r="D93" s="618"/>
      <c r="E93" s="618"/>
      <c r="F93" s="61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17" t="str">
        <f>+VLOOKUP(LEFT($A94,LEN(A94)-1)*1,Master!$D$30:$G$229,4,FALSE)</f>
        <v>Other Republic Taxes</v>
      </c>
      <c r="C94" s="618"/>
      <c r="D94" s="618"/>
      <c r="E94" s="618"/>
      <c r="F94" s="61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23" t="str">
        <f>+VLOOKUP(LEFT($A95,LEN(A95)-1)*1,Master!$D$30:$G$229,4,FALSE)</f>
        <v>Contributions</v>
      </c>
      <c r="C95" s="624"/>
      <c r="D95" s="624"/>
      <c r="E95" s="624"/>
      <c r="F95" s="624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17" t="str">
        <f>+VLOOKUP(LEFT($A96,LEN(A96)-1)*1,Master!$D$30:$G$229,4,FALSE)</f>
        <v>Contributions for Pension and Disability Insurance</v>
      </c>
      <c r="C96" s="618"/>
      <c r="D96" s="618"/>
      <c r="E96" s="618"/>
      <c r="F96" s="61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17" t="str">
        <f>+VLOOKUP(LEFT($A97,LEN(A97)-1)*1,Master!$D$30:$G$229,4,FALSE)</f>
        <v>Contributions for Health Insurance</v>
      </c>
      <c r="C97" s="618"/>
      <c r="D97" s="618"/>
      <c r="E97" s="618"/>
      <c r="F97" s="61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17" t="str">
        <f>+VLOOKUP(LEFT($A98,LEN(A98)-1)*1,Master!$D$30:$G$229,4,FALSE)</f>
        <v>Contributions for  Unemployment Insurance</v>
      </c>
      <c r="C98" s="618"/>
      <c r="D98" s="618"/>
      <c r="E98" s="618"/>
      <c r="F98" s="61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17" t="str">
        <f>+VLOOKUP(LEFT($A99,LEN(A99)-1)*1,Master!$D$30:$G$229,4,FALSE)</f>
        <v>Other contributions</v>
      </c>
      <c r="C99" s="618"/>
      <c r="D99" s="618"/>
      <c r="E99" s="618"/>
      <c r="F99" s="61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23" t="str">
        <f>+VLOOKUP(LEFT($A100,LEN(A100)-1)*1,Master!$D$30:$G$229,4,FALSE)</f>
        <v>Duties</v>
      </c>
      <c r="C100" s="624"/>
      <c r="D100" s="624"/>
      <c r="E100" s="624"/>
      <c r="F100" s="624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23" t="str">
        <f>+VLOOKUP(LEFT($A101,LEN(A101)-1)*1,Master!$D$30:$G$229,4,FALSE)</f>
        <v>Fees</v>
      </c>
      <c r="C101" s="624"/>
      <c r="D101" s="624"/>
      <c r="E101" s="624"/>
      <c r="F101" s="624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23" t="str">
        <f>+VLOOKUP(LEFT($A102,LEN(A102)-1)*1,Master!$D$30:$G$229,4,FALSE)</f>
        <v>Other revenues</v>
      </c>
      <c r="C102" s="624"/>
      <c r="D102" s="624"/>
      <c r="E102" s="624"/>
      <c r="F102" s="624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23" t="str">
        <f>+VLOOKUP(LEFT($A103,LEN(A103)-1)*1,Master!$D$30:$G$229,4,FALSE)</f>
        <v>Receipts from Repayment of Loans and Funds Carried over from Previous Year</v>
      </c>
      <c r="C103" s="624"/>
      <c r="D103" s="624"/>
      <c r="E103" s="624"/>
      <c r="F103" s="624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19" t="str">
        <f>+VLOOKUP(LEFT($A104,LEN(A104)-1)*1,Master!$D$30:$G$229,4,FALSE)</f>
        <v>Grants and Transfers</v>
      </c>
      <c r="C104" s="620"/>
      <c r="D104" s="620"/>
      <c r="E104" s="620"/>
      <c r="F104" s="62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01" t="str">
        <f>+VLOOKUP(LEFT($A105,LEN(A105)-1)*1,Master!$D$30:$G$229,4,FALSE)</f>
        <v>Total Expenditures</v>
      </c>
      <c r="C105" s="602"/>
      <c r="D105" s="602"/>
      <c r="E105" s="602"/>
      <c r="F105" s="602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21" t="str">
        <f>+VLOOKUP(LEFT($A106,LEN(A106)-1)*1,Master!$D$30:$G$229,4,FALSE)</f>
        <v>Current Expenditures</v>
      </c>
      <c r="C106" s="622"/>
      <c r="D106" s="622"/>
      <c r="E106" s="622"/>
      <c r="F106" s="622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17" t="str">
        <f>+VLOOKUP(LEFT($A107,LEN(A107)-1)*1,Master!$D$30:$G$229,4,FALSE)</f>
        <v>Gross Salaries and Contributions</v>
      </c>
      <c r="C107" s="618"/>
      <c r="D107" s="618"/>
      <c r="E107" s="618"/>
      <c r="F107" s="61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17" t="str">
        <f>+VLOOKUP(LEFT($A108,LEN(A108)-1)*1,Master!$D$30:$G$229,4,FALSE)</f>
        <v>Other Personal Income</v>
      </c>
      <c r="C108" s="618"/>
      <c r="D108" s="618"/>
      <c r="E108" s="618"/>
      <c r="F108" s="61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17" t="str">
        <f>+VLOOKUP(LEFT($A109,LEN(A109)-1)*1,Master!$D$30:$G$229,4,FALSE)</f>
        <v>Expenditures for Supplies</v>
      </c>
      <c r="C109" s="618"/>
      <c r="D109" s="618"/>
      <c r="E109" s="618"/>
      <c r="F109" s="61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17" t="str">
        <f>+VLOOKUP(LEFT($A110,LEN(A110)-1)*1,Master!$D$30:$G$229,4,FALSE)</f>
        <v>Expenditures for Services</v>
      </c>
      <c r="C110" s="618"/>
      <c r="D110" s="618"/>
      <c r="E110" s="618"/>
      <c r="F110" s="61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17" t="str">
        <f>+VLOOKUP(LEFT($A111,LEN(A111)-1)*1,Master!$D$30:$G$229,4,FALSE)</f>
        <v>Current Maintenance</v>
      </c>
      <c r="C111" s="618"/>
      <c r="D111" s="618"/>
      <c r="E111" s="618"/>
      <c r="F111" s="61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17" t="str">
        <f>+VLOOKUP(LEFT($A112,LEN(A112)-1)*1,Master!$D$30:$G$229,4,FALSE)</f>
        <v>Interests</v>
      </c>
      <c r="C112" s="618"/>
      <c r="D112" s="618"/>
      <c r="E112" s="618"/>
      <c r="F112" s="61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17" t="str">
        <f>+VLOOKUP(LEFT($A113,LEN(A113)-1)*1,Master!$D$30:$G$229,4,FALSE)</f>
        <v>Rent</v>
      </c>
      <c r="C113" s="618"/>
      <c r="D113" s="618"/>
      <c r="E113" s="618"/>
      <c r="F113" s="61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17" t="str">
        <f>+VLOOKUP(LEFT($A114,LEN(A114)-1)*1,Master!$D$30:$G$229,4,FALSE)</f>
        <v>Subsidies</v>
      </c>
      <c r="C114" s="618"/>
      <c r="D114" s="618"/>
      <c r="E114" s="618"/>
      <c r="F114" s="61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17" t="str">
        <f>+VLOOKUP(LEFT($A115,LEN(A115)-1)*1,Master!$D$30:$G$229,4,FALSE)</f>
        <v>Other expenditures</v>
      </c>
      <c r="C115" s="618"/>
      <c r="D115" s="618"/>
      <c r="E115" s="618"/>
      <c r="F115" s="61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13" t="str">
        <f>+VLOOKUP(LEFT($A116,LEN(A116)-1)*1,Master!$D$30:$G$229,4,FALSE)</f>
        <v>Social Security Transfers</v>
      </c>
      <c r="C116" s="614"/>
      <c r="D116" s="614"/>
      <c r="E116" s="614"/>
      <c r="F116" s="614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17" t="str">
        <f>+VLOOKUP(LEFT($A117,LEN(A117)-1)*1,Master!$D$30:$G$229,4,FALSE)</f>
        <v>Social Security</v>
      </c>
      <c r="C117" s="618"/>
      <c r="D117" s="618"/>
      <c r="E117" s="618"/>
      <c r="F117" s="61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17" t="str">
        <f>+VLOOKUP(LEFT($A118,LEN(A118)-1)*1,Master!$D$30:$G$229,4,FALSE)</f>
        <v>Funds for redundant labor</v>
      </c>
      <c r="C118" s="618"/>
      <c r="D118" s="618"/>
      <c r="E118" s="618"/>
      <c r="F118" s="61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17" t="str">
        <f>+VLOOKUP(LEFT($A119,LEN(A119)-1)*1,Master!$D$30:$G$229,4,FALSE)</f>
        <v>Pension and Disability Insurance</v>
      </c>
      <c r="C119" s="618"/>
      <c r="D119" s="618"/>
      <c r="E119" s="618"/>
      <c r="F119" s="61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17" t="str">
        <f>+VLOOKUP(LEFT($A120,LEN(A120)-1)*1,Master!$D$30:$G$229,4,FALSE)</f>
        <v>Other Health Care Transfers</v>
      </c>
      <c r="C120" s="618"/>
      <c r="D120" s="618"/>
      <c r="E120" s="618"/>
      <c r="F120" s="61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17" t="str">
        <f>+VLOOKUP(LEFT($A121,LEN(A121)-1)*1,Master!$D$30:$G$229,4,FALSE)</f>
        <v>Other Health Care Insurance</v>
      </c>
      <c r="C121" s="618"/>
      <c r="D121" s="618"/>
      <c r="E121" s="618"/>
      <c r="F121" s="61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15" t="str">
        <f>+VLOOKUP(LEFT($A122,LEN(A122)-1)*1,Master!$D$30:$G$229,4,FALSE)</f>
        <v xml:space="preserve">Transfers to Institutions, Individuals, NGO and Public Sector </v>
      </c>
      <c r="C122" s="616"/>
      <c r="D122" s="616"/>
      <c r="E122" s="616"/>
      <c r="F122" s="616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15" t="str">
        <f>+VLOOKUP(LEFT($A123,LEN(A123)-1)*1,Master!$D$30:$G$229,4,FALSE)</f>
        <v>Capital Expenditure</v>
      </c>
      <c r="C123" s="616"/>
      <c r="D123" s="616"/>
      <c r="E123" s="616"/>
      <c r="F123" s="616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07" t="str">
        <f>+VLOOKUP(LEFT($A124,LEN(A124)-1)*1,Master!$D$30:$G$229,4,FALSE)</f>
        <v>Credits and Borrowings</v>
      </c>
      <c r="C124" s="608"/>
      <c r="D124" s="608"/>
      <c r="E124" s="608"/>
      <c r="F124" s="608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07" t="str">
        <f>+VLOOKUP(LEFT($A125,LEN(A125)-1)*1,Master!$D$30:$G$229,4,FALSE)</f>
        <v>Reserves</v>
      </c>
      <c r="C125" s="608"/>
      <c r="D125" s="608"/>
      <c r="E125" s="608"/>
      <c r="F125" s="608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07" t="str">
        <f>+VLOOKUP(LEFT($A126,LEN(A126)-1)*1,Master!$D$30:$G$229,4,FALSE)</f>
        <v>Repayment of Guarantees</v>
      </c>
      <c r="C126" s="608"/>
      <c r="D126" s="608"/>
      <c r="E126" s="608"/>
      <c r="F126" s="608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07" t="str">
        <f>+VLOOKUP(LEFT($A127,LEN(A127)-1)*1,Master!$D$30:$G$229,4,FALSE)</f>
        <v>Repayments of liabilities form the previous period</v>
      </c>
      <c r="C127" s="608"/>
      <c r="D127" s="608"/>
      <c r="E127" s="608"/>
      <c r="F127" s="608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07" t="str">
        <f>+VLOOKUP(LEFT($A128,LEN(A128)-1)*1,Master!$D$30:$G$229,4,FALSE)</f>
        <v>Net increase of liabilities</v>
      </c>
      <c r="C128" s="608"/>
      <c r="D128" s="608"/>
      <c r="E128" s="608"/>
      <c r="F128" s="60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09" t="str">
        <f>+VLOOKUP(LEFT($A129,LEN(A129)-1)*1,Master!$D$30:$G$226,4,FALSE)</f>
        <v>Surplus / deficit</v>
      </c>
      <c r="C129" s="610"/>
      <c r="D129" s="610"/>
      <c r="E129" s="610"/>
      <c r="F129" s="610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11" t="str">
        <f>+VLOOKUP(LEFT($A130,LEN(A130)-1)*1,Master!$D$30:$G$226,4,FALSE)</f>
        <v>Primary surplus/deficit</v>
      </c>
      <c r="C130" s="612"/>
      <c r="D130" s="612"/>
      <c r="E130" s="612"/>
      <c r="F130" s="612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13" t="str">
        <f>+VLOOKUP(LEFT($A131,LEN(A131)-1)*1,Master!$D$30:$G$226,4,FALSE)</f>
        <v>Repayment of Debt</v>
      </c>
      <c r="C131" s="614"/>
      <c r="D131" s="614"/>
      <c r="E131" s="614"/>
      <c r="F131" s="614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05" t="str">
        <f>+VLOOKUP(LEFT($A132,LEN(A132)-1)*1,Master!$D$30:$G$226,4,FALSE)</f>
        <v>Repayment of Domestic Debt</v>
      </c>
      <c r="C132" s="606"/>
      <c r="D132" s="606"/>
      <c r="E132" s="606"/>
      <c r="F132" s="606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07" t="str">
        <f>+VLOOKUP(LEFT($A133,LEN(A133)-1)*1,Master!$D$30:$G$226,4,FALSE)</f>
        <v>Repayment of Foreign Debt</v>
      </c>
      <c r="C133" s="608"/>
      <c r="D133" s="608"/>
      <c r="E133" s="608"/>
      <c r="F133" s="608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01" t="str">
        <f>+VLOOKUP(LEFT($A134,LEN(A134)-1)*1,Master!$D$30:$G$226,4,FALSE)</f>
        <v>Capital Expenditure for Securities</v>
      </c>
      <c r="C134" s="602"/>
      <c r="D134" s="602"/>
      <c r="E134" s="602"/>
      <c r="F134" s="602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01" t="s">
        <v>113</v>
      </c>
      <c r="C135" s="602"/>
      <c r="D135" s="602"/>
      <c r="E135" s="602"/>
      <c r="F135" s="602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03" t="str">
        <f>+VLOOKUP(LEFT($A136,LEN(A136)-1)*1,Master!$D$30:$G$226,4,FALSE)</f>
        <v>Financing needs</v>
      </c>
      <c r="C136" s="604"/>
      <c r="D136" s="604"/>
      <c r="E136" s="604"/>
      <c r="F136" s="604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01" t="str">
        <f>+VLOOKUP(LEFT($A137,LEN(A137)-1)*1,Master!$D$30:$G$226,4,FALSE)</f>
        <v>Financing</v>
      </c>
      <c r="C137" s="602"/>
      <c r="D137" s="602"/>
      <c r="E137" s="602"/>
      <c r="F137" s="602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05" t="str">
        <f>+VLOOKUP(LEFT($A138,LEN(A138)-1)*1,Master!$D$30:$G$226,4,FALSE)</f>
        <v>Domestic Loans and Borrowings</v>
      </c>
      <c r="C138" s="606"/>
      <c r="D138" s="606"/>
      <c r="E138" s="606"/>
      <c r="F138" s="606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07" t="str">
        <f>+VLOOKUP(LEFT($A139,LEN(A139)-1)*1,Master!$D$30:$G$226,4,FALSE)</f>
        <v>Foreign Loans and Borrowings</v>
      </c>
      <c r="C139" s="608"/>
      <c r="D139" s="608"/>
      <c r="E139" s="608"/>
      <c r="F139" s="608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07" t="str">
        <f>+VLOOKUP(LEFT($A140,LEN(A140)-1)*1,Master!$D$30:$G$226,4,FALSE)</f>
        <v>Revenues from Selling Assets</v>
      </c>
      <c r="C140" s="608"/>
      <c r="D140" s="608"/>
      <c r="E140" s="608"/>
      <c r="F140" s="608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Increase / decrease of deposits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2022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5796761000</v>
      </c>
    </row>
    <row r="8" spans="1:23" ht="16.5" customHeight="1">
      <c r="A8" s="129"/>
      <c r="B8" s="585"/>
      <c r="C8" s="586"/>
      <c r="D8" s="586"/>
      <c r="E8" s="586"/>
      <c r="F8" s="587"/>
      <c r="G8" s="130" t="str">
        <f>+Master!G232</f>
        <v>January</v>
      </c>
      <c r="H8" s="130" t="str">
        <f>+Master!G233</f>
        <v>February</v>
      </c>
      <c r="I8" s="130" t="str">
        <f>+Master!G234</f>
        <v>March</v>
      </c>
      <c r="J8" s="130" t="str">
        <f>+Master!G235</f>
        <v>April</v>
      </c>
      <c r="K8" s="130" t="str">
        <f>+Master!G236</f>
        <v>May</v>
      </c>
      <c r="L8" s="130" t="str">
        <f>+Master!G237</f>
        <v>June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3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3" ht="13.5" thickBot="1">
      <c r="A10" s="135">
        <v>7</v>
      </c>
      <c r="B10" s="563" t="str">
        <f>+VLOOKUP($A10,Master!$D$30:$G$226,4,FALSE)</f>
        <v>Total Revenues</v>
      </c>
      <c r="C10" s="564"/>
      <c r="D10" s="564"/>
      <c r="E10" s="564"/>
      <c r="F10" s="564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57" t="str">
        <f>+VLOOKUP($A19,Master!$D$30:$G$226,4,FALSE)</f>
        <v>Contributions</v>
      </c>
      <c r="C19" s="558"/>
      <c r="D19" s="558"/>
      <c r="E19" s="558"/>
      <c r="F19" s="558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57" t="str">
        <f>+VLOOKUP($A28,Master!$D$30:$G$226,4,FALSE)</f>
        <v>Grants and Transfers</v>
      </c>
      <c r="C28" s="558"/>
      <c r="D28" s="558"/>
      <c r="E28" s="558"/>
      <c r="F28" s="558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55" t="str">
        <f>+VLOOKUP($A39,Master!$D$30:$G$226,4,FALSE)</f>
        <v>Other expenditures</v>
      </c>
      <c r="C39" s="556"/>
      <c r="D39" s="556"/>
      <c r="E39" s="556"/>
      <c r="F39" s="556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65" t="str">
        <f>+VLOOKUP($A59,Master!$D$30:$G$226,4,FALSE)</f>
        <v>Credits and Borrowings</v>
      </c>
      <c r="C59" s="566"/>
      <c r="D59" s="566"/>
      <c r="E59" s="566"/>
      <c r="F59" s="56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99" t="str">
        <f>+VLOOKUP($A60,Master!$D$30:$G$226,4,FALSE)</f>
        <v>Financing needs</v>
      </c>
      <c r="C60" s="600"/>
      <c r="D60" s="600"/>
      <c r="E60" s="600"/>
      <c r="F60" s="600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63" t="str">
        <f>+VLOOKUP($A61,Master!$D$30:$G$226,4,FALSE)</f>
        <v>Financing</v>
      </c>
      <c r="C61" s="564"/>
      <c r="D61" s="564"/>
      <c r="E61" s="564"/>
      <c r="F61" s="564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97" t="str">
        <f>+VLOOKUP($A62,Master!$D$30:$G$226,4,FALSE)</f>
        <v>Domestic Loans and Borrowings</v>
      </c>
      <c r="C62" s="598"/>
      <c r="D62" s="598"/>
      <c r="E62" s="598"/>
      <c r="F62" s="59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97" t="str">
        <f>+VLOOKUP($A63,Master!$D$30:$G$226,4,FALSE)</f>
        <v>Foreign Loans and Borrowings</v>
      </c>
      <c r="C63" s="598"/>
      <c r="D63" s="598"/>
      <c r="E63" s="598"/>
      <c r="F63" s="598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73" t="str">
        <f>+VLOOKUP($A64,Master!$D$30:$G$226,4,FALSE)</f>
        <v>Revenues from Selling Assets</v>
      </c>
      <c r="C64" s="574"/>
      <c r="D64" s="574"/>
      <c r="E64" s="574"/>
      <c r="F64" s="574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73" t="s">
        <v>101</v>
      </c>
      <c r="C65" s="574"/>
      <c r="D65" s="574"/>
      <c r="E65" s="574"/>
      <c r="F65" s="574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Increase / decrease of deposits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27" t="str">
        <f>+Master!G253</f>
        <v>Planned Budget Execution</v>
      </c>
      <c r="C83" s="628"/>
      <c r="D83" s="628"/>
      <c r="E83" s="628"/>
      <c r="F83" s="628"/>
      <c r="G83" s="635">
        <v>2022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96" t="str">
        <f>+S7</f>
        <v>GDP</v>
      </c>
      <c r="T83" s="97">
        <v>5700400000</v>
      </c>
    </row>
    <row r="84" spans="1:26" ht="15.75" customHeight="1">
      <c r="B84" s="629"/>
      <c r="C84" s="630"/>
      <c r="D84" s="630"/>
      <c r="E84" s="630"/>
      <c r="F84" s="631"/>
      <c r="G84" s="62" t="str">
        <f t="shared" ref="G84:R84" si="16">+G8</f>
        <v>January</v>
      </c>
      <c r="H84" s="62" t="str">
        <f t="shared" si="16"/>
        <v>February</v>
      </c>
      <c r="I84" s="62" t="str">
        <f t="shared" si="16"/>
        <v>March</v>
      </c>
      <c r="J84" s="62" t="str">
        <f t="shared" si="16"/>
        <v>April</v>
      </c>
      <c r="K84" s="62" t="str">
        <f t="shared" si="16"/>
        <v>May</v>
      </c>
      <c r="L84" s="62" t="str">
        <f t="shared" si="16"/>
        <v>June</v>
      </c>
      <c r="M84" s="62" t="str">
        <f t="shared" si="16"/>
        <v>July</v>
      </c>
      <c r="N84" s="62" t="str">
        <f t="shared" si="16"/>
        <v>August</v>
      </c>
      <c r="O84" s="62" t="str">
        <f t="shared" si="16"/>
        <v>September</v>
      </c>
      <c r="P84" s="62" t="str">
        <f t="shared" si="16"/>
        <v>October</v>
      </c>
      <c r="Q84" s="62" t="str">
        <f t="shared" si="16"/>
        <v>November</v>
      </c>
      <c r="R84" s="62" t="str">
        <f t="shared" si="16"/>
        <v>December</v>
      </c>
      <c r="S84" s="635" t="str">
        <f>+Master!G247</f>
        <v>Jan - Dec</v>
      </c>
      <c r="T84" s="637">
        <f>+T8</f>
        <v>0</v>
      </c>
    </row>
    <row r="85" spans="1:26" ht="13.5" thickBot="1">
      <c r="B85" s="632"/>
      <c r="C85" s="633"/>
      <c r="D85" s="633"/>
      <c r="E85" s="633"/>
      <c r="F85" s="63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GDP</v>
      </c>
    </row>
    <row r="86" spans="1:26" ht="13.5" thickBot="1">
      <c r="A86" s="105" t="str">
        <f t="shared" ref="A86:A117" si="17">+CONCATENATE(A10,"p")</f>
        <v>7p</v>
      </c>
      <c r="B86" s="601" t="str">
        <f>+VLOOKUP(LEFT($A86,LEN(A86)-1)*1,Master!$D$30:$G$226,4,FALSE)</f>
        <v>Total Revenues</v>
      </c>
      <c r="C86" s="602"/>
      <c r="D86" s="602"/>
      <c r="E86" s="602"/>
      <c r="F86" s="602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5" t="str">
        <f>+VLOOKUP(LEFT($A87,LEN(A87)-1)*1,Master!$D$30:$G$226,4,FALSE)</f>
        <v>Taxes</v>
      </c>
      <c r="C87" s="626"/>
      <c r="D87" s="626"/>
      <c r="E87" s="626"/>
      <c r="F87" s="62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17" t="str">
        <f>+VLOOKUP(LEFT($A88,LEN(A88)-1)*1,Master!$D$30:$G$229,4,FALSE)</f>
        <v>Personal Income Tax</v>
      </c>
      <c r="C88" s="618"/>
      <c r="D88" s="618"/>
      <c r="E88" s="618"/>
      <c r="F88" s="61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17" t="str">
        <f>+VLOOKUP(LEFT($A89,LEN(A89)-1)*1,Master!$D$30:$G$229,4,FALSE)</f>
        <v>Corporate Income Tax</v>
      </c>
      <c r="C89" s="618"/>
      <c r="D89" s="618"/>
      <c r="E89" s="618"/>
      <c r="F89" s="61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17" t="str">
        <f>+VLOOKUP(LEFT($A90,LEN(A90)-1)*1,Master!$D$30:$G$229,4,FALSE)</f>
        <v xml:space="preserve">Taxes on Sales of Property </v>
      </c>
      <c r="C90" s="618"/>
      <c r="D90" s="618"/>
      <c r="E90" s="618"/>
      <c r="F90" s="61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17" t="str">
        <f>+VLOOKUP(LEFT($A91,LEN(A91)-1)*1,Master!$D$30:$G$229,4,FALSE)</f>
        <v>Value Added Tax</v>
      </c>
      <c r="C91" s="618"/>
      <c r="D91" s="618"/>
      <c r="E91" s="618"/>
      <c r="F91" s="61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17" t="str">
        <f>+VLOOKUP(LEFT($A92,LEN(A92)-1)*1,Master!$D$30:$G$229,4,FALSE)</f>
        <v>Excises</v>
      </c>
      <c r="C92" s="618"/>
      <c r="D92" s="618"/>
      <c r="E92" s="618"/>
      <c r="F92" s="61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17" t="str">
        <f>+VLOOKUP(LEFT($A93,LEN(A93)-1)*1,Master!$D$30:$G$229,4,FALSE)</f>
        <v>Tax on International Trade and Transactions</v>
      </c>
      <c r="C93" s="618"/>
      <c r="D93" s="618"/>
      <c r="E93" s="618"/>
      <c r="F93" s="61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17" t="str">
        <f>+VLOOKUP(LEFT($A94,LEN(A94)-1)*1,Master!$D$30:$G$229,4,FALSE)</f>
        <v>Other Republic Taxes</v>
      </c>
      <c r="C94" s="618"/>
      <c r="D94" s="618"/>
      <c r="E94" s="618"/>
      <c r="F94" s="61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23" t="str">
        <f>+VLOOKUP(LEFT($A95,LEN(A95)-1)*1,Master!$D$30:$G$229,4,FALSE)</f>
        <v>Contributions</v>
      </c>
      <c r="C95" s="624"/>
      <c r="D95" s="624"/>
      <c r="E95" s="624"/>
      <c r="F95" s="624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17" t="str">
        <f>+VLOOKUP(LEFT($A96,LEN(A96)-1)*1,Master!$D$30:$G$229,4,FALSE)</f>
        <v>Contributions for Pension and Disability Insurance</v>
      </c>
      <c r="C96" s="618"/>
      <c r="D96" s="618"/>
      <c r="E96" s="618"/>
      <c r="F96" s="61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17" t="str">
        <f>+VLOOKUP(LEFT($A97,LEN(A97)-1)*1,Master!$D$30:$G$229,4,FALSE)</f>
        <v>Contributions for Health Insurance</v>
      </c>
      <c r="C97" s="618"/>
      <c r="D97" s="618"/>
      <c r="E97" s="618"/>
      <c r="F97" s="61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17" t="str">
        <f>+VLOOKUP(LEFT($A98,LEN(A98)-1)*1,Master!$D$30:$G$229,4,FALSE)</f>
        <v>Contributions for  Unemployment Insurance</v>
      </c>
      <c r="C98" s="618"/>
      <c r="D98" s="618"/>
      <c r="E98" s="618"/>
      <c r="F98" s="61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17" t="str">
        <f>+VLOOKUP(LEFT($A99,LEN(A99)-1)*1,Master!$D$30:$G$229,4,FALSE)</f>
        <v>Other contributions</v>
      </c>
      <c r="C99" s="618"/>
      <c r="D99" s="618"/>
      <c r="E99" s="618"/>
      <c r="F99" s="61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23" t="str">
        <f>+VLOOKUP(LEFT($A100,LEN(A100)-1)*1,Master!$D$30:$G$229,4,FALSE)</f>
        <v>Duties</v>
      </c>
      <c r="C100" s="624"/>
      <c r="D100" s="624"/>
      <c r="E100" s="624"/>
      <c r="F100" s="624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23" t="str">
        <f>+VLOOKUP(LEFT($A101,LEN(A101)-1)*1,Master!$D$30:$G$229,4,FALSE)</f>
        <v>Fees</v>
      </c>
      <c r="C101" s="624"/>
      <c r="D101" s="624"/>
      <c r="E101" s="624"/>
      <c r="F101" s="624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23" t="str">
        <f>+VLOOKUP(LEFT($A102,LEN(A102)-1)*1,Master!$D$30:$G$229,4,FALSE)</f>
        <v>Other revenues</v>
      </c>
      <c r="C102" s="624"/>
      <c r="D102" s="624"/>
      <c r="E102" s="624"/>
      <c r="F102" s="624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23" t="str">
        <f>+VLOOKUP(LEFT($A103,LEN(A103)-1)*1,Master!$D$30:$G$229,4,FALSE)</f>
        <v>Receipts from Repayment of Loans and Funds Carried over from Previous Year</v>
      </c>
      <c r="C103" s="624"/>
      <c r="D103" s="624"/>
      <c r="E103" s="624"/>
      <c r="F103" s="624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19" t="str">
        <f>+VLOOKUP(LEFT($A104,LEN(A104)-1)*1,Master!$D$30:$G$229,4,FALSE)</f>
        <v>Grants and Transfers</v>
      </c>
      <c r="C104" s="620"/>
      <c r="D104" s="620"/>
      <c r="E104" s="620"/>
      <c r="F104" s="62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01" t="str">
        <f>+VLOOKUP(LEFT($A105,LEN(A105)-1)*1,Master!$D$30:$G$229,4,FALSE)</f>
        <v>Total Expenditures</v>
      </c>
      <c r="C105" s="602"/>
      <c r="D105" s="602"/>
      <c r="E105" s="602"/>
      <c r="F105" s="602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21" t="str">
        <f>+VLOOKUP(LEFT($A106,LEN(A106)-1)*1,Master!$D$30:$G$229,4,FALSE)</f>
        <v>Current Expenditures</v>
      </c>
      <c r="C106" s="622"/>
      <c r="D106" s="622"/>
      <c r="E106" s="622"/>
      <c r="F106" s="62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17" t="str">
        <f>+VLOOKUP(LEFT($A107,LEN(A107)-1)*1,Master!$D$30:$G$229,4,FALSE)</f>
        <v>Gross Salaries and Contributions</v>
      </c>
      <c r="C107" s="618"/>
      <c r="D107" s="618"/>
      <c r="E107" s="618"/>
      <c r="F107" s="61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17" t="str">
        <f>+VLOOKUP(LEFT($A108,LEN(A108)-1)*1,Master!$D$30:$G$229,4,FALSE)</f>
        <v>Other Personal Income</v>
      </c>
      <c r="C108" s="618"/>
      <c r="D108" s="618"/>
      <c r="E108" s="618"/>
      <c r="F108" s="61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17" t="str">
        <f>+VLOOKUP(LEFT($A109,LEN(A109)-1)*1,Master!$D$30:$G$229,4,FALSE)</f>
        <v>Expenditures for Supplies</v>
      </c>
      <c r="C109" s="618"/>
      <c r="D109" s="618"/>
      <c r="E109" s="618"/>
      <c r="F109" s="61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17" t="str">
        <f>+VLOOKUP(LEFT($A110,LEN(A110)-1)*1,Master!$D$30:$G$229,4,FALSE)</f>
        <v>Expenditures for Services</v>
      </c>
      <c r="C110" s="618"/>
      <c r="D110" s="618"/>
      <c r="E110" s="618"/>
      <c r="F110" s="61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17" t="str">
        <f>+VLOOKUP(LEFT($A111,LEN(A111)-1)*1,Master!$D$30:$G$229,4,FALSE)</f>
        <v>Current Maintenance</v>
      </c>
      <c r="C111" s="618"/>
      <c r="D111" s="618"/>
      <c r="E111" s="618"/>
      <c r="F111" s="61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17" t="str">
        <f>+VLOOKUP(LEFT($A112,LEN(A112)-1)*1,Master!$D$30:$G$229,4,FALSE)</f>
        <v>Interests</v>
      </c>
      <c r="C112" s="618"/>
      <c r="D112" s="618"/>
      <c r="E112" s="618"/>
      <c r="F112" s="61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17" t="str">
        <f>+VLOOKUP(LEFT($A113,LEN(A113)-1)*1,Master!$D$30:$G$229,4,FALSE)</f>
        <v>Rent</v>
      </c>
      <c r="C113" s="618"/>
      <c r="D113" s="618"/>
      <c r="E113" s="618"/>
      <c r="F113" s="61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17" t="str">
        <f>+VLOOKUP(LEFT($A114,LEN(A114)-1)*1,Master!$D$30:$G$229,4,FALSE)</f>
        <v>Subsidies</v>
      </c>
      <c r="C114" s="618"/>
      <c r="D114" s="618"/>
      <c r="E114" s="618"/>
      <c r="F114" s="61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17" t="str">
        <f>+VLOOKUP(LEFT($A115,LEN(A115)-1)*1,Master!$D$30:$G$229,4,FALSE)</f>
        <v>Other expenditures</v>
      </c>
      <c r="C115" s="618"/>
      <c r="D115" s="618"/>
      <c r="E115" s="618"/>
      <c r="F115" s="61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13" t="str">
        <f>+VLOOKUP(LEFT($A116,LEN(A116)-1)*1,Master!$D$30:$G$229,4,FALSE)</f>
        <v>Social Security Transfers</v>
      </c>
      <c r="C116" s="614"/>
      <c r="D116" s="614"/>
      <c r="E116" s="614"/>
      <c r="F116" s="614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17" t="str">
        <f>+VLOOKUP(LEFT($A117,LEN(A117)-1)*1,Master!$D$30:$G$229,4,FALSE)</f>
        <v>Social Security</v>
      </c>
      <c r="C117" s="618"/>
      <c r="D117" s="618"/>
      <c r="E117" s="618"/>
      <c r="F117" s="61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17" t="str">
        <f>+VLOOKUP(LEFT($A118,LEN(A118)-1)*1,Master!$D$30:$G$229,4,FALSE)</f>
        <v>Funds for redundant labor</v>
      </c>
      <c r="C118" s="618"/>
      <c r="D118" s="618"/>
      <c r="E118" s="618"/>
      <c r="F118" s="61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17" t="str">
        <f>+VLOOKUP(LEFT($A119,LEN(A119)-1)*1,Master!$D$30:$G$229,4,FALSE)</f>
        <v>Pension and Disability Insurance</v>
      </c>
      <c r="C119" s="618"/>
      <c r="D119" s="618"/>
      <c r="E119" s="618"/>
      <c r="F119" s="61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17" t="str">
        <f>+VLOOKUP(LEFT($A120,LEN(A120)-1)*1,Master!$D$30:$G$229,4,FALSE)</f>
        <v>Other Health Care Transfers</v>
      </c>
      <c r="C120" s="618"/>
      <c r="D120" s="618"/>
      <c r="E120" s="618"/>
      <c r="F120" s="61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17" t="str">
        <f>+VLOOKUP(LEFT($A121,LEN(A121)-1)*1,Master!$D$30:$G$229,4,FALSE)</f>
        <v>Other Health Care Insurance</v>
      </c>
      <c r="C121" s="618"/>
      <c r="D121" s="618"/>
      <c r="E121" s="618"/>
      <c r="F121" s="61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15" t="str">
        <f>+VLOOKUP(LEFT($A122,LEN(A122)-1)*1,Master!$D$30:$G$229,4,FALSE)</f>
        <v xml:space="preserve">Transfers to Institutions, Individuals, NGO and Public Sector </v>
      </c>
      <c r="C122" s="616"/>
      <c r="D122" s="616"/>
      <c r="E122" s="616"/>
      <c r="F122" s="616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15" t="str">
        <f>+VLOOKUP(LEFT($A123,LEN(A123)-1)*1,Master!$D$30:$G$229,4,FALSE)</f>
        <v>Capital Expenditure</v>
      </c>
      <c r="C123" s="616"/>
      <c r="D123" s="616"/>
      <c r="E123" s="616"/>
      <c r="F123" s="616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07" t="str">
        <f>+VLOOKUP(LEFT($A124,LEN(A124)-1)*1,Master!$D$30:$G$229,4,FALSE)</f>
        <v>Credits and Borrowings</v>
      </c>
      <c r="C124" s="608"/>
      <c r="D124" s="608"/>
      <c r="E124" s="608"/>
      <c r="F124" s="608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07" t="str">
        <f>+VLOOKUP(LEFT($A125,LEN(A125)-1)*1,Master!$D$30:$G$229,4,FALSE)</f>
        <v>Reserves</v>
      </c>
      <c r="C125" s="608"/>
      <c r="D125" s="608"/>
      <c r="E125" s="608"/>
      <c r="F125" s="608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07" t="str">
        <f>+VLOOKUP(LEFT($A126,LEN(A126)-1)*1,Master!$D$30:$G$229,4,FALSE)</f>
        <v>Repayment of Guarantees</v>
      </c>
      <c r="C126" s="608"/>
      <c r="D126" s="608"/>
      <c r="E126" s="608"/>
      <c r="F126" s="608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07" t="str">
        <f>+VLOOKUP(LEFT($A127,LEN(A127)-1)*1,Master!$D$30:$G$229,4,FALSE)</f>
        <v>Repayments of liabilities form the previous period</v>
      </c>
      <c r="C127" s="608"/>
      <c r="D127" s="608"/>
      <c r="E127" s="608"/>
      <c r="F127" s="608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07" t="str">
        <f>+VLOOKUP(LEFT($A128,LEN(A128)-1)*1,Master!$D$30:$G$229,4,FALSE)</f>
        <v>Net increase of liabilities</v>
      </c>
      <c r="C128" s="608"/>
      <c r="D128" s="608"/>
      <c r="E128" s="608"/>
      <c r="F128" s="60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09" t="str">
        <f>+VLOOKUP(LEFT($A129,LEN(A129)-1)*1,Master!$D$30:$G$226,4,FALSE)</f>
        <v>Surplus / deficit</v>
      </c>
      <c r="C129" s="610"/>
      <c r="D129" s="610"/>
      <c r="E129" s="610"/>
      <c r="F129" s="610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11" t="str">
        <f>+VLOOKUP(LEFT($A130,LEN(A130)-1)*1,Master!$D$30:$G$226,4,FALSE)</f>
        <v>Primary surplus/deficit</v>
      </c>
      <c r="C130" s="612"/>
      <c r="D130" s="612"/>
      <c r="E130" s="612"/>
      <c r="F130" s="612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13" t="str">
        <f>+VLOOKUP(LEFT($A131,LEN(A131)-1)*1,Master!$D$30:$G$226,4,FALSE)</f>
        <v>Repayment of Debt</v>
      </c>
      <c r="C131" s="614"/>
      <c r="D131" s="614"/>
      <c r="E131" s="614"/>
      <c r="F131" s="614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05" t="str">
        <f>+VLOOKUP(LEFT($A132,LEN(A132)-1)*1,Master!$D$30:$G$226,4,FALSE)</f>
        <v>Repayment of Domestic Debt</v>
      </c>
      <c r="C132" s="606"/>
      <c r="D132" s="606"/>
      <c r="E132" s="606"/>
      <c r="F132" s="606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07" t="str">
        <f>+VLOOKUP(LEFT($A133,LEN(A133)-1)*1,Master!$D$30:$G$226,4,FALSE)</f>
        <v>Repayment of Foreign Debt</v>
      </c>
      <c r="C133" s="608"/>
      <c r="D133" s="608"/>
      <c r="E133" s="608"/>
      <c r="F133" s="608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01" t="str">
        <f>+VLOOKUP(LEFT($A134,LEN(A134)-1)*1,Master!$D$30:$G$226,4,FALSE)</f>
        <v>Capital Expenditure for Securities</v>
      </c>
      <c r="C134" s="602"/>
      <c r="D134" s="602"/>
      <c r="E134" s="602"/>
      <c r="F134" s="602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03" t="str">
        <f>+VLOOKUP(LEFT($A135,LEN(A135)-1)*1,Master!$D$30:$G$226,4,FALSE)</f>
        <v>Financing needs</v>
      </c>
      <c r="C135" s="604"/>
      <c r="D135" s="604"/>
      <c r="E135" s="604"/>
      <c r="F135" s="604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01" t="str">
        <f>+VLOOKUP(LEFT($A136,LEN(A136)-1)*1,Master!$D$30:$G$226,4,FALSE)</f>
        <v>Financing</v>
      </c>
      <c r="C136" s="602"/>
      <c r="D136" s="602"/>
      <c r="E136" s="602"/>
      <c r="F136" s="602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05" t="str">
        <f>+VLOOKUP(LEFT($A137,LEN(A137)-1)*1,Master!$D$30:$G$226,4,FALSE)</f>
        <v>Domestic Loans and Borrowings</v>
      </c>
      <c r="C137" s="606"/>
      <c r="D137" s="606"/>
      <c r="E137" s="606"/>
      <c r="F137" s="606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07" t="str">
        <f>+VLOOKUP(LEFT($A138,LEN(A138)-1)*1,Master!$D$30:$G$226,4,FALSE)</f>
        <v>Foreign Loans and Borrowings</v>
      </c>
      <c r="C138" s="608"/>
      <c r="D138" s="608"/>
      <c r="E138" s="608"/>
      <c r="F138" s="608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07" t="str">
        <f>+VLOOKUP(LEFT($A139,LEN(A139)-1)*1,Master!$D$30:$G$226,4,FALSE)</f>
        <v>Revenues from Selling Assets</v>
      </c>
      <c r="C139" s="608"/>
      <c r="D139" s="608"/>
      <c r="E139" s="608"/>
      <c r="F139" s="608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Increase / decrease of deposits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Montenegro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Ministry of Finance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Directorate for State Budget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83" t="str">
        <f>+Master!G252</f>
        <v>Budget Execution-preliminary</v>
      </c>
      <c r="C7" s="584"/>
      <c r="D7" s="584"/>
      <c r="E7" s="584"/>
      <c r="F7" s="584"/>
      <c r="G7" s="592">
        <v>2021</v>
      </c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6"/>
      <c r="S7" s="220" t="str">
        <f>+Master!G249</f>
        <v>GDP</v>
      </c>
      <c r="T7" s="221">
        <v>4955116000</v>
      </c>
    </row>
    <row r="8" spans="1:22" ht="16.5" customHeight="1">
      <c r="A8" s="129"/>
      <c r="B8" s="585"/>
      <c r="C8" s="586"/>
      <c r="D8" s="586"/>
      <c r="E8" s="586"/>
      <c r="F8" s="587"/>
      <c r="G8" s="130" t="str">
        <f>+Master!G232</f>
        <v>January</v>
      </c>
      <c r="H8" s="130" t="str">
        <f>+Master!G233</f>
        <v>February</v>
      </c>
      <c r="I8" s="130" t="str">
        <f>+Master!G234</f>
        <v>March</v>
      </c>
      <c r="J8" s="130" t="str">
        <f>+Master!G235</f>
        <v>April</v>
      </c>
      <c r="K8" s="130" t="str">
        <f>+Master!G236</f>
        <v>May</v>
      </c>
      <c r="L8" s="130" t="str">
        <f>+Master!G237</f>
        <v>June</v>
      </c>
      <c r="M8" s="130" t="str">
        <f>+Master!G238</f>
        <v>July</v>
      </c>
      <c r="N8" s="130" t="str">
        <f>+Master!G239</f>
        <v>August</v>
      </c>
      <c r="O8" s="130" t="str">
        <f>+Master!G240</f>
        <v>September</v>
      </c>
      <c r="P8" s="130" t="str">
        <f>+Master!G241</f>
        <v>October</v>
      </c>
      <c r="Q8" s="130" t="str">
        <f>+Master!G242</f>
        <v>November</v>
      </c>
      <c r="R8" s="130" t="str">
        <f>+Master!G243</f>
        <v>December</v>
      </c>
      <c r="S8" s="592" t="str">
        <f>+Master!G247</f>
        <v>Jan - Dec</v>
      </c>
      <c r="T8" s="596"/>
    </row>
    <row r="9" spans="1:22" ht="13.5" thickBot="1">
      <c r="A9" s="129"/>
      <c r="B9" s="588"/>
      <c r="C9" s="589"/>
      <c r="D9" s="589"/>
      <c r="E9" s="589"/>
      <c r="F9" s="59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GDP</v>
      </c>
    </row>
    <row r="10" spans="1:22" ht="13.5" thickBot="1">
      <c r="A10" s="135">
        <v>7</v>
      </c>
      <c r="B10" s="551" t="str">
        <f>+VLOOKUP($A10,Master!$D$30:$G$226,4,FALSE)</f>
        <v>Total Revenues</v>
      </c>
      <c r="C10" s="552"/>
      <c r="D10" s="552"/>
      <c r="E10" s="552"/>
      <c r="F10" s="55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53" t="str">
        <f>+VLOOKUP($A11,Master!$D$30:$G$226,4,FALSE)</f>
        <v>Taxes</v>
      </c>
      <c r="C11" s="554"/>
      <c r="D11" s="554"/>
      <c r="E11" s="554"/>
      <c r="F11" s="55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55" t="str">
        <f>+VLOOKUP($A12,Master!$D$30:$G$226,4,FALSE)</f>
        <v>Personal Income Tax</v>
      </c>
      <c r="C12" s="556"/>
      <c r="D12" s="556"/>
      <c r="E12" s="556"/>
      <c r="F12" s="556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55" t="str">
        <f>+VLOOKUP($A13,Master!$D$30:$G$226,4,FALSE)</f>
        <v>Corporate Income Tax</v>
      </c>
      <c r="C13" s="556"/>
      <c r="D13" s="556"/>
      <c r="E13" s="556"/>
      <c r="F13" s="556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55" t="str">
        <f>+VLOOKUP($A14,Master!$D$30:$G$226,4,FALSE)</f>
        <v xml:space="preserve">Taxes on Sales of Property </v>
      </c>
      <c r="C14" s="556"/>
      <c r="D14" s="556"/>
      <c r="E14" s="556"/>
      <c r="F14" s="556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55" t="str">
        <f>+VLOOKUP($A15,Master!$D$30:$G$226,4,FALSE)</f>
        <v>Value Added Tax</v>
      </c>
      <c r="C15" s="556"/>
      <c r="D15" s="556"/>
      <c r="E15" s="556"/>
      <c r="F15" s="556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55" t="str">
        <f>+VLOOKUP($A16,Master!$D$30:$G$226,4,FALSE)</f>
        <v>Excises</v>
      </c>
      <c r="C16" s="556"/>
      <c r="D16" s="556"/>
      <c r="E16" s="556"/>
      <c r="F16" s="556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55" t="str">
        <f>+VLOOKUP($A17,Master!$D$30:$G$226,4,FALSE)</f>
        <v>Tax on International Trade and Transactions</v>
      </c>
      <c r="C17" s="556"/>
      <c r="D17" s="556"/>
      <c r="E17" s="556"/>
      <c r="F17" s="556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55" t="str">
        <f>+VLOOKUP($A18,Master!$D$30:$G$226,4,FALSE)</f>
        <v>Other Republic Taxes</v>
      </c>
      <c r="C18" s="556"/>
      <c r="D18" s="556"/>
      <c r="E18" s="556"/>
      <c r="F18" s="556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59" t="str">
        <f>+VLOOKUP($A19,Master!$D$30:$G$226,4,FALSE)</f>
        <v>Contributions</v>
      </c>
      <c r="C19" s="560"/>
      <c r="D19" s="560"/>
      <c r="E19" s="560"/>
      <c r="F19" s="56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55" t="str">
        <f>+VLOOKUP($A20,Master!$D$30:$G$226,4,FALSE)</f>
        <v>Contributions for Pension and Disability Insurance</v>
      </c>
      <c r="C20" s="556"/>
      <c r="D20" s="556"/>
      <c r="E20" s="556"/>
      <c r="F20" s="556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55" t="str">
        <f>+VLOOKUP($A21,Master!$D$30:$G$226,4,FALSE)</f>
        <v>Contributions for Health Insurance</v>
      </c>
      <c r="C21" s="556"/>
      <c r="D21" s="556"/>
      <c r="E21" s="556"/>
      <c r="F21" s="556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55" t="str">
        <f>+VLOOKUP($A22,Master!$D$30:$G$226,4,FALSE)</f>
        <v>Contributions for  Unemployment Insurance</v>
      </c>
      <c r="C22" s="556"/>
      <c r="D22" s="556"/>
      <c r="E22" s="556"/>
      <c r="F22" s="556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55" t="str">
        <f>+VLOOKUP($A23,Master!$D$30:$G$226,4,FALSE)</f>
        <v>Other contributions</v>
      </c>
      <c r="C23" s="556"/>
      <c r="D23" s="556"/>
      <c r="E23" s="556"/>
      <c r="F23" s="556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57" t="str">
        <f>+VLOOKUP($A24,Master!$D$30:$G$226,4,FALSE)</f>
        <v>Duties</v>
      </c>
      <c r="C24" s="558"/>
      <c r="D24" s="558"/>
      <c r="E24" s="558"/>
      <c r="F24" s="558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57" t="str">
        <f>+VLOOKUP($A25,Master!$D$30:$G$226,4,FALSE)</f>
        <v>Fees</v>
      </c>
      <c r="C25" s="558"/>
      <c r="D25" s="558"/>
      <c r="E25" s="558"/>
      <c r="F25" s="558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57" t="str">
        <f>+VLOOKUP($A26,Master!$D$30:$G$226,4,FALSE)</f>
        <v>Other revenues</v>
      </c>
      <c r="C26" s="558"/>
      <c r="D26" s="558"/>
      <c r="E26" s="558"/>
      <c r="F26" s="558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57" t="str">
        <f>+VLOOKUP($A27,Master!$D$30:$G$226,4,FALSE)</f>
        <v>Receipts from Repayment of Loans and Funds Carried over from Previous Year</v>
      </c>
      <c r="C27" s="558"/>
      <c r="D27" s="558"/>
      <c r="E27" s="558"/>
      <c r="F27" s="558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61" t="str">
        <f>+VLOOKUP($A28,Master!$D$30:$G$226,4,FALSE)</f>
        <v>Grants and Transfers</v>
      </c>
      <c r="C28" s="562"/>
      <c r="D28" s="562"/>
      <c r="E28" s="562"/>
      <c r="F28" s="56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63" t="str">
        <f>+VLOOKUP($A29,Master!$D$30:$G$226,4,FALSE)</f>
        <v>Total Expenditures</v>
      </c>
      <c r="C29" s="564"/>
      <c r="D29" s="564"/>
      <c r="E29" s="564"/>
      <c r="F29" s="564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67" t="str">
        <f>+VLOOKUP($A30,Master!$D$30:$G$226,4,FALSE)</f>
        <v>Current Expenditures</v>
      </c>
      <c r="C30" s="568"/>
      <c r="D30" s="568"/>
      <c r="E30" s="568"/>
      <c r="F30" s="56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55" t="str">
        <f>+VLOOKUP($A31,Master!$D$30:$G$226,4,FALSE)</f>
        <v>Gross Salaries and Contributions</v>
      </c>
      <c r="C31" s="556"/>
      <c r="D31" s="556"/>
      <c r="E31" s="556"/>
      <c r="F31" s="556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55" t="str">
        <f>+VLOOKUP($A32,Master!$D$30:$G$226,4,FALSE)</f>
        <v>Other Personal Income</v>
      </c>
      <c r="C32" s="556"/>
      <c r="D32" s="556"/>
      <c r="E32" s="556"/>
      <c r="F32" s="556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55" t="str">
        <f>+VLOOKUP($A33,Master!$D$30:$G$226,4,FALSE)</f>
        <v>Expenditures for Supplies</v>
      </c>
      <c r="C33" s="556"/>
      <c r="D33" s="556"/>
      <c r="E33" s="556"/>
      <c r="F33" s="556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0" t="str">
        <f>+VLOOKUP($A34,Master!$D$30:$G$226,4,FALSE)</f>
        <v>Expenditures for Services</v>
      </c>
      <c r="C34" s="651"/>
      <c r="D34" s="651"/>
      <c r="E34" s="651"/>
      <c r="F34" s="651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55" t="str">
        <f>+VLOOKUP($A35,Master!$D$30:$G$226,4,FALSE)</f>
        <v>Current Maintenance</v>
      </c>
      <c r="C35" s="556"/>
      <c r="D35" s="556"/>
      <c r="E35" s="556"/>
      <c r="F35" s="556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55" t="str">
        <f>+VLOOKUP($A36,Master!$D$30:$G$226,4,FALSE)</f>
        <v>Interests</v>
      </c>
      <c r="C36" s="556"/>
      <c r="D36" s="556"/>
      <c r="E36" s="556"/>
      <c r="F36" s="556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55" t="str">
        <f>+VLOOKUP($A37,Master!$D$30:$G$226,4,FALSE)</f>
        <v>Rent</v>
      </c>
      <c r="C37" s="556"/>
      <c r="D37" s="556"/>
      <c r="E37" s="556"/>
      <c r="F37" s="556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55" t="str">
        <f>+VLOOKUP($A38,Master!$D$30:$G$226,4,FALSE)</f>
        <v>Subsidies</v>
      </c>
      <c r="C38" s="556"/>
      <c r="D38" s="556"/>
      <c r="E38" s="556"/>
      <c r="F38" s="556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0" t="str">
        <f>+VLOOKUP($A39,Master!$D$30:$G$226,4,FALSE)</f>
        <v>Other expenditures</v>
      </c>
      <c r="C39" s="651"/>
      <c r="D39" s="651"/>
      <c r="E39" s="651"/>
      <c r="F39" s="651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71" t="str">
        <f>+VLOOKUP($A40,Master!$D$30:$G$226,4,FALSE)</f>
        <v>Social Security Transfers</v>
      </c>
      <c r="C40" s="572"/>
      <c r="D40" s="572"/>
      <c r="E40" s="572"/>
      <c r="F40" s="572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55" t="str">
        <f>+VLOOKUP($A41,Master!$D$30:$G$226,4,FALSE)</f>
        <v>Social Security</v>
      </c>
      <c r="C41" s="556"/>
      <c r="D41" s="556"/>
      <c r="E41" s="556"/>
      <c r="F41" s="556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55" t="str">
        <f>+VLOOKUP($A42,Master!$D$30:$G$226,4,FALSE)</f>
        <v>Funds for redundant labor</v>
      </c>
      <c r="C42" s="556"/>
      <c r="D42" s="556"/>
      <c r="E42" s="556"/>
      <c r="F42" s="556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55" t="str">
        <f>+VLOOKUP($A43,Master!$D$30:$G$226,4,FALSE)</f>
        <v>Pension and Disability Insurance</v>
      </c>
      <c r="C43" s="556"/>
      <c r="D43" s="556"/>
      <c r="E43" s="556"/>
      <c r="F43" s="556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55" t="str">
        <f>+VLOOKUP($A44,Master!$D$30:$G$226,4,FALSE)</f>
        <v>Other Health Care Transfers</v>
      </c>
      <c r="C44" s="556"/>
      <c r="D44" s="556"/>
      <c r="E44" s="556"/>
      <c r="F44" s="556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46" t="str">
        <f>+VLOOKUP($A45,Master!$D$30:$G$226,4,FALSE)</f>
        <v>Other Health Care Insurance</v>
      </c>
      <c r="C45" s="647"/>
      <c r="D45" s="647"/>
      <c r="E45" s="647"/>
      <c r="F45" s="64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69" t="str">
        <f>+VLOOKUP($A46,Master!$D$30:$G$226,4,FALSE)</f>
        <v xml:space="preserve">Transfers to Institutions, Individuals, NGO and Public Sector </v>
      </c>
      <c r="C46" s="570"/>
      <c r="D46" s="570"/>
      <c r="E46" s="570"/>
      <c r="F46" s="570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69" t="str">
        <f>+VLOOKUP($A47,Master!$D$30:$G$226,4,FALSE)</f>
        <v>Capital Expenditure</v>
      </c>
      <c r="C47" s="570"/>
      <c r="D47" s="570"/>
      <c r="E47" s="570"/>
      <c r="F47" s="570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48" t="str">
        <f>+VLOOKUP($A48,Master!$D$30:$G$226,4,FALSE)</f>
        <v>Credits and Borrowings</v>
      </c>
      <c r="C48" s="649"/>
      <c r="D48" s="649"/>
      <c r="E48" s="649"/>
      <c r="F48" s="64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0" t="str">
        <f>+VLOOKUP($A49,Master!$D$30:$G$226,4,FALSE)</f>
        <v>Reserves</v>
      </c>
      <c r="C49" s="641"/>
      <c r="D49" s="641"/>
      <c r="E49" s="641"/>
      <c r="F49" s="641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5" t="str">
        <f>+VLOOKUP($A50,Master!$D$30:$G$226,4,FALSE)</f>
        <v>Repayment of Guarantees</v>
      </c>
      <c r="C50" s="576"/>
      <c r="D50" s="576"/>
      <c r="E50" s="576"/>
      <c r="F50" s="57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42" t="str">
        <f>+VLOOKUP($A51,Master!$D$30:$G$226,4,TRUE)</f>
        <v>Repayments of liabilities form the previous period</v>
      </c>
      <c r="C51" s="643"/>
      <c r="D51" s="643"/>
      <c r="E51" s="643"/>
      <c r="F51" s="643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44" t="str">
        <f>+VLOOKUP($A52,Master!$D$30:$G$228,4,FALSE)</f>
        <v>Net increase of liabilities</v>
      </c>
      <c r="C52" s="645"/>
      <c r="D52" s="645"/>
      <c r="E52" s="645"/>
      <c r="F52" s="64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77" t="str">
        <f>+VLOOKUP($A53,Master!$D$30:$G$226,4,FALSE)</f>
        <v>Surplus / deficit</v>
      </c>
      <c r="C53" s="578"/>
      <c r="D53" s="578"/>
      <c r="E53" s="578"/>
      <c r="F53" s="578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79" t="str">
        <f>+VLOOKUP($A54,Master!$D$30:$G$226,4,FALSE)</f>
        <v>Primary surplus/deficit</v>
      </c>
      <c r="C54" s="580"/>
      <c r="D54" s="580"/>
      <c r="E54" s="580"/>
      <c r="F54" s="580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38" t="str">
        <f>+VLOOKUP($A55,Master!$D$30:$G$226,4,FALSE)</f>
        <v>Repayment of Debt</v>
      </c>
      <c r="C55" s="639"/>
      <c r="D55" s="639"/>
      <c r="E55" s="639"/>
      <c r="F55" s="639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97" t="str">
        <f>+VLOOKUP($A56,Master!$D$30:$G$226,4,FALSE)</f>
        <v>Repayment of Domestic Debt</v>
      </c>
      <c r="C56" s="598"/>
      <c r="D56" s="598"/>
      <c r="E56" s="598"/>
      <c r="F56" s="598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73" t="str">
        <f>+VLOOKUP($A57,Master!$D$30:$G$226,4,FALSE)</f>
        <v>Repayment of Foreign Debt</v>
      </c>
      <c r="C57" s="574"/>
      <c r="D57" s="574"/>
      <c r="E57" s="574"/>
      <c r="F57" s="574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65" t="str">
        <f>+VLOOKUP($A58,Master!$D$30:$G$226,4,FALSE)</f>
        <v>Capital Expenditure for Securities</v>
      </c>
      <c r="C58" s="566"/>
      <c r="D58" s="566"/>
      <c r="E58" s="566"/>
      <c r="F58" s="56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99" t="str">
        <f>+VLOOKUP($A59,Master!$D$30:$G$226,4,FALSE)</f>
        <v>Financing needs</v>
      </c>
      <c r="C59" s="600"/>
      <c r="D59" s="600"/>
      <c r="E59" s="600"/>
      <c r="F59" s="600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63" t="str">
        <f>+VLOOKUP($A60,Master!$D$30:$G$226,4,FALSE)</f>
        <v>Financing</v>
      </c>
      <c r="C60" s="564"/>
      <c r="D60" s="564"/>
      <c r="E60" s="564"/>
      <c r="F60" s="564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97" t="str">
        <f>+VLOOKUP($A61,Master!$D$30:$G$226,4,FALSE)</f>
        <v>Domestic Loans and Borrowings</v>
      </c>
      <c r="C61" s="598"/>
      <c r="D61" s="598"/>
      <c r="E61" s="598"/>
      <c r="F61" s="598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73" t="str">
        <f>+VLOOKUP($A62,Master!$D$30:$G$226,4,FALSE)</f>
        <v>Foreign Loans and Borrowings</v>
      </c>
      <c r="C62" s="574"/>
      <c r="D62" s="574"/>
      <c r="E62" s="574"/>
      <c r="F62" s="574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73" t="str">
        <f>+VLOOKUP($A63,Master!$D$30:$G$226,4,FALSE)</f>
        <v>Revenues from Selling Assets</v>
      </c>
      <c r="C63" s="574"/>
      <c r="D63" s="574"/>
      <c r="E63" s="574"/>
      <c r="F63" s="574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Increase / decrease of deposits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27" t="str">
        <f>+Master!G253</f>
        <v>Planned Budget Execution</v>
      </c>
      <c r="C81" s="628"/>
      <c r="D81" s="628"/>
      <c r="E81" s="628"/>
      <c r="F81" s="628"/>
      <c r="G81" s="635">
        <v>2021</v>
      </c>
      <c r="H81" s="636"/>
      <c r="I81" s="636"/>
      <c r="J81" s="636"/>
      <c r="K81" s="636"/>
      <c r="L81" s="636"/>
      <c r="M81" s="636"/>
      <c r="N81" s="636"/>
      <c r="O81" s="636"/>
      <c r="P81" s="636"/>
      <c r="Q81" s="636"/>
      <c r="R81" s="637"/>
      <c r="S81" s="96" t="str">
        <f>+S7</f>
        <v>GDP</v>
      </c>
      <c r="T81" s="97">
        <v>4636600000</v>
      </c>
    </row>
    <row r="82" spans="1:21" ht="15.75" customHeight="1">
      <c r="B82" s="629"/>
      <c r="C82" s="630"/>
      <c r="D82" s="630"/>
      <c r="E82" s="630"/>
      <c r="F82" s="631"/>
      <c r="G82" s="62" t="str">
        <f t="shared" ref="G82:R82" si="16">+G8</f>
        <v>January</v>
      </c>
      <c r="H82" s="62" t="str">
        <f t="shared" si="16"/>
        <v>February</v>
      </c>
      <c r="I82" s="62" t="str">
        <f t="shared" si="16"/>
        <v>March</v>
      </c>
      <c r="J82" s="62" t="str">
        <f t="shared" si="16"/>
        <v>April</v>
      </c>
      <c r="K82" s="62" t="str">
        <f t="shared" si="16"/>
        <v>May</v>
      </c>
      <c r="L82" s="62" t="str">
        <f t="shared" si="16"/>
        <v>June</v>
      </c>
      <c r="M82" s="62" t="str">
        <f t="shared" si="16"/>
        <v>July</v>
      </c>
      <c r="N82" s="62" t="str">
        <f t="shared" si="16"/>
        <v>August</v>
      </c>
      <c r="O82" s="62" t="str">
        <f t="shared" si="16"/>
        <v>September</v>
      </c>
      <c r="P82" s="62" t="str">
        <f t="shared" si="16"/>
        <v>October</v>
      </c>
      <c r="Q82" s="62" t="str">
        <f t="shared" si="16"/>
        <v>November</v>
      </c>
      <c r="R82" s="62" t="str">
        <f t="shared" si="16"/>
        <v>December</v>
      </c>
      <c r="S82" s="635" t="str">
        <f>+Master!G247</f>
        <v>Jan - Dec</v>
      </c>
      <c r="T82" s="637">
        <f>+T8</f>
        <v>0</v>
      </c>
    </row>
    <row r="83" spans="1:21" ht="13.5" thickBot="1">
      <c r="B83" s="632"/>
      <c r="C83" s="633"/>
      <c r="D83" s="633"/>
      <c r="E83" s="633"/>
      <c r="F83" s="634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GDP</v>
      </c>
    </row>
    <row r="84" spans="1:21" ht="13.5" thickBot="1">
      <c r="A84" s="105" t="str">
        <f t="shared" ref="A84:A115" si="17">+CONCATENATE(A10,"p")</f>
        <v>7p</v>
      </c>
      <c r="B84" s="652" t="str">
        <f>+VLOOKUP(LEFT($A84,LEN(A84)-1)*1,Master!$D$30:$G$226,4,FALSE)</f>
        <v>Total Revenues</v>
      </c>
      <c r="C84" s="653"/>
      <c r="D84" s="653"/>
      <c r="E84" s="653"/>
      <c r="F84" s="653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5" t="str">
        <f>+VLOOKUP(LEFT($A85,LEN(A85)-1)*1,Master!$D$30:$G$226,4,FALSE)</f>
        <v>Taxes</v>
      </c>
      <c r="C85" s="626"/>
      <c r="D85" s="626"/>
      <c r="E85" s="626"/>
      <c r="F85" s="62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17" t="str">
        <f>+VLOOKUP(LEFT($A86,LEN(A86)-1)*1,Master!$D$30:$G$229,4,FALSE)</f>
        <v>Personal Income Tax</v>
      </c>
      <c r="C86" s="618"/>
      <c r="D86" s="618"/>
      <c r="E86" s="618"/>
      <c r="F86" s="61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17" t="str">
        <f>+VLOOKUP(LEFT($A87,LEN(A87)-1)*1,Master!$D$30:$G$229,4,FALSE)</f>
        <v>Corporate Income Tax</v>
      </c>
      <c r="C87" s="618"/>
      <c r="D87" s="618"/>
      <c r="E87" s="618"/>
      <c r="F87" s="61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17" t="str">
        <f>+VLOOKUP(LEFT($A88,LEN(A88)-1)*1,Master!$D$30:$G$229,4,FALSE)</f>
        <v xml:space="preserve">Taxes on Sales of Property </v>
      </c>
      <c r="C88" s="618"/>
      <c r="D88" s="618"/>
      <c r="E88" s="618"/>
      <c r="F88" s="61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17" t="str">
        <f>+VLOOKUP(LEFT($A89,LEN(A89)-1)*1,Master!$D$30:$G$229,4,FALSE)</f>
        <v>Value Added Tax</v>
      </c>
      <c r="C89" s="618"/>
      <c r="D89" s="618"/>
      <c r="E89" s="618"/>
      <c r="F89" s="61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17" t="str">
        <f>+VLOOKUP(LEFT($A90,LEN(A90)-1)*1,Master!$D$30:$G$229,4,FALSE)</f>
        <v>Excises</v>
      </c>
      <c r="C90" s="618"/>
      <c r="D90" s="618"/>
      <c r="E90" s="618"/>
      <c r="F90" s="61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17" t="str">
        <f>+VLOOKUP(LEFT($A91,LEN(A91)-1)*1,Master!$D$30:$G$229,4,FALSE)</f>
        <v>Tax on International Trade and Transactions</v>
      </c>
      <c r="C91" s="618"/>
      <c r="D91" s="618"/>
      <c r="E91" s="618"/>
      <c r="F91" s="61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17" t="str">
        <f>+VLOOKUP(LEFT($A92,LEN(A92)-1)*1,Master!$D$30:$G$229,4,FALSE)</f>
        <v>Other Republic Taxes</v>
      </c>
      <c r="C92" s="618"/>
      <c r="D92" s="618"/>
      <c r="E92" s="618"/>
      <c r="F92" s="61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4" t="str">
        <f>+VLOOKUP(LEFT($A93,LEN(A93)-1)*1,Master!$D$30:$G$229,4,FALSE)</f>
        <v>Contributions</v>
      </c>
      <c r="C93" s="655"/>
      <c r="D93" s="655"/>
      <c r="E93" s="655"/>
      <c r="F93" s="65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17" t="str">
        <f>+VLOOKUP(LEFT($A94,LEN(A94)-1)*1,Master!$D$30:$G$229,4,FALSE)</f>
        <v>Contributions for Pension and Disability Insurance</v>
      </c>
      <c r="C94" s="618"/>
      <c r="D94" s="618"/>
      <c r="E94" s="618"/>
      <c r="F94" s="61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17" t="str">
        <f>+VLOOKUP(LEFT($A95,LEN(A95)-1)*1,Master!$D$30:$G$229,4,FALSE)</f>
        <v>Contributions for Health Insurance</v>
      </c>
      <c r="C95" s="618"/>
      <c r="D95" s="618"/>
      <c r="E95" s="618"/>
      <c r="F95" s="61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17" t="str">
        <f>+VLOOKUP(LEFT($A96,LEN(A96)-1)*1,Master!$D$30:$G$229,4,FALSE)</f>
        <v>Contributions for  Unemployment Insurance</v>
      </c>
      <c r="C96" s="618"/>
      <c r="D96" s="618"/>
      <c r="E96" s="618"/>
      <c r="F96" s="61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17" t="str">
        <f>+VLOOKUP(LEFT($A97,LEN(A97)-1)*1,Master!$D$30:$G$229,4,FALSE)</f>
        <v>Other contributions</v>
      </c>
      <c r="C97" s="618"/>
      <c r="D97" s="618"/>
      <c r="E97" s="618"/>
      <c r="F97" s="61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23" t="str">
        <f>+VLOOKUP(LEFT($A98,LEN(A98)-1)*1,Master!$D$30:$G$229,4,FALSE)</f>
        <v>Duties</v>
      </c>
      <c r="C98" s="624"/>
      <c r="D98" s="624"/>
      <c r="E98" s="624"/>
      <c r="F98" s="624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23" t="str">
        <f>+VLOOKUP(LEFT($A99,LEN(A99)-1)*1,Master!$D$30:$G$229,4,FALSE)</f>
        <v>Fees</v>
      </c>
      <c r="C99" s="624"/>
      <c r="D99" s="624"/>
      <c r="E99" s="624"/>
      <c r="F99" s="624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23" t="str">
        <f>+VLOOKUP(LEFT($A100,LEN(A100)-1)*1,Master!$D$30:$G$229,4,FALSE)</f>
        <v>Other revenues</v>
      </c>
      <c r="C100" s="624"/>
      <c r="D100" s="624"/>
      <c r="E100" s="624"/>
      <c r="F100" s="624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23" t="str">
        <f>+VLOOKUP(LEFT($A101,LEN(A101)-1)*1,Master!$D$30:$G$229,4,FALSE)</f>
        <v>Receipts from Repayment of Loans and Funds Carried over from Previous Year</v>
      </c>
      <c r="C101" s="624"/>
      <c r="D101" s="624"/>
      <c r="E101" s="624"/>
      <c r="F101" s="624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19" t="str">
        <f>+VLOOKUP(LEFT($A102,LEN(A102)-1)*1,Master!$D$30:$G$229,4,FALSE)</f>
        <v>Grants and Transfers</v>
      </c>
      <c r="C102" s="620"/>
      <c r="D102" s="620"/>
      <c r="E102" s="620"/>
      <c r="F102" s="62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01" t="str">
        <f>+VLOOKUP(LEFT($A103,LEN(A103)-1)*1,Master!$D$30:$G$229,4,FALSE)</f>
        <v>Total Expenditures</v>
      </c>
      <c r="C103" s="602"/>
      <c r="D103" s="602"/>
      <c r="E103" s="602"/>
      <c r="F103" s="602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21" t="str">
        <f>+VLOOKUP(LEFT($A104,LEN(A104)-1)*1,Master!$D$30:$G$229,4,FALSE)</f>
        <v>Current Expenditures</v>
      </c>
      <c r="C104" s="622"/>
      <c r="D104" s="622"/>
      <c r="E104" s="622"/>
      <c r="F104" s="62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17" t="str">
        <f>+VLOOKUP(LEFT($A105,LEN(A105)-1)*1,Master!$D$30:$G$229,4,FALSE)</f>
        <v>Gross Salaries and Contributions</v>
      </c>
      <c r="C105" s="618"/>
      <c r="D105" s="618"/>
      <c r="E105" s="618"/>
      <c r="F105" s="61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17" t="str">
        <f>+VLOOKUP(LEFT($A106,LEN(A106)-1)*1,Master!$D$30:$G$229,4,FALSE)</f>
        <v>Other Personal Income</v>
      </c>
      <c r="C106" s="618"/>
      <c r="D106" s="618"/>
      <c r="E106" s="618"/>
      <c r="F106" s="61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17" t="str">
        <f>+VLOOKUP(LEFT($A107,LEN(A107)-1)*1,Master!$D$30:$G$229,4,FALSE)</f>
        <v>Expenditures for Supplies</v>
      </c>
      <c r="C107" s="618"/>
      <c r="D107" s="618"/>
      <c r="E107" s="618"/>
      <c r="F107" s="61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17" t="str">
        <f>+VLOOKUP(LEFT($A108,LEN(A108)-1)*1,Master!$D$30:$G$229,4,FALSE)</f>
        <v>Expenditures for Services</v>
      </c>
      <c r="C108" s="618"/>
      <c r="D108" s="618"/>
      <c r="E108" s="618"/>
      <c r="F108" s="61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17" t="str">
        <f>+VLOOKUP(LEFT($A109,LEN(A109)-1)*1,Master!$D$30:$G$229,4,FALSE)</f>
        <v>Current Maintenance</v>
      </c>
      <c r="C109" s="618"/>
      <c r="D109" s="618"/>
      <c r="E109" s="618"/>
      <c r="F109" s="61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17" t="str">
        <f>+VLOOKUP(LEFT($A110,LEN(A110)-1)*1,Master!$D$30:$G$229,4,FALSE)</f>
        <v>Interests</v>
      </c>
      <c r="C110" s="618"/>
      <c r="D110" s="618"/>
      <c r="E110" s="618"/>
      <c r="F110" s="61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17" t="str">
        <f>+VLOOKUP(LEFT($A111,LEN(A111)-1)*1,Master!$D$30:$G$229,4,FALSE)</f>
        <v>Rent</v>
      </c>
      <c r="C111" s="618"/>
      <c r="D111" s="618"/>
      <c r="E111" s="618"/>
      <c r="F111" s="61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17" t="str">
        <f>+VLOOKUP(LEFT($A112,LEN(A112)-1)*1,Master!$D$30:$G$229,4,FALSE)</f>
        <v>Subsidies</v>
      </c>
      <c r="C112" s="618"/>
      <c r="D112" s="618"/>
      <c r="E112" s="618"/>
      <c r="F112" s="61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17" t="str">
        <f>+VLOOKUP(LEFT($A113,LEN(A113)-1)*1,Master!$D$30:$G$229,4,FALSE)</f>
        <v>Other expenditures</v>
      </c>
      <c r="C113" s="618"/>
      <c r="D113" s="618"/>
      <c r="E113" s="618"/>
      <c r="F113" s="61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13" t="str">
        <f>+VLOOKUP(LEFT($A114,LEN(A114)-1)*1,Master!$D$30:$G$229,4,FALSE)</f>
        <v>Social Security Transfers</v>
      </c>
      <c r="C114" s="614"/>
      <c r="D114" s="614"/>
      <c r="E114" s="614"/>
      <c r="F114" s="614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17" t="str">
        <f>+VLOOKUP(LEFT($A115,LEN(A115)-1)*1,Master!$D$30:$G$229,4,FALSE)</f>
        <v>Social Security</v>
      </c>
      <c r="C115" s="618"/>
      <c r="D115" s="618"/>
      <c r="E115" s="618"/>
      <c r="F115" s="61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17" t="str">
        <f>+VLOOKUP(LEFT($A116,LEN(A116)-1)*1,Master!$D$30:$G$229,4,FALSE)</f>
        <v>Funds for redundant labor</v>
      </c>
      <c r="C116" s="618"/>
      <c r="D116" s="618"/>
      <c r="E116" s="618"/>
      <c r="F116" s="61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17" t="str">
        <f>+VLOOKUP(LEFT($A117,LEN(A117)-1)*1,Master!$D$30:$G$229,4,FALSE)</f>
        <v>Pension and Disability Insurance</v>
      </c>
      <c r="C117" s="618"/>
      <c r="D117" s="618"/>
      <c r="E117" s="618"/>
      <c r="F117" s="61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17" t="str">
        <f>+VLOOKUP(LEFT($A118,LEN(A118)-1)*1,Master!$D$30:$G$229,4,FALSE)</f>
        <v>Other Health Care Transfers</v>
      </c>
      <c r="C118" s="618"/>
      <c r="D118" s="618"/>
      <c r="E118" s="618"/>
      <c r="F118" s="61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17" t="str">
        <f>+VLOOKUP(LEFT($A119,LEN(A119)-1)*1,Master!$D$30:$G$229,4,FALSE)</f>
        <v>Other Health Care Insurance</v>
      </c>
      <c r="C119" s="618"/>
      <c r="D119" s="618"/>
      <c r="E119" s="618"/>
      <c r="F119" s="61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15" t="str">
        <f>+VLOOKUP(LEFT($A120,LEN(A120)-1)*1,Master!$D$30:$G$229,4,FALSE)</f>
        <v xml:space="preserve">Transfers to Institutions, Individuals, NGO and Public Sector </v>
      </c>
      <c r="C120" s="616"/>
      <c r="D120" s="616"/>
      <c r="E120" s="616"/>
      <c r="F120" s="616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15" t="str">
        <f>+VLOOKUP(LEFT($A121,LEN(A121)-1)*1,Master!$D$30:$G$229,4,FALSE)</f>
        <v>Capital Expenditure</v>
      </c>
      <c r="C121" s="616"/>
      <c r="D121" s="616"/>
      <c r="E121" s="616"/>
      <c r="F121" s="616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07" t="str">
        <f>+VLOOKUP(LEFT($A122,LEN(A122)-1)*1,Master!$D$30:$G$229,4,FALSE)</f>
        <v>Credits and Borrowings</v>
      </c>
      <c r="C122" s="608"/>
      <c r="D122" s="608"/>
      <c r="E122" s="608"/>
      <c r="F122" s="608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07" t="str">
        <f>+VLOOKUP(LEFT($A123,LEN(A123)-1)*1,Master!$D$30:$G$229,4,FALSE)</f>
        <v>Reserves</v>
      </c>
      <c r="C123" s="608"/>
      <c r="D123" s="608"/>
      <c r="E123" s="608"/>
      <c r="F123" s="608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07" t="str">
        <f>+VLOOKUP(LEFT($A124,LEN(A124)-1)*1,Master!$D$30:$G$229,4,FALSE)</f>
        <v>Repayment of Guarantees</v>
      </c>
      <c r="C124" s="608"/>
      <c r="D124" s="608"/>
      <c r="E124" s="608"/>
      <c r="F124" s="608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07" t="str">
        <f>+VLOOKUP(LEFT($A125,LEN(A125)-1)*1,Master!$D$30:$G$229,4,FALSE)</f>
        <v>Repayments of liabilities form the previous period</v>
      </c>
      <c r="C125" s="608"/>
      <c r="D125" s="608"/>
      <c r="E125" s="608"/>
      <c r="F125" s="608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07" t="str">
        <f>+VLOOKUP(LEFT($A126,LEN(A126)-1)*1,Master!$D$30:$G$229,4,FALSE)</f>
        <v>Net increase of liabilities</v>
      </c>
      <c r="C126" s="608"/>
      <c r="D126" s="608"/>
      <c r="E126" s="608"/>
      <c r="F126" s="608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09" t="str">
        <f>+VLOOKUP(LEFT($A127,LEN(A127)-1)*1,Master!$D$30:$G$226,4,FALSE)</f>
        <v>Surplus / deficit</v>
      </c>
      <c r="C127" s="610"/>
      <c r="D127" s="610"/>
      <c r="E127" s="610"/>
      <c r="F127" s="610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11" t="str">
        <f>+VLOOKUP(LEFT($A128,LEN(A128)-1)*1,Master!$D$30:$G$226,4,FALSE)</f>
        <v>Primary surplus/deficit</v>
      </c>
      <c r="C128" s="612"/>
      <c r="D128" s="612"/>
      <c r="E128" s="612"/>
      <c r="F128" s="612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13" t="str">
        <f>+VLOOKUP(LEFT($A129,LEN(A129)-1)*1,Master!$D$30:$G$226,4,FALSE)</f>
        <v>Repayment of Debt</v>
      </c>
      <c r="C129" s="614"/>
      <c r="D129" s="614"/>
      <c r="E129" s="614"/>
      <c r="F129" s="614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05" t="str">
        <f>+VLOOKUP(LEFT($A130,LEN(A130)-1)*1,Master!$D$30:$G$226,4,FALSE)</f>
        <v>Repayment of Domestic Debt</v>
      </c>
      <c r="C130" s="606"/>
      <c r="D130" s="606"/>
      <c r="E130" s="606"/>
      <c r="F130" s="606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07" t="str">
        <f>+VLOOKUP(LEFT($A131,LEN(A131)-1)*1,Master!$D$30:$G$226,4,FALSE)</f>
        <v>Repayment of Foreign Debt</v>
      </c>
      <c r="C131" s="608"/>
      <c r="D131" s="608"/>
      <c r="E131" s="608"/>
      <c r="F131" s="608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01" t="str">
        <f>+VLOOKUP(LEFT($A132,LEN(A132)-1)*1,Master!$D$30:$G$226,4,FALSE)</f>
        <v>Capital Expenditure for Securities</v>
      </c>
      <c r="C132" s="602"/>
      <c r="D132" s="602"/>
      <c r="E132" s="602"/>
      <c r="F132" s="602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03" t="str">
        <f>+VLOOKUP(LEFT($A133,LEN(A133)-1)*1,Master!$D$30:$G$226,4,FALSE)</f>
        <v>Financing needs</v>
      </c>
      <c r="C133" s="604"/>
      <c r="D133" s="604"/>
      <c r="E133" s="604"/>
      <c r="F133" s="604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01" t="str">
        <f>+VLOOKUP(LEFT($A134,LEN(A134)-1)*1,Master!$D$30:$G$226,4,FALSE)</f>
        <v>Financing</v>
      </c>
      <c r="C134" s="602"/>
      <c r="D134" s="602"/>
      <c r="E134" s="602"/>
      <c r="F134" s="602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05" t="str">
        <f>+VLOOKUP(LEFT($A135,LEN(A135)-1)*1,Master!$D$30:$G$226,4,FALSE)</f>
        <v>Domestic Loans and Borrowings</v>
      </c>
      <c r="C135" s="606"/>
      <c r="D135" s="606"/>
      <c r="E135" s="606"/>
      <c r="F135" s="606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07" t="str">
        <f>+VLOOKUP(LEFT($A136,LEN(A136)-1)*1,Master!$D$30:$G$226,4,FALSE)</f>
        <v>Foreign Loans and Borrowings</v>
      </c>
      <c r="C136" s="608"/>
      <c r="D136" s="608"/>
      <c r="E136" s="608"/>
      <c r="F136" s="608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07" t="str">
        <f>+VLOOKUP(LEFT($A137,LEN(A137)-1)*1,Master!$D$30:$G$226,4,FALSE)</f>
        <v>Revenues from Selling Assets</v>
      </c>
      <c r="C137" s="608"/>
      <c r="D137" s="608"/>
      <c r="E137" s="608"/>
      <c r="F137" s="608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Increase / decrease of deposits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Dragana Nedic</cp:lastModifiedBy>
  <cp:lastPrinted>2026-05-28T06:05:26Z</cp:lastPrinted>
  <dcterms:created xsi:type="dcterms:W3CDTF">2014-09-15T13:41:17Z</dcterms:created>
  <dcterms:modified xsi:type="dcterms:W3CDTF">2026-05-28T06:11:11Z</dcterms:modified>
</cp:coreProperties>
</file>