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updateLinks="always" codeName="ThisWorkbook" defaultThemeVersion="124226"/>
  <mc:AlternateContent xmlns:mc="http://schemas.openxmlformats.org/markup-compatibility/2006">
    <mc:Choice Requires="x15">
      <x15ac:absPath xmlns:x15ac="http://schemas.microsoft.com/office/spreadsheetml/2010/11/ac" url="C:\Users\bojan.paunovic\Desktop\Bojan NE diraj\izvrsenje budzeta\Izvjestaji\Izvjestaji 2024\Konsolidovana javna potrosnja\IQ 2024\"/>
    </mc:Choice>
  </mc:AlternateContent>
  <xr:revisionPtr revIDLastSave="0" documentId="13_ncr:1_{5E9B9FA2-81E2-4A9B-B1F8-D5E5187D74C9}" xr6:coauthVersionLast="36" xr6:coauthVersionMax="36" xr10:uidLastSave="{00000000-0000-0000-0000-000000000000}"/>
  <workbookProtection workbookAlgorithmName="SHA-512" workbookHashValue="U0Zt6j3MJMiX083PeojI5Oir6JWHxlEDlMR+Z+pmAn5B5Y9btdZxnk4nGoLRhk2v/MuU3/84UU5jeSV30ev7fw==" workbookSaltValue="7mTQf/fELNkj/k3gvkzHUQ==" workbookSpinCount="100000" lockStructure="1"/>
  <bookViews>
    <workbookView xWindow="0" yWindow="0" windowWidth="15525" windowHeight="7050" xr2:uid="{00000000-000D-0000-FFFF-FFFF0000000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91029"/>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L63" i="44" l="1"/>
  <c r="L62" i="44"/>
  <c r="L61" i="44"/>
  <c r="L60" i="44"/>
  <c r="L59" i="44"/>
  <c r="L58" i="44"/>
  <c r="L57" i="44"/>
  <c r="L56" i="44"/>
  <c r="L55" i="44"/>
  <c r="L54" i="44"/>
  <c r="L53" i="44"/>
  <c r="L52" i="44"/>
  <c r="L51" i="44"/>
  <c r="L50" i="44"/>
  <c r="L49" i="44"/>
  <c r="L48" i="44"/>
  <c r="L47" i="44"/>
  <c r="L46" i="44"/>
  <c r="L45" i="44"/>
  <c r="L44" i="44"/>
  <c r="L43" i="44"/>
  <c r="L42" i="44"/>
  <c r="L41" i="44"/>
  <c r="L40" i="44"/>
  <c r="L39" i="44"/>
  <c r="L38" i="44"/>
  <c r="L37" i="44"/>
  <c r="L36" i="44"/>
  <c r="L35" i="44"/>
  <c r="L34" i="44"/>
  <c r="L33" i="44"/>
  <c r="L32" i="44"/>
  <c r="L31" i="44"/>
  <c r="L30" i="44"/>
  <c r="L29" i="44"/>
  <c r="L28" i="44"/>
  <c r="L27" i="44"/>
  <c r="L26" i="44"/>
  <c r="L25" i="44"/>
  <c r="L24" i="44"/>
  <c r="L23" i="44"/>
  <c r="L22" i="44"/>
  <c r="L21" i="44"/>
  <c r="L20" i="44"/>
  <c r="L19" i="44"/>
  <c r="L18" i="44"/>
  <c r="L17" i="44"/>
  <c r="L16" i="44"/>
  <c r="L15" i="44"/>
  <c r="L14" i="44"/>
  <c r="L13" i="44"/>
  <c r="L12" i="44"/>
  <c r="L11" i="44"/>
  <c r="L10" i="44"/>
  <c r="L9" i="44"/>
  <c r="L8" i="44"/>
  <c r="L7" i="44"/>
  <c r="L6" i="44"/>
  <c r="J63" i="44"/>
  <c r="J62" i="44"/>
  <c r="J61" i="44"/>
  <c r="J60" i="44"/>
  <c r="J59" i="44"/>
  <c r="J58" i="44"/>
  <c r="J57" i="44"/>
  <c r="J56" i="44"/>
  <c r="J55" i="44"/>
  <c r="J54" i="44"/>
  <c r="J53" i="44"/>
  <c r="J52" i="44"/>
  <c r="J51" i="44"/>
  <c r="J50" i="44"/>
  <c r="J49" i="44"/>
  <c r="J48" i="44"/>
  <c r="J47" i="44"/>
  <c r="J46" i="44"/>
  <c r="J45" i="44"/>
  <c r="J44" i="44"/>
  <c r="J43" i="44"/>
  <c r="J42" i="44"/>
  <c r="J41" i="44"/>
  <c r="J40" i="44"/>
  <c r="J39" i="44"/>
  <c r="J38" i="44"/>
  <c r="J37" i="44"/>
  <c r="J36" i="44"/>
  <c r="J35" i="44"/>
  <c r="J34" i="44"/>
  <c r="J33" i="44"/>
  <c r="J32" i="44"/>
  <c r="J31" i="44"/>
  <c r="J30" i="44"/>
  <c r="J29" i="44"/>
  <c r="J28" i="44"/>
  <c r="J27" i="44"/>
  <c r="J26" i="44"/>
  <c r="J25" i="44"/>
  <c r="J24" i="44"/>
  <c r="J23" i="44"/>
  <c r="J22" i="44"/>
  <c r="J21" i="44"/>
  <c r="J20" i="44"/>
  <c r="J19" i="44"/>
  <c r="J18" i="44"/>
  <c r="J17" i="44"/>
  <c r="J16" i="44"/>
  <c r="J15" i="44"/>
  <c r="J14" i="44"/>
  <c r="J13" i="44"/>
  <c r="J12" i="44"/>
  <c r="J11" i="44"/>
  <c r="J10" i="44"/>
  <c r="J9" i="44"/>
  <c r="J8" i="44"/>
  <c r="J7" i="44"/>
  <c r="J6" i="44"/>
  <c r="H63" i="44"/>
  <c r="H62" i="44"/>
  <c r="H61" i="44"/>
  <c r="H60" i="44"/>
  <c r="H59" i="44"/>
  <c r="H58" i="44"/>
  <c r="H57" i="44"/>
  <c r="H56" i="44"/>
  <c r="H55" i="44"/>
  <c r="H54" i="44"/>
  <c r="H53" i="44"/>
  <c r="H52" i="44"/>
  <c r="H51" i="44"/>
  <c r="H50" i="44"/>
  <c r="H49" i="44"/>
  <c r="H48" i="44"/>
  <c r="H47" i="44"/>
  <c r="H46" i="44"/>
  <c r="H45" i="44"/>
  <c r="H44" i="44"/>
  <c r="H43" i="44"/>
  <c r="H42" i="44"/>
  <c r="H41" i="44"/>
  <c r="H40" i="44"/>
  <c r="H39" i="44"/>
  <c r="H38" i="44"/>
  <c r="H37" i="44"/>
  <c r="H36" i="44"/>
  <c r="H35" i="44"/>
  <c r="H34" i="44"/>
  <c r="H33" i="44"/>
  <c r="H32" i="44"/>
  <c r="H31" i="44"/>
  <c r="H30" i="44"/>
  <c r="H29" i="44"/>
  <c r="H28" i="44"/>
  <c r="H27" i="44"/>
  <c r="H26" i="44"/>
  <c r="H25" i="44"/>
  <c r="H24" i="44"/>
  <c r="H23" i="44"/>
  <c r="H22" i="44"/>
  <c r="H21" i="44"/>
  <c r="H20" i="44"/>
  <c r="H19" i="44"/>
  <c r="H18" i="44"/>
  <c r="H17" i="44"/>
  <c r="H16" i="44"/>
  <c r="H15" i="44"/>
  <c r="H14" i="44"/>
  <c r="H13" i="44"/>
  <c r="H12" i="44"/>
  <c r="H11" i="44"/>
  <c r="H10" i="44"/>
  <c r="H9" i="44"/>
  <c r="H8" i="44"/>
  <c r="H7" i="44"/>
  <c r="H6" i="44"/>
  <c r="F63" i="44"/>
  <c r="F62" i="44"/>
  <c r="F61" i="44"/>
  <c r="F60" i="44"/>
  <c r="F59" i="44"/>
  <c r="F58" i="44"/>
  <c r="F57" i="44"/>
  <c r="F56" i="44"/>
  <c r="F55" i="44"/>
  <c r="F54"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L73" i="43"/>
  <c r="L72" i="43"/>
  <c r="L71" i="43"/>
  <c r="L70" i="43"/>
  <c r="L69" i="43"/>
  <c r="L68" i="43"/>
  <c r="L67" i="43"/>
  <c r="L66" i="43"/>
  <c r="L65" i="43"/>
  <c r="L64" i="43"/>
  <c r="L63" i="43"/>
  <c r="L62" i="43"/>
  <c r="L61" i="43"/>
  <c r="L60" i="43"/>
  <c r="L59" i="43"/>
  <c r="L58" i="43"/>
  <c r="L57" i="43"/>
  <c r="L56" i="43"/>
  <c r="L55" i="43"/>
  <c r="L54" i="43"/>
  <c r="L53" i="43"/>
  <c r="L52" i="43"/>
  <c r="L51" i="43"/>
  <c r="L50" i="43"/>
  <c r="L49" i="43"/>
  <c r="L48" i="43"/>
  <c r="L47" i="43"/>
  <c r="L46" i="43"/>
  <c r="L45" i="43"/>
  <c r="L44" i="43"/>
  <c r="L43" i="43"/>
  <c r="L42" i="43"/>
  <c r="L41" i="43"/>
  <c r="L40" i="43"/>
  <c r="L39" i="43"/>
  <c r="L38" i="43"/>
  <c r="L37" i="43"/>
  <c r="L36" i="43"/>
  <c r="L35" i="43"/>
  <c r="L34" i="43"/>
  <c r="L33" i="43"/>
  <c r="L32" i="43"/>
  <c r="L31" i="43"/>
  <c r="L30" i="43"/>
  <c r="L29" i="43"/>
  <c r="L28" i="43"/>
  <c r="L27" i="43"/>
  <c r="L26" i="43"/>
  <c r="L25" i="43"/>
  <c r="L24" i="43"/>
  <c r="L23" i="43"/>
  <c r="L22" i="43"/>
  <c r="L21" i="43"/>
  <c r="L20" i="43"/>
  <c r="L19" i="43"/>
  <c r="L18" i="43"/>
  <c r="L17" i="43"/>
  <c r="L16" i="43"/>
  <c r="L15" i="43"/>
  <c r="L14" i="43"/>
  <c r="L13" i="43"/>
  <c r="L12" i="43"/>
  <c r="L11" i="43"/>
  <c r="L10" i="43"/>
  <c r="L9" i="43"/>
  <c r="L8" i="43"/>
  <c r="L7" i="43"/>
  <c r="L6" i="43"/>
  <c r="J73" i="43"/>
  <c r="J72" i="43"/>
  <c r="J71" i="43"/>
  <c r="J70" i="43"/>
  <c r="J69" i="43"/>
  <c r="J68" i="43"/>
  <c r="J67" i="43"/>
  <c r="J66" i="43"/>
  <c r="J65" i="43"/>
  <c r="J64" i="43"/>
  <c r="J63" i="43"/>
  <c r="J62" i="43"/>
  <c r="J61" i="43"/>
  <c r="J60" i="43"/>
  <c r="J59" i="43"/>
  <c r="J58" i="43"/>
  <c r="J57" i="43"/>
  <c r="J56" i="43"/>
  <c r="J55" i="43"/>
  <c r="J54" i="43"/>
  <c r="J53" i="43"/>
  <c r="J52" i="43"/>
  <c r="J51" i="43"/>
  <c r="J50"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13" i="43"/>
  <c r="J12" i="43"/>
  <c r="J11" i="43"/>
  <c r="J10" i="43"/>
  <c r="J9" i="43"/>
  <c r="J8" i="43"/>
  <c r="J7" i="43"/>
  <c r="J6"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 r="H8" i="43"/>
  <c r="H7" i="43"/>
  <c r="H6"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D73" i="43"/>
  <c r="D72" i="43"/>
  <c r="D71" i="43"/>
  <c r="D70" i="43"/>
  <c r="D69" i="43"/>
  <c r="D68" i="43"/>
  <c r="D67" i="43"/>
  <c r="D66" i="43"/>
  <c r="D65" i="43"/>
  <c r="D64" i="43"/>
  <c r="D63" i="43"/>
  <c r="D62" i="43"/>
  <c r="D61" i="43"/>
  <c r="D60" i="43"/>
  <c r="D59" i="43"/>
  <c r="D58" i="43"/>
  <c r="D57" i="43"/>
  <c r="D56" i="43"/>
  <c r="D55" i="43"/>
  <c r="D54" i="43"/>
  <c r="D53" i="43"/>
  <c r="D52" i="43"/>
  <c r="D51" i="43"/>
  <c r="D50" i="43"/>
  <c r="D49" i="43"/>
  <c r="D48" i="43"/>
  <c r="D47" i="43"/>
  <c r="D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L78" i="10" l="1"/>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E50" i="10" l="1"/>
  <c r="C7" i="10" l="1"/>
  <c r="C15" i="10"/>
  <c r="C20" i="10"/>
  <c r="C25" i="10"/>
  <c r="C32" i="10"/>
  <c r="C6" i="10" l="1"/>
  <c r="E30" i="43" l="1"/>
  <c r="E7" i="43"/>
  <c r="E19" i="43"/>
  <c r="C2" i="43" l="1"/>
  <c r="K24" i="43" l="1"/>
  <c r="C12" i="43" l="1"/>
  <c r="I67" i="10" l="1"/>
  <c r="I55" i="44" l="1"/>
  <c r="E55" i="44"/>
  <c r="C55" i="44"/>
  <c r="K65" i="43"/>
  <c r="G65" i="43"/>
  <c r="J71" i="10"/>
  <c r="K71" i="10"/>
  <c r="G71" i="10"/>
  <c r="D71" i="10"/>
  <c r="G55" i="44" l="1"/>
  <c r="K55" i="44"/>
  <c r="K71" i="43"/>
  <c r="G71" i="43"/>
  <c r="I61" i="44"/>
  <c r="E61" i="44"/>
  <c r="C61" i="44"/>
  <c r="I2" i="43"/>
  <c r="E2" i="43"/>
  <c r="K61" i="44" l="1"/>
  <c r="G61" i="44"/>
  <c r="K77" i="10" l="1"/>
  <c r="J77" i="10"/>
  <c r="G77" i="10"/>
  <c r="D77" i="10"/>
  <c r="E67" i="10" l="1"/>
  <c r="J58" i="10" l="1"/>
  <c r="C67" i="10" l="1"/>
  <c r="D68" i="10" l="1"/>
  <c r="I43" i="44" l="1"/>
  <c r="I38" i="43" l="1"/>
  <c r="I37" i="43" s="1"/>
  <c r="C38" i="43"/>
  <c r="C37" i="43" s="1"/>
  <c r="E38" i="43"/>
  <c r="E37" i="43" s="1"/>
  <c r="J74" i="10" l="1"/>
  <c r="J75" i="10"/>
  <c r="J76" i="10"/>
  <c r="I53" i="44" l="1"/>
  <c r="I60" i="43"/>
  <c r="E60" i="43" l="1"/>
  <c r="C60" i="43"/>
  <c r="C51" i="44"/>
  <c r="E43" i="44"/>
  <c r="C43" i="44"/>
  <c r="I12" i="43" l="1"/>
  <c r="K68" i="10" l="1"/>
  <c r="K69" i="10"/>
  <c r="C8" i="44" l="1"/>
  <c r="I54" i="44" l="1"/>
  <c r="E54" i="44"/>
  <c r="C54" i="44"/>
  <c r="E2" i="44" l="1"/>
  <c r="C2" i="44"/>
  <c r="F17" i="46" l="1"/>
  <c r="I17" i="46" s="1"/>
  <c r="G15" i="46"/>
  <c r="G19" i="46" s="1"/>
  <c r="F15" i="46"/>
  <c r="F19" i="46" s="1"/>
  <c r="I19" i="46" s="1"/>
  <c r="D15" i="46"/>
  <c r="D19" i="46" s="1"/>
  <c r="C15" i="46"/>
  <c r="C19" i="46" s="1"/>
  <c r="F13" i="46"/>
  <c r="I13" i="46" s="1"/>
  <c r="G11" i="46"/>
  <c r="J15" i="46" s="1"/>
  <c r="J19" i="46" s="1"/>
  <c r="F11" i="46"/>
  <c r="I15" i="46" s="1"/>
  <c r="F9" i="46"/>
  <c r="I9" i="46" s="1"/>
  <c r="J11" i="46" l="1"/>
  <c r="I11" i="46"/>
  <c r="I62" i="44"/>
  <c r="E62" i="44"/>
  <c r="C62" i="44"/>
  <c r="I60" i="44"/>
  <c r="E60" i="44"/>
  <c r="C60" i="44"/>
  <c r="I59" i="44"/>
  <c r="I58" i="44"/>
  <c r="E59" i="44"/>
  <c r="E58" i="44"/>
  <c r="C59" i="44"/>
  <c r="C58" i="44"/>
  <c r="I52" i="44"/>
  <c r="I51" i="44"/>
  <c r="E52" i="44"/>
  <c r="E51" i="44"/>
  <c r="C52" i="44"/>
  <c r="I46" i="44"/>
  <c r="E46" i="44"/>
  <c r="C46" i="44"/>
  <c r="I44" i="44"/>
  <c r="E44" i="44"/>
  <c r="C44" i="44"/>
  <c r="I42" i="44"/>
  <c r="E42" i="44"/>
  <c r="C42" i="44"/>
  <c r="I41" i="44"/>
  <c r="E41" i="44"/>
  <c r="C41" i="44"/>
  <c r="I40" i="44"/>
  <c r="E40" i="44"/>
  <c r="C40" i="44"/>
  <c r="I39" i="44"/>
  <c r="E39" i="44"/>
  <c r="C39" i="44"/>
  <c r="I37" i="44"/>
  <c r="I36" i="44"/>
  <c r="I35" i="44"/>
  <c r="I34" i="44"/>
  <c r="I33" i="44"/>
  <c r="I32" i="44"/>
  <c r="I31" i="44"/>
  <c r="I30" i="44"/>
  <c r="I29" i="44"/>
  <c r="E37" i="44"/>
  <c r="E36" i="44"/>
  <c r="E35" i="44"/>
  <c r="E34" i="44"/>
  <c r="E33" i="44"/>
  <c r="E32" i="44"/>
  <c r="E31" i="44"/>
  <c r="E30" i="44"/>
  <c r="E29" i="44"/>
  <c r="C30" i="44"/>
  <c r="C31" i="44"/>
  <c r="C32" i="44"/>
  <c r="C33" i="44"/>
  <c r="C34" i="44"/>
  <c r="C35" i="44"/>
  <c r="C36" i="44"/>
  <c r="C37" i="44"/>
  <c r="C29" i="44"/>
  <c r="I26" i="44"/>
  <c r="E26" i="44"/>
  <c r="C26" i="44"/>
  <c r="I25" i="44"/>
  <c r="E25" i="44"/>
  <c r="C25" i="44"/>
  <c r="I21" i="44"/>
  <c r="I20" i="44"/>
  <c r="I19" i="44"/>
  <c r="I18" i="44"/>
  <c r="E21" i="44"/>
  <c r="E20" i="44"/>
  <c r="E19" i="44"/>
  <c r="E18" i="44"/>
  <c r="C19" i="44"/>
  <c r="C20" i="44"/>
  <c r="C21" i="44"/>
  <c r="C18" i="44"/>
  <c r="I16" i="44"/>
  <c r="E16" i="44"/>
  <c r="C16" i="44"/>
  <c r="I15" i="44"/>
  <c r="E15" i="44"/>
  <c r="C15" i="44"/>
  <c r="I14" i="44"/>
  <c r="E14" i="44"/>
  <c r="C14" i="44"/>
  <c r="I13" i="44"/>
  <c r="E13" i="44"/>
  <c r="C13" i="44"/>
  <c r="I12" i="44"/>
  <c r="E12" i="44"/>
  <c r="C12" i="44"/>
  <c r="I11" i="44"/>
  <c r="E11" i="44"/>
  <c r="C11" i="44"/>
  <c r="I10" i="44"/>
  <c r="E10" i="44"/>
  <c r="C10" i="44"/>
  <c r="I9" i="44"/>
  <c r="E9" i="44"/>
  <c r="C9" i="44"/>
  <c r="I8" i="44"/>
  <c r="E8" i="44"/>
  <c r="K54" i="44"/>
  <c r="G54" i="44"/>
  <c r="G20" i="44" l="1"/>
  <c r="G14" i="44"/>
  <c r="K35" i="44"/>
  <c r="G39" i="44"/>
  <c r="G10" i="44"/>
  <c r="K60" i="44"/>
  <c r="K32" i="44"/>
  <c r="G51" i="44"/>
  <c r="K15" i="44"/>
  <c r="K43" i="44"/>
  <c r="K31" i="44"/>
  <c r="K20" i="44"/>
  <c r="G13" i="44"/>
  <c r="K13" i="44"/>
  <c r="K51" i="44"/>
  <c r="K26" i="44"/>
  <c r="K62" i="44"/>
  <c r="K21" i="44"/>
  <c r="G60" i="44"/>
  <c r="G9" i="44"/>
  <c r="G12" i="44"/>
  <c r="G8" i="44"/>
  <c r="G36" i="44"/>
  <c r="G62" i="44"/>
  <c r="K9" i="44"/>
  <c r="G32" i="44"/>
  <c r="K29" i="44"/>
  <c r="G31" i="44"/>
  <c r="K59" i="44"/>
  <c r="K10" i="44"/>
  <c r="K36" i="44"/>
  <c r="G35" i="44"/>
  <c r="K33" i="44"/>
  <c r="K37" i="44"/>
  <c r="G44" i="44"/>
  <c r="K44" i="44"/>
  <c r="K39" i="44"/>
  <c r="I17" i="44"/>
  <c r="K14" i="44"/>
  <c r="K8" i="44"/>
  <c r="K12" i="44"/>
  <c r="K16" i="44"/>
  <c r="K11" i="44"/>
  <c r="E50" i="44"/>
  <c r="G21" i="44"/>
  <c r="K58" i="44"/>
  <c r="G59" i="44"/>
  <c r="K46" i="44"/>
  <c r="K34" i="44"/>
  <c r="G29" i="44"/>
  <c r="K30" i="44"/>
  <c r="G11" i="44"/>
  <c r="C7" i="44"/>
  <c r="G58" i="44"/>
  <c r="K53" i="44"/>
  <c r="G53" i="44"/>
  <c r="C50" i="44"/>
  <c r="I50" i="44"/>
  <c r="K52" i="44"/>
  <c r="G52" i="44"/>
  <c r="G46" i="44"/>
  <c r="G43" i="44"/>
  <c r="G42" i="44"/>
  <c r="K42" i="44"/>
  <c r="K41" i="44"/>
  <c r="G41" i="44"/>
  <c r="K40" i="44"/>
  <c r="G40" i="44"/>
  <c r="I28" i="44"/>
  <c r="E28" i="44"/>
  <c r="G30" i="44"/>
  <c r="G34" i="44"/>
  <c r="G33" i="44"/>
  <c r="G37" i="44"/>
  <c r="C28" i="44"/>
  <c r="G26" i="44"/>
  <c r="K25" i="44"/>
  <c r="G25" i="44"/>
  <c r="E17" i="44"/>
  <c r="G19" i="44"/>
  <c r="K19" i="44"/>
  <c r="C17" i="44"/>
  <c r="K18" i="44"/>
  <c r="G18" i="44"/>
  <c r="I7" i="44"/>
  <c r="G16" i="44"/>
  <c r="G15" i="44"/>
  <c r="E7" i="44"/>
  <c r="K50" i="44" l="1"/>
  <c r="G50" i="44"/>
  <c r="K28" i="44"/>
  <c r="G28" i="44"/>
  <c r="G17" i="44"/>
  <c r="K17" i="44"/>
  <c r="K7" i="44"/>
  <c r="G7" i="44"/>
  <c r="K72" i="43" l="1"/>
  <c r="G72" i="43"/>
  <c r="K25" i="43"/>
  <c r="K26" i="43"/>
  <c r="K27" i="43"/>
  <c r="G25" i="43"/>
  <c r="G26" i="43"/>
  <c r="G27" i="43"/>
  <c r="K16" i="43"/>
  <c r="K17" i="43"/>
  <c r="G16" i="43"/>
  <c r="G17" i="43"/>
  <c r="K9" i="43"/>
  <c r="G9" i="43"/>
  <c r="K70" i="43"/>
  <c r="G70" i="43"/>
  <c r="K69" i="43"/>
  <c r="G69" i="43"/>
  <c r="K68" i="43"/>
  <c r="G68" i="43"/>
  <c r="K64" i="43"/>
  <c r="G64" i="43"/>
  <c r="K62" i="43"/>
  <c r="G62" i="43"/>
  <c r="K61" i="43"/>
  <c r="G61" i="43"/>
  <c r="K56" i="43"/>
  <c r="G56" i="43"/>
  <c r="K54" i="43"/>
  <c r="G54" i="43"/>
  <c r="K53" i="43"/>
  <c r="G53" i="43"/>
  <c r="K52" i="43"/>
  <c r="G52" i="43"/>
  <c r="K51" i="43"/>
  <c r="G51" i="43"/>
  <c r="K50" i="43"/>
  <c r="G50" i="43"/>
  <c r="K49" i="43"/>
  <c r="G49" i="43"/>
  <c r="K47" i="43"/>
  <c r="G47" i="43"/>
  <c r="K46" i="43"/>
  <c r="G46" i="43"/>
  <c r="K45" i="43"/>
  <c r="G45" i="43"/>
  <c r="K44" i="43"/>
  <c r="G44" i="43"/>
  <c r="K43" i="43"/>
  <c r="G43" i="43"/>
  <c r="K42" i="43"/>
  <c r="G42" i="43"/>
  <c r="K41" i="43"/>
  <c r="G41" i="43"/>
  <c r="K40" i="43"/>
  <c r="G40" i="43"/>
  <c r="K39" i="43"/>
  <c r="G39" i="43"/>
  <c r="K36" i="43"/>
  <c r="G36" i="43"/>
  <c r="K35" i="43"/>
  <c r="G35" i="43"/>
  <c r="K34" i="43"/>
  <c r="G34" i="43"/>
  <c r="K33" i="43"/>
  <c r="G33" i="43"/>
  <c r="K32" i="43"/>
  <c r="G32" i="43"/>
  <c r="K31" i="43"/>
  <c r="G31" i="43"/>
  <c r="I30" i="43"/>
  <c r="C30" i="43"/>
  <c r="K29" i="43"/>
  <c r="G29" i="43"/>
  <c r="K28" i="43"/>
  <c r="G28" i="43"/>
  <c r="K23" i="43"/>
  <c r="G23" i="43"/>
  <c r="K22" i="43"/>
  <c r="G22" i="43"/>
  <c r="K21" i="43"/>
  <c r="G21" i="43"/>
  <c r="K20" i="43"/>
  <c r="G20" i="43"/>
  <c r="I19" i="43"/>
  <c r="C19" i="43"/>
  <c r="K18" i="43"/>
  <c r="G18" i="43"/>
  <c r="K15" i="43"/>
  <c r="G15" i="43"/>
  <c r="K14" i="43"/>
  <c r="G14" i="43"/>
  <c r="K13" i="43"/>
  <c r="G13" i="43"/>
  <c r="K11" i="43"/>
  <c r="G11" i="43"/>
  <c r="K10" i="43"/>
  <c r="G10" i="43"/>
  <c r="K8" i="43"/>
  <c r="G8" i="43"/>
  <c r="I7" i="43"/>
  <c r="C7" i="43"/>
  <c r="K7" i="43" l="1"/>
  <c r="C6" i="43"/>
  <c r="C55" i="43" s="1"/>
  <c r="E6" i="43"/>
  <c r="F14" i="46"/>
  <c r="I6" i="43"/>
  <c r="I55" i="43" s="1"/>
  <c r="K30" i="43"/>
  <c r="K38" i="43"/>
  <c r="K19" i="43"/>
  <c r="K48" i="43"/>
  <c r="G30" i="43"/>
  <c r="K12" i="43"/>
  <c r="G19" i="43"/>
  <c r="G48" i="43"/>
  <c r="G7" i="43"/>
  <c r="G60" i="43"/>
  <c r="K60" i="43"/>
  <c r="G12" i="43"/>
  <c r="G38" i="43"/>
  <c r="K74" i="10"/>
  <c r="K75" i="10"/>
  <c r="K76" i="10"/>
  <c r="G74" i="10"/>
  <c r="G75" i="10"/>
  <c r="G76" i="10"/>
  <c r="D74" i="10"/>
  <c r="D75" i="10"/>
  <c r="D76" i="10"/>
  <c r="I59" i="43" l="1"/>
  <c r="E59" i="43"/>
  <c r="F10" i="46"/>
  <c r="C59" i="43"/>
  <c r="G6" i="43"/>
  <c r="G10" i="46"/>
  <c r="K6" i="43"/>
  <c r="G37" i="43"/>
  <c r="E55" i="43"/>
  <c r="K37" i="43"/>
  <c r="J68" i="10"/>
  <c r="J69" i="10"/>
  <c r="J70" i="10"/>
  <c r="K70" i="10"/>
  <c r="G68" i="10"/>
  <c r="G69" i="10"/>
  <c r="G70" i="10"/>
  <c r="D69" i="10"/>
  <c r="D70" i="10"/>
  <c r="J67" i="10"/>
  <c r="K63" i="10"/>
  <c r="J63" i="10"/>
  <c r="G63" i="10"/>
  <c r="D63" i="10"/>
  <c r="K41" i="10"/>
  <c r="K42" i="10"/>
  <c r="K43" i="10"/>
  <c r="K44" i="10"/>
  <c r="K45" i="10"/>
  <c r="K46" i="10"/>
  <c r="K47" i="10"/>
  <c r="K48" i="10"/>
  <c r="K49" i="10"/>
  <c r="K51" i="10"/>
  <c r="K52" i="10"/>
  <c r="K53" i="10"/>
  <c r="K54" i="10"/>
  <c r="K55" i="10"/>
  <c r="K56" i="10"/>
  <c r="K57" i="10"/>
  <c r="K58" i="10"/>
  <c r="K59" i="10"/>
  <c r="K60" i="10"/>
  <c r="K61" i="10"/>
  <c r="J41" i="10"/>
  <c r="J42" i="10"/>
  <c r="J43" i="10"/>
  <c r="J44" i="10"/>
  <c r="J45" i="10"/>
  <c r="J46" i="10"/>
  <c r="J47" i="10"/>
  <c r="J48" i="10"/>
  <c r="J49" i="10"/>
  <c r="J51" i="10"/>
  <c r="J52" i="10"/>
  <c r="J53" i="10"/>
  <c r="J54" i="10"/>
  <c r="J55" i="10"/>
  <c r="J56" i="10"/>
  <c r="J57" i="10"/>
  <c r="J59" i="10"/>
  <c r="J60" i="10"/>
  <c r="J61" i="10"/>
  <c r="I50" i="10"/>
  <c r="I40" i="10"/>
  <c r="G41" i="10"/>
  <c r="G42" i="10"/>
  <c r="G43" i="10"/>
  <c r="G44" i="10"/>
  <c r="G45" i="10"/>
  <c r="G46" i="10"/>
  <c r="G47" i="10"/>
  <c r="G48" i="10"/>
  <c r="G49" i="10"/>
  <c r="G51" i="10"/>
  <c r="G52" i="10"/>
  <c r="G53" i="10"/>
  <c r="G54" i="10"/>
  <c r="G55" i="10"/>
  <c r="G56" i="10"/>
  <c r="G57" i="10"/>
  <c r="G58" i="10"/>
  <c r="G59" i="10"/>
  <c r="G60" i="10"/>
  <c r="G61" i="10"/>
  <c r="E40" i="10"/>
  <c r="D41" i="10"/>
  <c r="D42" i="10"/>
  <c r="D43" i="10"/>
  <c r="D44" i="10"/>
  <c r="D45" i="10"/>
  <c r="D46" i="10"/>
  <c r="D47" i="10"/>
  <c r="D48" i="10"/>
  <c r="D49" i="10"/>
  <c r="D51" i="10"/>
  <c r="D52" i="10"/>
  <c r="D53" i="10"/>
  <c r="D54" i="10"/>
  <c r="D55" i="10"/>
  <c r="D56" i="10"/>
  <c r="D57" i="10"/>
  <c r="D58" i="10"/>
  <c r="D59" i="10"/>
  <c r="D60" i="10"/>
  <c r="D61" i="10"/>
  <c r="C50" i="10"/>
  <c r="C38" i="44" s="1"/>
  <c r="C40"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E32" i="10"/>
  <c r="E25" i="10"/>
  <c r="E20" i="10"/>
  <c r="E15" i="10"/>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24" i="44"/>
  <c r="F18" i="46" l="1"/>
  <c r="G14" i="46"/>
  <c r="C39" i="10"/>
  <c r="C22" i="44"/>
  <c r="E6" i="10"/>
  <c r="J50" i="10"/>
  <c r="I38" i="44"/>
  <c r="J32" i="10"/>
  <c r="I24" i="44"/>
  <c r="J25" i="10"/>
  <c r="I23" i="44"/>
  <c r="J20" i="10"/>
  <c r="I22" i="44"/>
  <c r="E39" i="10"/>
  <c r="E38" i="44"/>
  <c r="E24" i="44"/>
  <c r="E23" i="44"/>
  <c r="E22" i="44"/>
  <c r="C27" i="44"/>
  <c r="D25" i="10"/>
  <c r="C23" i="44"/>
  <c r="E57" i="43"/>
  <c r="K59" i="43"/>
  <c r="G59" i="43"/>
  <c r="I57" i="43"/>
  <c r="I66" i="43" s="1"/>
  <c r="K55" i="43"/>
  <c r="G55" i="43"/>
  <c r="C57" i="43"/>
  <c r="C66" i="43" s="1"/>
  <c r="C73" i="43" s="1"/>
  <c r="C67" i="43" s="1"/>
  <c r="G18" i="46"/>
  <c r="K40" i="10"/>
  <c r="D67" i="10"/>
  <c r="K50" i="10"/>
  <c r="G40" i="10"/>
  <c r="G67" i="10"/>
  <c r="K67" i="10"/>
  <c r="G50" i="10"/>
  <c r="D40" i="10"/>
  <c r="D50" i="10"/>
  <c r="I39" i="10"/>
  <c r="J40" i="10"/>
  <c r="K20" i="10"/>
  <c r="D20" i="10"/>
  <c r="G25" i="10"/>
  <c r="G20" i="10"/>
  <c r="I6" i="10"/>
  <c r="K25" i="10"/>
  <c r="G32" i="10"/>
  <c r="D32" i="10"/>
  <c r="G15" i="10"/>
  <c r="G7" i="10"/>
  <c r="J7" i="10"/>
  <c r="K32" i="10"/>
  <c r="D15" i="10"/>
  <c r="D7" i="10"/>
  <c r="K15" i="10"/>
  <c r="K7" i="10"/>
  <c r="E66" i="43" l="1"/>
  <c r="C66" i="10"/>
  <c r="J39" i="10"/>
  <c r="I66" i="10"/>
  <c r="J66" i="10" s="1"/>
  <c r="E66" i="10"/>
  <c r="C6" i="44"/>
  <c r="C10" i="46"/>
  <c r="C62" i="10"/>
  <c r="K24" i="44"/>
  <c r="I27" i="44"/>
  <c r="K38" i="44"/>
  <c r="I6" i="44"/>
  <c r="K22" i="44"/>
  <c r="E27" i="44"/>
  <c r="G38" i="44"/>
  <c r="G24" i="44"/>
  <c r="E6" i="44"/>
  <c r="G22" i="44"/>
  <c r="C14" i="46"/>
  <c r="I14" i="46"/>
  <c r="J14" i="46"/>
  <c r="K23" i="44"/>
  <c r="G23" i="44"/>
  <c r="C58" i="43"/>
  <c r="K57" i="43"/>
  <c r="G57" i="43"/>
  <c r="I73" i="43"/>
  <c r="I67" i="43" s="1"/>
  <c r="I58" i="43"/>
  <c r="E58" i="43"/>
  <c r="E62" i="10"/>
  <c r="K39" i="10"/>
  <c r="D39" i="10"/>
  <c r="D14" i="46" s="1"/>
  <c r="G39" i="10"/>
  <c r="J6" i="10"/>
  <c r="I62" i="10"/>
  <c r="K6" i="10"/>
  <c r="D6" i="10"/>
  <c r="D10" i="46" s="1"/>
  <c r="G6" i="10"/>
  <c r="E73" i="43" l="1"/>
  <c r="C64" i="10"/>
  <c r="C72" i="10" s="1"/>
  <c r="J10" i="46"/>
  <c r="E49" i="44"/>
  <c r="K66" i="10"/>
  <c r="I49" i="44"/>
  <c r="G66" i="10"/>
  <c r="G6" i="44"/>
  <c r="C49" i="44"/>
  <c r="I10" i="46"/>
  <c r="C45" i="44"/>
  <c r="K6" i="44"/>
  <c r="G27" i="44"/>
  <c r="C18" i="46"/>
  <c r="K27" i="44"/>
  <c r="I45" i="44"/>
  <c r="E45" i="44"/>
  <c r="K66" i="43"/>
  <c r="G66" i="43"/>
  <c r="K58" i="43"/>
  <c r="G58" i="43"/>
  <c r="E64" i="10"/>
  <c r="E72" i="10" s="1"/>
  <c r="D62" i="10"/>
  <c r="D18" i="46" s="1"/>
  <c r="K62" i="10"/>
  <c r="G62" i="10"/>
  <c r="J62" i="10"/>
  <c r="I64" i="10"/>
  <c r="D66" i="10"/>
  <c r="C78" i="10" l="1"/>
  <c r="E67" i="43"/>
  <c r="E78" i="10"/>
  <c r="E73" i="10" s="1"/>
  <c r="I72" i="10"/>
  <c r="I78" i="10" s="1"/>
  <c r="I73" i="10" s="1"/>
  <c r="C73" i="10"/>
  <c r="C65" i="10"/>
  <c r="J18" i="46"/>
  <c r="G45" i="44"/>
  <c r="I18" i="46"/>
  <c r="C47" i="44"/>
  <c r="K45" i="44"/>
  <c r="K49" i="44"/>
  <c r="I47" i="44"/>
  <c r="I56" i="44" s="1"/>
  <c r="G49" i="44"/>
  <c r="E47" i="44"/>
  <c r="E56" i="44" s="1"/>
  <c r="E63" i="44" s="1"/>
  <c r="J64" i="10"/>
  <c r="I65" i="10"/>
  <c r="J65" i="10" s="1"/>
  <c r="D64" i="10"/>
  <c r="G64" i="10"/>
  <c r="K64" i="10"/>
  <c r="E65" i="10"/>
  <c r="J72" i="10" l="1"/>
  <c r="I63" i="44"/>
  <c r="I57" i="44" s="1"/>
  <c r="C48" i="44"/>
  <c r="C56" i="44"/>
  <c r="C63" i="44" s="1"/>
  <c r="C57" i="44" s="1"/>
  <c r="K72" i="10"/>
  <c r="D72" i="10"/>
  <c r="K47" i="44"/>
  <c r="I48" i="44"/>
  <c r="G47" i="44"/>
  <c r="E48" i="44"/>
  <c r="D78" i="10"/>
  <c r="J73" i="10"/>
  <c r="J78" i="10"/>
  <c r="D65" i="10"/>
  <c r="K65" i="10"/>
  <c r="G65" i="10"/>
  <c r="K78" i="10" l="1"/>
  <c r="G48" i="44"/>
  <c r="G56" i="44"/>
  <c r="E57" i="44"/>
  <c r="K56" i="44"/>
  <c r="K48" i="44"/>
  <c r="K73" i="10"/>
  <c r="D73" i="10"/>
  <c r="K63" i="44" l="1"/>
  <c r="G63" i="44"/>
  <c r="K57" i="44" l="1"/>
  <c r="G57" i="44"/>
  <c r="K73" i="43"/>
  <c r="K67" i="43"/>
  <c r="G73" i="43"/>
  <c r="G67" i="43" l="1"/>
  <c r="G72" i="10"/>
  <c r="G73" i="10" l="1"/>
  <c r="G78" i="10"/>
</calcChain>
</file>

<file path=xl/sharedStrings.xml><?xml version="1.0" encoding="utf-8"?>
<sst xmlns="http://schemas.openxmlformats.org/spreadsheetml/2006/main" count="473" uniqueCount="199">
  <si>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</si>
  <si>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</si>
  <si>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</si>
  <si>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</si>
  <si>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</si>
  <si>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</si>
  <si>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</si>
  <si>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</si>
  <si>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</si>
  <si>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</si>
  <si>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</si>
  <si>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</si>
  <si>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</si>
  <si>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</si>
  <si>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</si>
  <si>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</si>
  <si>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</si>
  <si>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</si>
  <si>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</si>
  <si>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</si>
  <si>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</si>
  <si>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</si>
  <si>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</si>
  <si>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</si>
  <si>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</si>
  <si>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</si>
  <si>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</si>
  <si>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</si>
  <si>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</si>
  <si>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</si>
  <si>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</si>
  <si>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</si>
  <si>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</si>
  <si>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</si>
  <si>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</si>
  <si>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</si>
  <si>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</si>
  <si>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</si>
  <si>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</si>
  <si>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</si>
  <si>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</si>
  <si>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</si>
  <si>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</si>
  <si>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</si>
  <si>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</si>
  <si>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</si>
  <si>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</si>
  <si>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</si>
  <si>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</si>
  <si>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</si>
  <si>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</si>
  <si>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</si>
  <si>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</si>
  <si>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</si>
  <si>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</si>
  <si>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</si>
  <si>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</si>
  <si>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</si>
  <si>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</si>
  <si>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</si>
  <si>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</si>
  <si>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</si>
  <si>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</si>
  <si>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</si>
  <si>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</si>
  <si>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</si>
  <si>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</si>
  <si>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</si>
  <si>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</si>
  <si>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</si>
  <si>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</si>
  <si>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</si>
  <si>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</si>
  <si>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</si>
  <si>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</si>
  <si>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</si>
  <si>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</si>
  <si>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</si>
  <si>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</si>
  <si>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</si>
  <si>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</si>
  <si>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</si>
  <si>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</si>
  <si>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</si>
  <si>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</si>
  <si>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</si>
  <si>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</si>
  <si>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</si>
  <si>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</si>
  <si>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</si>
  <si>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</si>
  <si>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</si>
  <si>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</si>
  <si>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</si>
  <si>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</si>
  <si>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</si>
  <si>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</si>
  <si>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</si>
  <si>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</si>
  <si>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</si>
  <si>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</si>
  <si>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</si>
  <si>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</si>
  <si>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</si>
  <si>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</si>
  <si>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</si>
  <si>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</si>
  <si>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</si>
  <si>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</si>
  <si>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</si>
  <si>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</si>
  <si>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</si>
  <si>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</si>
  <si>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</si>
  <si>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</si>
  <si>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</si>
  <si>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</si>
  <si>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</si>
  <si>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</si>
  <si>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</si>
  <si>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</si>
  <si>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</si>
  <si>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</si>
  <si>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</si>
  <si>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</si>
  <si>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</si>
  <si>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</si>
  <si>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</si>
  <si>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</si>
  <si>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</si>
  <si>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</si>
  <si>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</si>
  <si>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</si>
  <si>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</si>
  <si>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</si>
  <si>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</si>
  <si>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</si>
  <si>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</si>
  <si>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</si>
  <si>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</si>
  <si>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</si>
  <si>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</si>
  <si>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</si>
  <si>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</si>
  <si>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</si>
  <si>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</si>
  <si>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</si>
  <si>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</si>
  <si>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</si>
  <si>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</si>
  <si>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</si>
  <si>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</si>
  <si>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</si>
  <si>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</si>
  <si>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</si>
  <si>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</si>
  <si>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</si>
  <si>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</si>
  <si>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</si>
  <si>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</si>
  <si>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</si>
  <si>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</si>
  <si>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</si>
  <si>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</si>
  <si>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</si>
  <si>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</si>
  <si>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</si>
  <si>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</si>
  <si>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</si>
  <si>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</si>
  <si>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</si>
  <si>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</si>
  <si>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</si>
  <si>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</si>
  <si>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</si>
  <si>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</si>
  <si>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</si>
  <si>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</si>
  <si>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</si>
  <si>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</si>
  <si>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</si>
  <si>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 xml:space="preserve">Ministarstvo finansija/ Ministry of finance </t>
  </si>
  <si>
    <t>Neto promjena obaveza</t>
  </si>
  <si>
    <t>Donacije i transferi</t>
  </si>
  <si>
    <t>Naknada za komunalno opremanje građevinskog zemljišta</t>
  </si>
  <si>
    <t>Fee for communal equipment of construction land</t>
  </si>
  <si>
    <t>Primarni  suficit/deficit</t>
  </si>
  <si>
    <t xml:space="preserve">Primici od otplate kredita </t>
  </si>
  <si>
    <t>Primici od otplate kredita</t>
  </si>
  <si>
    <t>Q 1 2024</t>
  </si>
  <si>
    <t>Plan Q 1 2024</t>
  </si>
  <si>
    <t>Q 1 2023</t>
  </si>
  <si>
    <t>71175</t>
  </si>
  <si>
    <t>Prirez porezu na dohodak fizičkih lica</t>
  </si>
  <si>
    <t>Plan Q1 2024</t>
  </si>
  <si>
    <t>Q1 2024</t>
  </si>
  <si>
    <t>Q1  2023</t>
  </si>
  <si>
    <t>Plan Q 1 2023</t>
  </si>
  <si>
    <t>Q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</si>
</sst>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_-* #,##0.00\ _€_-;\-* #,##0.00\ _€_-;_-* &quot;-&quot;??\ _€_-;_-@_-"/>
    <numFmt numFmtId="165" formatCode="0.0,,"/>
    <numFmt numFmtId="166" formatCode="#,##0.0"/>
    <numFmt numFmtId="167" formatCode="&quot;   &quot;@"/>
    <numFmt numFmtId="168" formatCode="&quot;      &quot;@"/>
    <numFmt numFmtId="169" formatCode="&quot;         &quot;@"/>
    <numFmt numFmtId="170" formatCode="&quot;            &quot;@"/>
    <numFmt numFmtId="171" formatCode="[&gt;0.05]#,##0.0;[&lt;-0.05]\-#,##0.0;\-\-&quot; &quot;;"/>
    <numFmt numFmtId="172" formatCode="[&gt;0.5]#,##0;[&lt;-0.5]\-#,##0;\-\-&quot; &quot;;"/>
    <numFmt numFmtId="173" formatCode="[Black]#,##0.0;[Black]\-#,##0.0;;"/>
    <numFmt numFmtId="174" formatCode="#,##0.0,,"/>
    <numFmt numFmtId="175" formatCode="0.0"/>
    <numFmt numFmtId="176" formatCode="_-* #,##0.00\ &quot;RSD&quot;_-;\-* #,##0.00\ &quot;RSD&quot;_-;_-* &quot;-&quot;??\ &quot;RSD&quot;_-;_-@_-"/>
    <numFmt numFmtId="177" formatCode="[$-409]General"/>
    <numFmt numFmtId="178" formatCode="0.00,,"/>
    <numFmt numFmtId="179" formatCode="0.000000000000000000"/>
    <numFmt numFmtId="180" formatCode="_-* #,##0.00\ _D_i_n_._-;\-* #,##0.00\ _D_i_n_._-;_-* &quot;-&quot;??\ _D_i_n_._-;_-@_-"/>
  </numFmts>
  <fonts count="69">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
      <b/>
      <sz val="10"/>
      <name val="Century Gothic"/>
      <family val="2"/>
    </font>
    <font>
      <sz val="12"/>
      <name val="Arial"/>
      <family val="2"/>
      <charset val="238"/>
    </font>
    <font>
      <sz val="11"/>
      <color rgb="FF9C000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0"/>
      <color indexed="8"/>
      <name val="Arial"/>
      <family val="2"/>
    </font>
    <font>
      <b/>
      <sz val="11"/>
      <color indexed="8"/>
      <name val="Calibri"/>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s>
  <fills count="6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
    <xf numFmtId="0" fontId="0" fillId="0" borderId="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0" fontId="6" fillId="0" borderId="0" applyProtection="0"/>
    <xf numFmtId="0" fontId="7" fillId="0" borderId="0">
      <protection locked="0"/>
    </xf>
    <xf numFmtId="0" fontId="7"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0" fontId="8" fillId="0" borderId="0">
      <protection locked="0"/>
    </xf>
    <xf numFmtId="2" fontId="6" fillId="0" borderId="0" applyProtection="0"/>
    <xf numFmtId="0" fontId="6" fillId="0" borderId="0" applyNumberFormat="0" applyFont="0" applyFill="0" applyBorder="0" applyAlignment="0" applyProtection="0"/>
    <xf numFmtId="0" fontId="9" fillId="0" borderId="0" applyProtection="0"/>
    <xf numFmtId="171" fontId="5" fillId="0" borderId="0" applyFont="0" applyFill="0" applyBorder="0" applyAlignment="0" applyProtection="0"/>
    <xf numFmtId="172" fontId="5" fillId="0" borderId="0" applyFont="0" applyFill="0" applyBorder="0" applyAlignment="0" applyProtection="0"/>
    <xf numFmtId="166" fontId="10" fillId="0" borderId="0"/>
    <xf numFmtId="0" fontId="11" fillId="0" borderId="0"/>
    <xf numFmtId="0" fontId="12" fillId="0" borderId="0"/>
    <xf numFmtId="0" fontId="12" fillId="0" borderId="0"/>
    <xf numFmtId="0" fontId="15" fillId="0" borderId="0"/>
    <xf numFmtId="0" fontId="15" fillId="0" borderId="0"/>
    <xf numFmtId="0" fontId="15" fillId="0" borderId="0"/>
    <xf numFmtId="0" fontId="14" fillId="0" borderId="0">
      <alignment vertical="center"/>
    </xf>
    <xf numFmtId="0" fontId="16" fillId="0" borderId="0"/>
    <xf numFmtId="0" fontId="5" fillId="0" borderId="0"/>
    <xf numFmtId="0" fontId="4" fillId="0" borderId="0"/>
    <xf numFmtId="0" fontId="4"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4" fillId="0" borderId="0"/>
    <xf numFmtId="173" fontId="5" fillId="0" borderId="0" applyFont="0" applyFill="0" applyBorder="0" applyAlignment="0" applyProtection="0"/>
    <xf numFmtId="0" fontId="13" fillId="0" borderId="0"/>
    <xf numFmtId="0" fontId="3" fillId="0" borderId="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9" fontId="4" fillId="0" borderId="0" applyFont="0" applyFill="0" applyBorder="0" applyAlignment="0" applyProtection="0"/>
    <xf numFmtId="0" fontId="4" fillId="0" borderId="0"/>
    <xf numFmtId="176" fontId="4" fillId="0" borderId="0" applyFont="0" applyFill="0" applyBorder="0" applyAlignment="0" applyProtection="0"/>
    <xf numFmtId="177" fontId="31" fillId="0" borderId="0"/>
    <xf numFmtId="0" fontId="14" fillId="0" borderId="0"/>
    <xf numFmtId="0" fontId="14" fillId="0" borderId="0"/>
    <xf numFmtId="0" fontId="34" fillId="8" borderId="0" applyNumberFormat="0" applyBorder="0" applyAlignment="0" applyProtection="0"/>
    <xf numFmtId="0" fontId="35" fillId="0" borderId="0" applyNumberFormat="0" applyFill="0" applyBorder="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4"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34" fillId="8" borderId="0" applyNumberFormat="0" applyBorder="0" applyAlignment="0" applyProtection="0"/>
    <xf numFmtId="0" fontId="40" fillId="9" borderId="0" applyNumberFormat="0" applyBorder="0" applyAlignment="0" applyProtection="0"/>
    <xf numFmtId="0" fontId="41" fillId="10" borderId="35" applyNumberFormat="0" applyAlignment="0" applyProtection="0"/>
    <xf numFmtId="0" fontId="42" fillId="11" borderId="36" applyNumberFormat="0" applyAlignment="0" applyProtection="0"/>
    <xf numFmtId="0" fontId="43" fillId="11" borderId="35" applyNumberFormat="0" applyAlignment="0" applyProtection="0"/>
    <xf numFmtId="0" fontId="44" fillId="0" borderId="37" applyNumberFormat="0" applyFill="0" applyAlignment="0" applyProtection="0"/>
    <xf numFmtId="0" fontId="45" fillId="12"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40"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0" borderId="0"/>
    <xf numFmtId="0" fontId="2" fillId="13" borderId="3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39"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0" borderId="0"/>
    <xf numFmtId="0" fontId="2" fillId="0" borderId="0"/>
    <xf numFmtId="0" fontId="1" fillId="0" borderId="0"/>
    <xf numFmtId="0" fontId="33" fillId="0" borderId="0"/>
    <xf numFmtId="0" fontId="1" fillId="0" borderId="0"/>
    <xf numFmtId="164" fontId="4" fillId="0" borderId="0" applyFont="0" applyFill="0" applyBorder="0" applyAlignment="0" applyProtection="0"/>
    <xf numFmtId="0" fontId="2" fillId="0" borderId="0"/>
    <xf numFmtId="164" fontId="4" fillId="0" borderId="0" applyFont="0" applyFill="0" applyBorder="0" applyAlignment="0" applyProtection="0"/>
    <xf numFmtId="0" fontId="14" fillId="0" borderId="0"/>
    <xf numFmtId="167" fontId="4" fillId="0" borderId="0" applyFont="0" applyFill="0" applyBorder="0" applyAlignment="0" applyProtection="0"/>
    <xf numFmtId="168" fontId="4" fillId="0" borderId="0" applyFont="0" applyFill="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169" fontId="4" fillId="0" borderId="0" applyFont="0" applyFill="0" applyBorder="0" applyAlignment="0" applyProtection="0"/>
    <xf numFmtId="170" fontId="4" fillId="0" borderId="0" applyFont="0" applyFill="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55" borderId="0" applyNumberFormat="0" applyBorder="0" applyAlignment="0" applyProtection="0"/>
    <xf numFmtId="0" fontId="55" fillId="39" borderId="0" applyNumberFormat="0" applyBorder="0" applyAlignment="0" applyProtection="0"/>
    <xf numFmtId="0" fontId="56" fillId="56" borderId="41" applyNumberFormat="0" applyAlignment="0" applyProtection="0"/>
    <xf numFmtId="0" fontId="57" fillId="57" borderId="42" applyNumberFormat="0" applyAlignment="0" applyProtection="0"/>
    <xf numFmtId="43" fontId="14" fillId="0" borderId="0" applyFont="0" applyFill="0" applyBorder="0" applyAlignment="0" applyProtection="0"/>
    <xf numFmtId="43" fontId="4" fillId="0" borderId="0" applyFont="0" applyFill="0" applyBorder="0" applyAlignment="0" applyProtection="0"/>
    <xf numFmtId="0" fontId="50" fillId="0" borderId="0"/>
    <xf numFmtId="0" fontId="4" fillId="0" borderId="0"/>
    <xf numFmtId="0" fontId="4" fillId="0" borderId="0"/>
    <xf numFmtId="0" fontId="4" fillId="0" borderId="0"/>
    <xf numFmtId="0" fontId="58" fillId="0" borderId="0" applyNumberFormat="0" applyFill="0" applyBorder="0" applyAlignment="0" applyProtection="0"/>
    <xf numFmtId="0" fontId="59" fillId="40" borderId="0" applyNumberFormat="0" applyBorder="0" applyAlignment="0" applyProtection="0"/>
    <xf numFmtId="0" fontId="60" fillId="0" borderId="43" applyNumberFormat="0" applyFill="0" applyAlignment="0" applyProtection="0"/>
    <xf numFmtId="0" fontId="61" fillId="0" borderId="44" applyNumberFormat="0" applyFill="0" applyAlignment="0" applyProtection="0"/>
    <xf numFmtId="0" fontId="62" fillId="0" borderId="45" applyNumberFormat="0" applyFill="0" applyAlignment="0" applyProtection="0"/>
    <xf numFmtId="0" fontId="62" fillId="0" borderId="0" applyNumberForma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63" fillId="43" borderId="41" applyNumberFormat="0" applyAlignment="0" applyProtection="0"/>
    <xf numFmtId="0" fontId="64" fillId="0" borderId="46" applyNumberFormat="0" applyFill="0" applyAlignment="0" applyProtection="0"/>
    <xf numFmtId="0" fontId="65"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top"/>
    </xf>
    <xf numFmtId="0" fontId="51" fillId="0" borderId="0">
      <alignment vertical="top"/>
    </xf>
    <xf numFmtId="0" fontId="5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53" fillId="59" borderId="47" applyNumberFormat="0" applyFont="0" applyAlignment="0" applyProtection="0"/>
    <xf numFmtId="0" fontId="66" fillId="56" borderId="48" applyNumberFormat="0" applyAlignment="0" applyProtection="0"/>
    <xf numFmtId="173" fontId="4" fillId="0" borderId="0" applyFont="0" applyFill="0" applyBorder="0" applyAlignment="0" applyProtection="0"/>
    <xf numFmtId="0" fontId="67" fillId="0" borderId="0" applyNumberFormat="0" applyFill="0" applyBorder="0" applyAlignment="0" applyProtection="0"/>
    <xf numFmtId="0" fontId="52" fillId="0" borderId="49" applyNumberFormat="0" applyFill="0" applyAlignment="0" applyProtection="0"/>
    <xf numFmtId="0" fontId="6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 fillId="0" borderId="0"/>
    <xf numFmtId="0" fontId="2" fillId="31" borderId="0" applyNumberFormat="0" applyBorder="0" applyAlignment="0" applyProtection="0"/>
    <xf numFmtId="0" fontId="2" fillId="32" borderId="0" applyNumberFormat="0" applyBorder="0" applyAlignment="0" applyProtection="0"/>
    <xf numFmtId="0" fontId="1" fillId="0" borderId="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39" applyNumberFormat="0" applyFont="0" applyAlignment="0" applyProtection="0"/>
    <xf numFmtId="0" fontId="1" fillId="0" borderId="0"/>
    <xf numFmtId="0" fontId="1" fillId="0" borderId="0"/>
    <xf numFmtId="180" fontId="1" fillId="0" borderId="0" applyFont="0" applyFill="0" applyBorder="0" applyAlignment="0" applyProtection="0"/>
    <xf numFmtId="0" fontId="1" fillId="0" borderId="0"/>
    <xf numFmtId="0" fontId="1" fillId="0" borderId="0"/>
    <xf numFmtId="0" fontId="1" fillId="0" borderId="0"/>
    <xf numFmtId="0" fontId="1" fillId="0" borderId="0"/>
  </cellStyleXfs>
  <cellXfs count="132">
    <xf numFmtId="0" fontId="0" fillId="0" borderId="0" xfId="0"/>
    <xf numFmtId="0" fontId="4" fillId="0" borderId="0" xfId="27" applyFont="1"/>
    <xf numFmtId="0" fontId="4" fillId="0" borderId="0" xfId="27" applyFont="1" applyFill="1"/>
    <xf numFmtId="0" fontId="4" fillId="2" borderId="0" xfId="27" applyFont="1" applyFill="1"/>
    <xf numFmtId="0" fontId="17" fillId="0" borderId="0" xfId="0" applyFont="1"/>
    <xf numFmtId="0" fontId="17" fillId="0" borderId="0" xfId="0" applyFont="1" applyAlignment="1">
      <alignment horizontal="center"/>
    </xf>
    <xf numFmtId="165" fontId="17" fillId="0" borderId="0" xfId="0" applyNumberFormat="1" applyFont="1"/>
    <xf numFmtId="0" fontId="17" fillId="0" borderId="0" xfId="27" applyFont="1"/>
    <xf numFmtId="0" fontId="18" fillId="0" borderId="0" xfId="0" applyFont="1"/>
    <xf numFmtId="0" fontId="18" fillId="0" borderId="0" xfId="0" applyFont="1" applyBorder="1" applyAlignment="1"/>
    <xf numFmtId="0" fontId="18" fillId="0" borderId="0" xfId="27" applyFont="1"/>
    <xf numFmtId="165" fontId="18" fillId="0" borderId="0" xfId="0" applyNumberFormat="1" applyFont="1"/>
    <xf numFmtId="165" fontId="18" fillId="0" borderId="1" xfId="0" applyNumberFormat="1" applyFont="1" applyBorder="1" applyAlignment="1">
      <alignment horizontal="center"/>
    </xf>
    <xf numFmtId="0" fontId="18" fillId="0" borderId="1" xfId="0" applyFont="1" applyBorder="1" applyAlignment="1">
      <alignment horizontal="center"/>
    </xf>
    <xf numFmtId="0" fontId="18" fillId="0" borderId="1" xfId="27" applyFont="1" applyBorder="1" applyAlignment="1">
      <alignment horizontal="center"/>
    </xf>
    <xf numFmtId="0" fontId="18" fillId="5" borderId="5" xfId="0" applyFont="1" applyFill="1" applyBorder="1"/>
    <xf numFmtId="0" fontId="19" fillId="5" borderId="1" xfId="0" applyFont="1" applyFill="1" applyBorder="1"/>
    <xf numFmtId="165" fontId="18" fillId="5" borderId="1" xfId="0" applyNumberFormat="1" applyFont="1" applyFill="1" applyBorder="1"/>
    <xf numFmtId="0" fontId="18" fillId="0" borderId="5" xfId="0" applyFont="1" applyBorder="1"/>
    <xf numFmtId="0" fontId="18" fillId="0" borderId="1" xfId="0" applyFont="1" applyBorder="1"/>
    <xf numFmtId="165" fontId="18" fillId="0" borderId="1" xfId="0" applyNumberFormat="1" applyFont="1" applyBorder="1"/>
    <xf numFmtId="0" fontId="17" fillId="0" borderId="5" xfId="0" applyFont="1" applyBorder="1"/>
    <xf numFmtId="0" fontId="17" fillId="0" borderId="1" xfId="0" applyFont="1" applyBorder="1"/>
    <xf numFmtId="165" fontId="17" fillId="0" borderId="1" xfId="0" applyNumberFormat="1" applyFont="1" applyBorder="1"/>
    <xf numFmtId="0" fontId="18" fillId="0" borderId="7" xfId="0" applyFont="1" applyBorder="1"/>
    <xf numFmtId="0" fontId="18" fillId="0" borderId="8" xfId="0" applyFont="1" applyBorder="1"/>
    <xf numFmtId="165" fontId="18" fillId="0" borderId="8" xfId="0" applyNumberFormat="1" applyFont="1" applyBorder="1"/>
    <xf numFmtId="0" fontId="17" fillId="0" borderId="1" xfId="0" applyFont="1" applyBorder="1" applyAlignment="1">
      <alignment wrapText="1"/>
    </xf>
    <xf numFmtId="0" fontId="18" fillId="0" borderId="14" xfId="0" applyFont="1" applyBorder="1"/>
    <xf numFmtId="0" fontId="18" fillId="0" borderId="15" xfId="0" applyFont="1" applyBorder="1"/>
    <xf numFmtId="165" fontId="18" fillId="0" borderId="15" xfId="0" applyNumberFormat="1" applyFont="1" applyBorder="1"/>
    <xf numFmtId="0" fontId="18" fillId="3" borderId="5" xfId="0" applyFont="1" applyFill="1" applyBorder="1"/>
    <xf numFmtId="0" fontId="19" fillId="3" borderId="1" xfId="0" applyFont="1" applyFill="1" applyBorder="1"/>
    <xf numFmtId="165" fontId="18" fillId="3" borderId="1" xfId="0" applyNumberFormat="1" applyFont="1" applyFill="1" applyBorder="1"/>
    <xf numFmtId="0" fontId="4" fillId="3" borderId="0" xfId="27" applyFont="1" applyFill="1"/>
    <xf numFmtId="0" fontId="18" fillId="4" borderId="5" xfId="0" applyFont="1" applyFill="1" applyBorder="1"/>
    <xf numFmtId="0" fontId="19" fillId="4" borderId="1" xfId="0" applyFont="1" applyFill="1" applyBorder="1"/>
    <xf numFmtId="165" fontId="18" fillId="4" borderId="1" xfId="0" applyNumberFormat="1" applyFont="1" applyFill="1" applyBorder="1"/>
    <xf numFmtId="0" fontId="4" fillId="4" borderId="0" xfId="27" applyFont="1" applyFill="1"/>
    <xf numFmtId="175" fontId="18" fillId="5" borderId="1" xfId="0" applyNumberFormat="1" applyFont="1" applyFill="1" applyBorder="1"/>
    <xf numFmtId="175" fontId="18" fillId="0" borderId="1" xfId="0" applyNumberFormat="1" applyFont="1" applyBorder="1"/>
    <xf numFmtId="175" fontId="17" fillId="0" borderId="1" xfId="0" applyNumberFormat="1" applyFont="1" applyBorder="1"/>
    <xf numFmtId="175" fontId="18" fillId="0" borderId="8" xfId="0" applyNumberFormat="1" applyFont="1" applyBorder="1"/>
    <xf numFmtId="175" fontId="18" fillId="3" borderId="1" xfId="0" applyNumberFormat="1" applyFont="1" applyFill="1" applyBorder="1"/>
    <xf numFmtId="175" fontId="18"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9" fillId="6" borderId="0" xfId="0" applyFont="1"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22" fillId="6" borderId="0" xfId="0" applyFont="1" applyFill="1" applyBorder="1" applyAlignment="1" applyProtection="1">
      <alignment vertical="center"/>
      <protection hidden="1"/>
    </xf>
    <xf numFmtId="0" fontId="0" fillId="6" borderId="0" xfId="0" applyFill="1"/>
    <xf numFmtId="174" fontId="23" fillId="6" borderId="21" xfId="0" applyNumberFormat="1" applyFont="1" applyFill="1" applyBorder="1" applyAlignment="1" applyProtection="1">
      <alignment vertical="center"/>
      <protection hidden="1"/>
    </xf>
    <xf numFmtId="175" fontId="23" fillId="6" borderId="1" xfId="0" applyNumberFormat="1" applyFont="1" applyFill="1" applyBorder="1" applyAlignment="1" applyProtection="1">
      <alignment vertical="center"/>
      <protection hidden="1"/>
    </xf>
    <xf numFmtId="174" fontId="24" fillId="6" borderId="21" xfId="0" applyNumberFormat="1" applyFont="1" applyFill="1" applyBorder="1" applyAlignment="1" applyProtection="1">
      <alignment vertical="center"/>
      <protection hidden="1"/>
    </xf>
    <xf numFmtId="0" fontId="25" fillId="6" borderId="0" xfId="0" applyFont="1" applyFill="1" applyBorder="1" applyAlignment="1" applyProtection="1">
      <alignment horizontal="center" vertical="top"/>
      <protection hidden="1"/>
    </xf>
    <xf numFmtId="0" fontId="26"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2" fillId="6" borderId="0" xfId="0" applyFont="1" applyFill="1" applyAlignment="1" applyProtection="1">
      <alignment vertical="center"/>
      <protection hidden="1"/>
    </xf>
    <xf numFmtId="0" fontId="27"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20" fillId="2" borderId="0" xfId="0" applyFont="1" applyFill="1" applyAlignment="1" applyProtection="1">
      <alignment vertical="center"/>
      <protection hidden="1"/>
    </xf>
    <xf numFmtId="0" fontId="30" fillId="0" borderId="0" xfId="0" applyFont="1" applyAlignment="1">
      <alignment vertical="center" wrapText="1"/>
    </xf>
    <xf numFmtId="165" fontId="18" fillId="2" borderId="1" xfId="0" applyNumberFormat="1" applyFont="1" applyFill="1" applyBorder="1"/>
    <xf numFmtId="165" fontId="17" fillId="2" borderId="1" xfId="0" applyNumberFormat="1" applyFont="1" applyFill="1" applyBorder="1"/>
    <xf numFmtId="165" fontId="18" fillId="2" borderId="15" xfId="0" applyNumberFormat="1" applyFont="1" applyFill="1" applyBorder="1"/>
    <xf numFmtId="0" fontId="19" fillId="3" borderId="6" xfId="0" applyFont="1" applyFill="1" applyBorder="1"/>
    <xf numFmtId="0" fontId="18" fillId="0" borderId="6" xfId="0" applyFont="1" applyBorder="1"/>
    <xf numFmtId="0" fontId="17" fillId="0" borderId="6" xfId="0" applyFont="1" applyBorder="1"/>
    <xf numFmtId="0" fontId="17" fillId="0" borderId="6" xfId="0" applyFont="1" applyBorder="1" applyAlignment="1">
      <alignment wrapText="1"/>
    </xf>
    <xf numFmtId="0" fontId="18" fillId="0" borderId="28" xfId="0" applyFont="1" applyBorder="1"/>
    <xf numFmtId="0" fontId="18" fillId="0" borderId="25" xfId="0" applyFont="1" applyBorder="1"/>
    <xf numFmtId="165" fontId="17" fillId="0" borderId="1" xfId="27" applyNumberFormat="1" applyFont="1" applyBorder="1" applyAlignment="1">
      <alignment horizontal="right"/>
    </xf>
    <xf numFmtId="0" fontId="18" fillId="0" borderId="1" xfId="0" applyFont="1" applyBorder="1" applyAlignment="1">
      <alignment wrapText="1"/>
    </xf>
    <xf numFmtId="2" fontId="4" fillId="0" borderId="0" xfId="27" applyNumberFormat="1" applyFont="1"/>
    <xf numFmtId="0" fontId="19" fillId="4" borderId="6" xfId="0" applyFont="1" applyFill="1" applyBorder="1"/>
    <xf numFmtId="0" fontId="19" fillId="5" borderId="6" xfId="0" applyFont="1" applyFill="1" applyBorder="1"/>
    <xf numFmtId="0" fontId="19" fillId="5" borderId="5" xfId="0" applyFont="1" applyFill="1" applyBorder="1"/>
    <xf numFmtId="165" fontId="17" fillId="0" borderId="1" xfId="28" applyNumberFormat="1" applyFont="1" applyBorder="1" applyAlignment="1">
      <alignment horizontal="right"/>
    </xf>
    <xf numFmtId="175" fontId="4" fillId="0" borderId="0" xfId="27" applyNumberFormat="1" applyFont="1"/>
    <xf numFmtId="166" fontId="17" fillId="0" borderId="0" xfId="0" applyNumberFormat="1" applyFont="1"/>
    <xf numFmtId="166" fontId="17" fillId="0" borderId="0" xfId="27" applyNumberFormat="1" applyFont="1"/>
    <xf numFmtId="178" fontId="4" fillId="0" borderId="0" xfId="27" applyNumberFormat="1" applyFont="1"/>
    <xf numFmtId="165" fontId="4" fillId="0" borderId="0" xfId="27" applyNumberFormat="1" applyFont="1"/>
    <xf numFmtId="166" fontId="0" fillId="0" borderId="0" xfId="0" applyNumberFormat="1"/>
    <xf numFmtId="175" fontId="18" fillId="0" borderId="1" xfId="0" applyNumberFormat="1" applyFont="1" applyBorder="1" applyAlignment="1">
      <alignment horizontal="right"/>
    </xf>
    <xf numFmtId="0" fontId="18" fillId="0" borderId="31" xfId="0" applyFont="1" applyBorder="1"/>
    <xf numFmtId="0" fontId="18" fillId="2" borderId="1" xfId="0" applyFont="1" applyFill="1" applyBorder="1"/>
    <xf numFmtId="0" fontId="32" fillId="0" borderId="1" xfId="0" applyFont="1" applyBorder="1"/>
    <xf numFmtId="175" fontId="18" fillId="5" borderId="1" xfId="0" applyNumberFormat="1" applyFont="1" applyFill="1" applyBorder="1" applyAlignment="1">
      <alignment horizontal="right"/>
    </xf>
    <xf numFmtId="175" fontId="17" fillId="0" borderId="1" xfId="0" applyNumberFormat="1" applyFont="1" applyBorder="1" applyAlignment="1">
      <alignment horizontal="right"/>
    </xf>
    <xf numFmtId="175" fontId="18" fillId="0" borderId="8" xfId="0" applyNumberFormat="1" applyFont="1" applyBorder="1" applyAlignment="1">
      <alignment horizontal="right"/>
    </xf>
    <xf numFmtId="0" fontId="17" fillId="0" borderId="0" xfId="27" applyFont="1" applyAlignment="1">
      <alignment horizontal="right"/>
    </xf>
    <xf numFmtId="0" fontId="18" fillId="0" borderId="0" xfId="27" applyFont="1" applyAlignment="1">
      <alignment horizontal="right"/>
    </xf>
    <xf numFmtId="0" fontId="18" fillId="0" borderId="1" xfId="0" applyFont="1" applyBorder="1" applyAlignment="1">
      <alignment horizontal="right"/>
    </xf>
    <xf numFmtId="175" fontId="18" fillId="3" borderId="1" xfId="0" applyNumberFormat="1" applyFont="1" applyFill="1" applyBorder="1" applyAlignment="1">
      <alignment horizontal="right"/>
    </xf>
    <xf numFmtId="0" fontId="18" fillId="0" borderId="1" xfId="27" applyFont="1" applyBorder="1" applyAlignment="1">
      <alignment horizontal="right"/>
    </xf>
    <xf numFmtId="175" fontId="18" fillId="4" borderId="1" xfId="0" applyNumberFormat="1" applyFont="1" applyFill="1" applyBorder="1" applyAlignment="1">
      <alignment horizontal="right"/>
    </xf>
    <xf numFmtId="0" fontId="18" fillId="0" borderId="1" xfId="0" applyFont="1" applyFill="1" applyBorder="1"/>
    <xf numFmtId="179" fontId="4" fillId="0" borderId="0" xfId="27" applyNumberFormat="1" applyFont="1"/>
    <xf numFmtId="178" fontId="18" fillId="0" borderId="1" xfId="0" applyNumberFormat="1" applyFont="1" applyBorder="1" applyAlignment="1">
      <alignment horizontal="right"/>
    </xf>
    <xf numFmtId="175" fontId="17" fillId="0" borderId="0" xfId="0" applyNumberFormat="1" applyFont="1" applyAlignment="1">
      <alignment horizontal="center"/>
    </xf>
    <xf numFmtId="0" fontId="17" fillId="0" borderId="5" xfId="0" applyFont="1" applyBorder="1" applyAlignment="1">
      <alignment horizontal="right"/>
    </xf>
    <xf numFmtId="165" fontId="17" fillId="0" borderId="1" xfId="0" applyNumberFormat="1" applyFont="1" applyFill="1" applyBorder="1"/>
    <xf numFmtId="165" fontId="18" fillId="0" borderId="1" xfId="0" applyNumberFormat="1" applyFont="1" applyFill="1" applyBorder="1"/>
    <xf numFmtId="165" fontId="17" fillId="0" borderId="1" xfId="27" applyNumberFormat="1" applyFont="1" applyFill="1" applyBorder="1" applyAlignment="1">
      <alignment horizontal="right"/>
    </xf>
    <xf numFmtId="165" fontId="18" fillId="0" borderId="15" xfId="0" applyNumberFormat="1" applyFont="1" applyFill="1" applyBorder="1"/>
    <xf numFmtId="0" fontId="20" fillId="6" borderId="0" xfId="0" applyFont="1" applyFill="1" applyBorder="1" applyAlignment="1" applyProtection="1">
      <alignment horizontal="center" vertical="center" wrapText="1"/>
      <protection hidden="1"/>
    </xf>
    <xf numFmtId="165" fontId="18" fillId="0" borderId="3" xfId="0" applyNumberFormat="1" applyFont="1" applyBorder="1" applyAlignment="1">
      <alignment horizontal="center"/>
    </xf>
    <xf numFmtId="165" fontId="18" fillId="0" borderId="4" xfId="0" applyNumberFormat="1"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2" xfId="0" applyFont="1" applyBorder="1" applyAlignment="1">
      <alignment horizontal="center" wrapText="1"/>
    </xf>
    <xf numFmtId="0" fontId="18" fillId="0" borderId="11" xfId="0" applyFont="1" applyBorder="1" applyAlignment="1">
      <alignment horizontal="center" wrapText="1"/>
    </xf>
    <xf numFmtId="0" fontId="18" fillId="0" borderId="9" xfId="27" applyFont="1" applyBorder="1" applyAlignment="1">
      <alignment horizontal="center"/>
    </xf>
    <xf numFmtId="0" fontId="18" fillId="0" borderId="10" xfId="27"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8" fillId="0" borderId="9" xfId="28" applyFont="1" applyBorder="1" applyAlignment="1">
      <alignment horizontal="center"/>
    </xf>
    <xf numFmtId="0" fontId="18" fillId="0" borderId="10" xfId="28" applyFont="1" applyBorder="1" applyAlignment="1">
      <alignment horizontal="center"/>
    </xf>
    <xf numFmtId="165" fontId="18" fillId="2" borderId="3" xfId="0" applyNumberFormat="1" applyFont="1" applyFill="1" applyBorder="1" applyAlignment="1">
      <alignment horizontal="center"/>
    </xf>
    <xf numFmtId="165" fontId="18" fillId="2" borderId="4" xfId="0" applyNumberFormat="1" applyFont="1" applyFill="1" applyBorder="1" applyAlignment="1">
      <alignment horizontal="center"/>
    </xf>
    <xf numFmtId="0" fontId="18" fillId="0" borderId="29" xfId="27" applyFont="1" applyBorder="1" applyAlignment="1">
      <alignment horizontal="center"/>
    </xf>
    <xf numFmtId="0" fontId="18" fillId="0" borderId="30" xfId="27" applyFont="1" applyBorder="1" applyAlignment="1">
      <alignment horizontal="center"/>
    </xf>
  </cellXfs>
  <cellStyles count="286">
    <cellStyle name="1 indent" xfId="1" xr:uid="{00000000-0005-0000-0000-000000000000}"/>
    <cellStyle name="1 indent 2" xfId="41" xr:uid="{00000000-0005-0000-0000-000001000000}"/>
    <cellStyle name="1 indent 3" xfId="140" xr:uid="{00000000-0005-0000-0000-000002000000}"/>
    <cellStyle name="2 indents" xfId="2" xr:uid="{00000000-0005-0000-0000-000003000000}"/>
    <cellStyle name="2 indents 2" xfId="42" xr:uid="{00000000-0005-0000-0000-000004000000}"/>
    <cellStyle name="2 indents 3" xfId="141" xr:uid="{00000000-0005-0000-0000-000005000000}"/>
    <cellStyle name="20% - Accent1 2" xfId="118" xr:uid="{00000000-0005-0000-0000-000006000000}"/>
    <cellStyle name="20% - Accent1 2 2" xfId="142" xr:uid="{00000000-0005-0000-0000-000007000000}"/>
    <cellStyle name="20% - Accent1 3" xfId="263" xr:uid="{00000000-0005-0000-0000-000008000000}"/>
    <cellStyle name="20% - Accent1 4" xfId="82" xr:uid="{00000000-0005-0000-0000-000009000000}"/>
    <cellStyle name="20% - Accent2 2" xfId="120" xr:uid="{00000000-0005-0000-0000-00000A000000}"/>
    <cellStyle name="20% - Accent2 2 2" xfId="143" xr:uid="{00000000-0005-0000-0000-00000B000000}"/>
    <cellStyle name="20% - Accent2 3" xfId="265" xr:uid="{00000000-0005-0000-0000-00000C000000}"/>
    <cellStyle name="20% - Accent2 4" xfId="86" xr:uid="{00000000-0005-0000-0000-00000D000000}"/>
    <cellStyle name="20% - Accent3 2" xfId="122" xr:uid="{00000000-0005-0000-0000-00000E000000}"/>
    <cellStyle name="20% - Accent3 2 2" xfId="144" xr:uid="{00000000-0005-0000-0000-00000F000000}"/>
    <cellStyle name="20% - Accent3 3" xfId="267" xr:uid="{00000000-0005-0000-0000-000010000000}"/>
    <cellStyle name="20% - Accent3 4" xfId="90" xr:uid="{00000000-0005-0000-0000-000011000000}"/>
    <cellStyle name="20% - Accent4 2" xfId="124" xr:uid="{00000000-0005-0000-0000-000012000000}"/>
    <cellStyle name="20% - Accent4 2 2" xfId="145" xr:uid="{00000000-0005-0000-0000-000013000000}"/>
    <cellStyle name="20% - Accent4 3" xfId="269" xr:uid="{00000000-0005-0000-0000-000014000000}"/>
    <cellStyle name="20% - Accent4 4" xfId="94" xr:uid="{00000000-0005-0000-0000-000015000000}"/>
    <cellStyle name="20% - Accent5 2" xfId="126" xr:uid="{00000000-0005-0000-0000-000016000000}"/>
    <cellStyle name="20% - Accent5 2 2" xfId="146" xr:uid="{00000000-0005-0000-0000-000017000000}"/>
    <cellStyle name="20% - Accent5 3" xfId="272" xr:uid="{00000000-0005-0000-0000-000018000000}"/>
    <cellStyle name="20% - Accent5 4" xfId="98" xr:uid="{00000000-0005-0000-0000-000019000000}"/>
    <cellStyle name="20% - Accent6 2" xfId="128" xr:uid="{00000000-0005-0000-0000-00001A000000}"/>
    <cellStyle name="20% - Accent6 2 2" xfId="147" xr:uid="{00000000-0005-0000-0000-00001B000000}"/>
    <cellStyle name="20% - Accent6 3" xfId="275" xr:uid="{00000000-0005-0000-0000-00001C000000}"/>
    <cellStyle name="20% - Accent6 4" xfId="102" xr:uid="{00000000-0005-0000-0000-00001D000000}"/>
    <cellStyle name="3 indents" xfId="3" xr:uid="{00000000-0005-0000-0000-00001E000000}"/>
    <cellStyle name="3 indents 2" xfId="43" xr:uid="{00000000-0005-0000-0000-00001F000000}"/>
    <cellStyle name="3 indents 3" xfId="148" xr:uid="{00000000-0005-0000-0000-000020000000}"/>
    <cellStyle name="4 indents" xfId="4" xr:uid="{00000000-0005-0000-0000-000021000000}"/>
    <cellStyle name="4 indents 2" xfId="44" xr:uid="{00000000-0005-0000-0000-000022000000}"/>
    <cellStyle name="4 indents 3" xfId="149" xr:uid="{00000000-0005-0000-0000-000023000000}"/>
    <cellStyle name="40% - Accent1 2" xfId="119" xr:uid="{00000000-0005-0000-0000-000024000000}"/>
    <cellStyle name="40% - Accent1 2 2" xfId="150" xr:uid="{00000000-0005-0000-0000-000025000000}"/>
    <cellStyle name="40% - Accent1 3" xfId="264" xr:uid="{00000000-0005-0000-0000-000026000000}"/>
    <cellStyle name="40% - Accent1 4" xfId="83" xr:uid="{00000000-0005-0000-0000-000027000000}"/>
    <cellStyle name="40% - Accent2 2" xfId="121" xr:uid="{00000000-0005-0000-0000-000028000000}"/>
    <cellStyle name="40% - Accent2 2 2" xfId="151" xr:uid="{00000000-0005-0000-0000-000029000000}"/>
    <cellStyle name="40% - Accent2 3" xfId="266" xr:uid="{00000000-0005-0000-0000-00002A000000}"/>
    <cellStyle name="40% - Accent2 4" xfId="87" xr:uid="{00000000-0005-0000-0000-00002B000000}"/>
    <cellStyle name="40% - Accent3 2" xfId="123" xr:uid="{00000000-0005-0000-0000-00002C000000}"/>
    <cellStyle name="40% - Accent3 2 2" xfId="152" xr:uid="{00000000-0005-0000-0000-00002D000000}"/>
    <cellStyle name="40% - Accent3 3" xfId="268" xr:uid="{00000000-0005-0000-0000-00002E000000}"/>
    <cellStyle name="40% - Accent3 4" xfId="91" xr:uid="{00000000-0005-0000-0000-00002F000000}"/>
    <cellStyle name="40% - Accent4 2" xfId="125" xr:uid="{00000000-0005-0000-0000-000030000000}"/>
    <cellStyle name="40% - Accent4 2 2" xfId="153" xr:uid="{00000000-0005-0000-0000-000031000000}"/>
    <cellStyle name="40% - Accent4 3" xfId="270" xr:uid="{00000000-0005-0000-0000-000032000000}"/>
    <cellStyle name="40% - Accent4 4" xfId="95" xr:uid="{00000000-0005-0000-0000-000033000000}"/>
    <cellStyle name="40% - Accent5 2" xfId="127" xr:uid="{00000000-0005-0000-0000-000034000000}"/>
    <cellStyle name="40% - Accent5 2 2" xfId="154" xr:uid="{00000000-0005-0000-0000-000035000000}"/>
    <cellStyle name="40% - Accent5 3" xfId="273" xr:uid="{00000000-0005-0000-0000-000036000000}"/>
    <cellStyle name="40% - Accent5 4" xfId="99" xr:uid="{00000000-0005-0000-0000-000037000000}"/>
    <cellStyle name="40% - Accent6 2" xfId="129" xr:uid="{00000000-0005-0000-0000-000038000000}"/>
    <cellStyle name="40% - Accent6 2 2" xfId="155" xr:uid="{00000000-0005-0000-0000-000039000000}"/>
    <cellStyle name="40% - Accent6 3" xfId="276" xr:uid="{00000000-0005-0000-0000-00003A000000}"/>
    <cellStyle name="40% - Accent6 4" xfId="103" xr:uid="{00000000-0005-0000-0000-00003B000000}"/>
    <cellStyle name="60% - Accent1 2" xfId="156" xr:uid="{00000000-0005-0000-0000-00003C000000}"/>
    <cellStyle name="60% - Accent1 3" xfId="84" xr:uid="{00000000-0005-0000-0000-00003D000000}"/>
    <cellStyle name="60% - Accent2 2" xfId="157" xr:uid="{00000000-0005-0000-0000-00003E000000}"/>
    <cellStyle name="60% - Accent2 3" xfId="88" xr:uid="{00000000-0005-0000-0000-00003F000000}"/>
    <cellStyle name="60% - Accent3 2" xfId="158" xr:uid="{00000000-0005-0000-0000-000040000000}"/>
    <cellStyle name="60% - Accent3 3" xfId="92" xr:uid="{00000000-0005-0000-0000-000041000000}"/>
    <cellStyle name="60% - Accent4 2" xfId="159" xr:uid="{00000000-0005-0000-0000-000042000000}"/>
    <cellStyle name="60% - Accent4 3" xfId="96" xr:uid="{00000000-0005-0000-0000-000043000000}"/>
    <cellStyle name="60% - Accent5 2" xfId="160" xr:uid="{00000000-0005-0000-0000-000044000000}"/>
    <cellStyle name="60% - Accent5 3" xfId="100" xr:uid="{00000000-0005-0000-0000-000045000000}"/>
    <cellStyle name="60% - Accent6 2" xfId="161" xr:uid="{00000000-0005-0000-0000-000046000000}"/>
    <cellStyle name="60% - Accent6 3" xfId="104" xr:uid="{00000000-0005-0000-0000-000047000000}"/>
    <cellStyle name="Accent1 2" xfId="162" xr:uid="{00000000-0005-0000-0000-000048000000}"/>
    <cellStyle name="Accent1 3" xfId="81" xr:uid="{00000000-0005-0000-0000-000049000000}"/>
    <cellStyle name="Accent2 2" xfId="163" xr:uid="{00000000-0005-0000-0000-00004A000000}"/>
    <cellStyle name="Accent2 3" xfId="85" xr:uid="{00000000-0005-0000-0000-00004B000000}"/>
    <cellStyle name="Accent3 2" xfId="164" xr:uid="{00000000-0005-0000-0000-00004C000000}"/>
    <cellStyle name="Accent3 3" xfId="89" xr:uid="{00000000-0005-0000-0000-00004D000000}"/>
    <cellStyle name="Accent4 2" xfId="165" xr:uid="{00000000-0005-0000-0000-00004E000000}"/>
    <cellStyle name="Accent4 3" xfId="93" xr:uid="{00000000-0005-0000-0000-00004F000000}"/>
    <cellStyle name="Accent5 2" xfId="166" xr:uid="{00000000-0005-0000-0000-000050000000}"/>
    <cellStyle name="Accent5 3" xfId="97" xr:uid="{00000000-0005-0000-0000-000051000000}"/>
    <cellStyle name="Accent6 2" xfId="167" xr:uid="{00000000-0005-0000-0000-000052000000}"/>
    <cellStyle name="Accent6 3" xfId="101" xr:uid="{00000000-0005-0000-0000-000053000000}"/>
    <cellStyle name="Bad 2" xfId="64" xr:uid="{00000000-0005-0000-0000-000054000000}"/>
    <cellStyle name="Bad 2 2" xfId="168" xr:uid="{00000000-0005-0000-0000-000055000000}"/>
    <cellStyle name="Bad 3" xfId="71" xr:uid="{00000000-0005-0000-0000-000056000000}"/>
    <cellStyle name="Calculation 2" xfId="169" xr:uid="{00000000-0005-0000-0000-000057000000}"/>
    <cellStyle name="Calculation 3" xfId="75" xr:uid="{00000000-0005-0000-0000-000058000000}"/>
    <cellStyle name="Check Cell 2" xfId="170" xr:uid="{00000000-0005-0000-0000-000059000000}"/>
    <cellStyle name="Check Cell 3" xfId="77" xr:uid="{00000000-0005-0000-0000-00005A000000}"/>
    <cellStyle name="Comma 2" xfId="138" xr:uid="{00000000-0005-0000-0000-00005B000000}"/>
    <cellStyle name="Comma 2 2" xfId="172" xr:uid="{00000000-0005-0000-0000-00005C000000}"/>
    <cellStyle name="Comma 3" xfId="171" xr:uid="{00000000-0005-0000-0000-00005D000000}"/>
    <cellStyle name="Comma 4" xfId="281" xr:uid="{00000000-0005-0000-0000-00005E000000}"/>
    <cellStyle name="Comma 5" xfId="136" xr:uid="{00000000-0005-0000-0000-00005F000000}"/>
    <cellStyle name="Currency 2" xfId="60" xr:uid="{00000000-0005-0000-0000-000060000000}"/>
    <cellStyle name="Date" xfId="5" xr:uid="{00000000-0005-0000-0000-000061000000}"/>
    <cellStyle name="Excel Built-in Normal" xfId="61" xr:uid="{00000000-0005-0000-0000-000062000000}"/>
    <cellStyle name="Excel Built-in Normal 2" xfId="174" xr:uid="{00000000-0005-0000-0000-000063000000}"/>
    <cellStyle name="Excel Built-in Normal 2 2" xfId="175" xr:uid="{00000000-0005-0000-0000-000064000000}"/>
    <cellStyle name="Excel Built-in Normal 2 3" xfId="176" xr:uid="{00000000-0005-0000-0000-000065000000}"/>
    <cellStyle name="Excel Built-in Normal 3" xfId="173" xr:uid="{00000000-0005-0000-0000-000066000000}"/>
    <cellStyle name="Explanatory Text 2" xfId="177" xr:uid="{00000000-0005-0000-0000-000067000000}"/>
    <cellStyle name="Explanatory Text 3" xfId="79" xr:uid="{00000000-0005-0000-0000-000068000000}"/>
    <cellStyle name="F2" xfId="6" xr:uid="{00000000-0005-0000-0000-000069000000}"/>
    <cellStyle name="F3" xfId="7" xr:uid="{00000000-0005-0000-0000-00006A000000}"/>
    <cellStyle name="F4" xfId="8" xr:uid="{00000000-0005-0000-0000-00006B000000}"/>
    <cellStyle name="F5" xfId="9" xr:uid="{00000000-0005-0000-0000-00006C000000}"/>
    <cellStyle name="F6" xfId="10" xr:uid="{00000000-0005-0000-0000-00006D000000}"/>
    <cellStyle name="F7" xfId="11" xr:uid="{00000000-0005-0000-0000-00006E000000}"/>
    <cellStyle name="F8" xfId="12" xr:uid="{00000000-0005-0000-0000-00006F000000}"/>
    <cellStyle name="Fixed" xfId="13" xr:uid="{00000000-0005-0000-0000-000070000000}"/>
    <cellStyle name="Good 2" xfId="178" xr:uid="{00000000-0005-0000-0000-000071000000}"/>
    <cellStyle name="Good 3" xfId="70" xr:uid="{00000000-0005-0000-0000-000072000000}"/>
    <cellStyle name="Heading 1 2" xfId="179" xr:uid="{00000000-0005-0000-0000-000073000000}"/>
    <cellStyle name="Heading 1 3" xfId="66" xr:uid="{00000000-0005-0000-0000-000074000000}"/>
    <cellStyle name="Heading 2 2" xfId="180" xr:uid="{00000000-0005-0000-0000-000075000000}"/>
    <cellStyle name="Heading 2 3" xfId="67" xr:uid="{00000000-0005-0000-0000-000076000000}"/>
    <cellStyle name="Heading 3 2" xfId="181" xr:uid="{00000000-0005-0000-0000-000077000000}"/>
    <cellStyle name="Heading 3 3" xfId="68" xr:uid="{00000000-0005-0000-0000-000078000000}"/>
    <cellStyle name="Heading 4 2" xfId="182" xr:uid="{00000000-0005-0000-0000-000079000000}"/>
    <cellStyle name="Heading 4 3" xfId="69" xr:uid="{00000000-0005-0000-0000-00007A000000}"/>
    <cellStyle name="HEADING1" xfId="14" xr:uid="{00000000-0005-0000-0000-00007B000000}"/>
    <cellStyle name="HEADING2" xfId="15" xr:uid="{00000000-0005-0000-0000-00007C000000}"/>
    <cellStyle name="imf-one decimal" xfId="16" xr:uid="{00000000-0005-0000-0000-00007D000000}"/>
    <cellStyle name="imf-one decimal 2" xfId="45" xr:uid="{00000000-0005-0000-0000-00007E000000}"/>
    <cellStyle name="imf-one decimal 3" xfId="183" xr:uid="{00000000-0005-0000-0000-00007F000000}"/>
    <cellStyle name="imf-zero decimal" xfId="17" xr:uid="{00000000-0005-0000-0000-000080000000}"/>
    <cellStyle name="imf-zero decimal 2" xfId="46" xr:uid="{00000000-0005-0000-0000-000081000000}"/>
    <cellStyle name="imf-zero decimal 3" xfId="184" xr:uid="{00000000-0005-0000-0000-000082000000}"/>
    <cellStyle name="Input 2" xfId="185" xr:uid="{00000000-0005-0000-0000-000083000000}"/>
    <cellStyle name="Input 3" xfId="73" xr:uid="{00000000-0005-0000-0000-000084000000}"/>
    <cellStyle name="Label" xfId="18" xr:uid="{00000000-0005-0000-0000-000085000000}"/>
    <cellStyle name="Linked Cell 2" xfId="186" xr:uid="{00000000-0005-0000-0000-000086000000}"/>
    <cellStyle name="Linked Cell 3" xfId="76" xr:uid="{00000000-0005-0000-0000-000087000000}"/>
    <cellStyle name="Neutral 2" xfId="187" xr:uid="{00000000-0005-0000-0000-000088000000}"/>
    <cellStyle name="Neutral 3" xfId="72" xr:uid="{00000000-0005-0000-0000-000089000000}"/>
    <cellStyle name="Normal" xfId="0" builtinId="0"/>
    <cellStyle name="Normal - Style1" xfId="19" xr:uid="{00000000-0005-0000-0000-00008B000000}"/>
    <cellStyle name="Normal - Style2" xfId="20" xr:uid="{00000000-0005-0000-0000-00008C000000}"/>
    <cellStyle name="Normal - Style3" xfId="21" xr:uid="{00000000-0005-0000-0000-00008D000000}"/>
    <cellStyle name="Normal 10" xfId="22" xr:uid="{00000000-0005-0000-0000-00008E000000}"/>
    <cellStyle name="Normal 10 2" xfId="54" xr:uid="{00000000-0005-0000-0000-00008F000000}"/>
    <cellStyle name="Normal 10 2 2" xfId="254" xr:uid="{00000000-0005-0000-0000-000090000000}"/>
    <cellStyle name="Normal 11" xfId="23" xr:uid="{00000000-0005-0000-0000-000091000000}"/>
    <cellStyle name="Normal 11 2" xfId="55" xr:uid="{00000000-0005-0000-0000-000092000000}"/>
    <cellStyle name="Normal 11 2 2" xfId="255" xr:uid="{00000000-0005-0000-0000-000093000000}"/>
    <cellStyle name="Normal 12" xfId="24" xr:uid="{00000000-0005-0000-0000-000094000000}"/>
    <cellStyle name="Normal 12 2" xfId="56" xr:uid="{00000000-0005-0000-0000-000095000000}"/>
    <cellStyle name="Normal 12 2 2" xfId="256" xr:uid="{00000000-0005-0000-0000-000096000000}"/>
    <cellStyle name="Normal 13" xfId="40" xr:uid="{00000000-0005-0000-0000-000097000000}"/>
    <cellStyle name="Normal 13 2" xfId="63" xr:uid="{00000000-0005-0000-0000-000098000000}"/>
    <cellStyle name="Normal 14" xfId="105" xr:uid="{00000000-0005-0000-0000-000099000000}"/>
    <cellStyle name="Normal 14 2" xfId="257" xr:uid="{00000000-0005-0000-0000-00009A000000}"/>
    <cellStyle name="Normal 15" xfId="25" xr:uid="{00000000-0005-0000-0000-00009B000000}"/>
    <cellStyle name="Normal 15 2" xfId="107" xr:uid="{00000000-0005-0000-0000-00009C000000}"/>
    <cellStyle name="Normal 16" xfId="26" xr:uid="{00000000-0005-0000-0000-00009D000000}"/>
    <cellStyle name="Normal 16 2" xfId="130" xr:uid="{00000000-0005-0000-0000-00009E000000}"/>
    <cellStyle name="Normal 16 2 2" xfId="189" xr:uid="{00000000-0005-0000-0000-00009F000000}"/>
    <cellStyle name="Normal 16 3" xfId="190" xr:uid="{00000000-0005-0000-0000-0000A0000000}"/>
    <cellStyle name="Normal 16 4" xfId="188" xr:uid="{00000000-0005-0000-0000-0000A1000000}"/>
    <cellStyle name="Normal 16 5" xfId="111" xr:uid="{00000000-0005-0000-0000-0000A2000000}"/>
    <cellStyle name="Normal 17" xfId="113" xr:uid="{00000000-0005-0000-0000-0000A3000000}"/>
    <cellStyle name="Normal 17 2" xfId="131" xr:uid="{00000000-0005-0000-0000-0000A4000000}"/>
    <cellStyle name="Normal 17 2 2" xfId="192" xr:uid="{00000000-0005-0000-0000-0000A5000000}"/>
    <cellStyle name="Normal 17 3" xfId="193" xr:uid="{00000000-0005-0000-0000-0000A6000000}"/>
    <cellStyle name="Normal 17 4" xfId="191" xr:uid="{00000000-0005-0000-0000-0000A7000000}"/>
    <cellStyle name="Normal 18" xfId="114" xr:uid="{00000000-0005-0000-0000-0000A8000000}"/>
    <cellStyle name="Normal 19" xfId="109" xr:uid="{00000000-0005-0000-0000-0000A9000000}"/>
    <cellStyle name="Normal 19 2" xfId="132" xr:uid="{00000000-0005-0000-0000-0000AA000000}"/>
    <cellStyle name="Normal 19 2 2" xfId="195" xr:uid="{00000000-0005-0000-0000-0000AB000000}"/>
    <cellStyle name="Normal 19 3" xfId="196" xr:uid="{00000000-0005-0000-0000-0000AC000000}"/>
    <cellStyle name="Normal 19 4" xfId="194" xr:uid="{00000000-0005-0000-0000-0000AD000000}"/>
    <cellStyle name="Normal 2" xfId="27" xr:uid="{00000000-0005-0000-0000-0000AE000000}"/>
    <cellStyle name="Normal 2 10" xfId="198" xr:uid="{00000000-0005-0000-0000-0000AF000000}"/>
    <cellStyle name="Normal 2 11" xfId="197" xr:uid="{00000000-0005-0000-0000-0000B0000000}"/>
    <cellStyle name="Normal 2 2" xfId="28" xr:uid="{00000000-0005-0000-0000-0000B1000000}"/>
    <cellStyle name="Normal 2 2 2" xfId="59" xr:uid="{00000000-0005-0000-0000-0000B2000000}"/>
    <cellStyle name="Normal 2 2 2 2" xfId="200" xr:uid="{00000000-0005-0000-0000-0000B3000000}"/>
    <cellStyle name="Normal 2 2 3" xfId="201" xr:uid="{00000000-0005-0000-0000-0000B4000000}"/>
    <cellStyle name="Normal 2 2 4" xfId="199" xr:uid="{00000000-0005-0000-0000-0000B5000000}"/>
    <cellStyle name="Normal 2 3" xfId="202" xr:uid="{00000000-0005-0000-0000-0000B6000000}"/>
    <cellStyle name="Normal 2 3 2" xfId="203" xr:uid="{00000000-0005-0000-0000-0000B7000000}"/>
    <cellStyle name="Normal 2 3 3" xfId="204" xr:uid="{00000000-0005-0000-0000-0000B8000000}"/>
    <cellStyle name="Normal 2 4" xfId="205" xr:uid="{00000000-0005-0000-0000-0000B9000000}"/>
    <cellStyle name="Normal 2 4 2" xfId="206" xr:uid="{00000000-0005-0000-0000-0000BA000000}"/>
    <cellStyle name="Normal 2 4 3" xfId="207" xr:uid="{00000000-0005-0000-0000-0000BB000000}"/>
    <cellStyle name="Normal 2 5" xfId="208" xr:uid="{00000000-0005-0000-0000-0000BC000000}"/>
    <cellStyle name="Normal 2 5 2" xfId="209" xr:uid="{00000000-0005-0000-0000-0000BD000000}"/>
    <cellStyle name="Normal 2 5 3" xfId="210" xr:uid="{00000000-0005-0000-0000-0000BE000000}"/>
    <cellStyle name="Normal 2 6" xfId="211" xr:uid="{00000000-0005-0000-0000-0000BF000000}"/>
    <cellStyle name="Normal 2 6 2" xfId="212" xr:uid="{00000000-0005-0000-0000-0000C0000000}"/>
    <cellStyle name="Normal 2 6 3" xfId="213" xr:uid="{00000000-0005-0000-0000-0000C1000000}"/>
    <cellStyle name="Normal 2 7" xfId="214" xr:uid="{00000000-0005-0000-0000-0000C2000000}"/>
    <cellStyle name="Normal 2 7 2" xfId="215" xr:uid="{00000000-0005-0000-0000-0000C3000000}"/>
    <cellStyle name="Normal 2 7 3" xfId="216" xr:uid="{00000000-0005-0000-0000-0000C4000000}"/>
    <cellStyle name="Normal 2 8" xfId="217" xr:uid="{00000000-0005-0000-0000-0000C5000000}"/>
    <cellStyle name="Normal 2 8 2" xfId="218" xr:uid="{00000000-0005-0000-0000-0000C6000000}"/>
    <cellStyle name="Normal 2 8 3" xfId="219" xr:uid="{00000000-0005-0000-0000-0000C7000000}"/>
    <cellStyle name="Normal 2 9" xfId="220" xr:uid="{00000000-0005-0000-0000-0000C8000000}"/>
    <cellStyle name="Normal 20" xfId="108" xr:uid="{00000000-0005-0000-0000-0000C9000000}"/>
    <cellStyle name="Normal 21" xfId="110" xr:uid="{00000000-0005-0000-0000-0000CA000000}"/>
    <cellStyle name="Normal 22" xfId="112" xr:uid="{00000000-0005-0000-0000-0000CB000000}"/>
    <cellStyle name="Normal 23" xfId="115" xr:uid="{00000000-0005-0000-0000-0000CC000000}"/>
    <cellStyle name="Normal 24" xfId="116" xr:uid="{00000000-0005-0000-0000-0000CD000000}"/>
    <cellStyle name="Normal 25" xfId="137" xr:uid="{00000000-0005-0000-0000-0000CE000000}"/>
    <cellStyle name="Normal 26" xfId="139" xr:uid="{00000000-0005-0000-0000-0000CF000000}"/>
    <cellStyle name="Normal 27" xfId="258" xr:uid="{00000000-0005-0000-0000-0000D0000000}"/>
    <cellStyle name="Normal 28" xfId="262" xr:uid="{00000000-0005-0000-0000-0000D1000000}"/>
    <cellStyle name="Normal 29" xfId="274" xr:uid="{00000000-0005-0000-0000-0000D2000000}"/>
    <cellStyle name="Normal 3" xfId="29" xr:uid="{00000000-0005-0000-0000-0000D3000000}"/>
    <cellStyle name="Normal 3 2" xfId="221" xr:uid="{00000000-0005-0000-0000-0000D4000000}"/>
    <cellStyle name="Normal 3 2 2" xfId="222" xr:uid="{00000000-0005-0000-0000-0000D5000000}"/>
    <cellStyle name="Normal 3 2 3" xfId="223" xr:uid="{00000000-0005-0000-0000-0000D6000000}"/>
    <cellStyle name="Normal 3 3" xfId="224" xr:uid="{00000000-0005-0000-0000-0000D7000000}"/>
    <cellStyle name="Normal 3 3 2" xfId="225" xr:uid="{00000000-0005-0000-0000-0000D8000000}"/>
    <cellStyle name="Normal 3 3 3" xfId="226" xr:uid="{00000000-0005-0000-0000-0000D9000000}"/>
    <cellStyle name="Normal 3 4" xfId="227" xr:uid="{00000000-0005-0000-0000-0000DA000000}"/>
    <cellStyle name="Normal 3 4 2" xfId="228" xr:uid="{00000000-0005-0000-0000-0000DB000000}"/>
    <cellStyle name="Normal 3 4 3" xfId="229" xr:uid="{00000000-0005-0000-0000-0000DC000000}"/>
    <cellStyle name="Normal 3 5" xfId="230" xr:uid="{00000000-0005-0000-0000-0000DD000000}"/>
    <cellStyle name="Normal 3 5 2" xfId="231" xr:uid="{00000000-0005-0000-0000-0000DE000000}"/>
    <cellStyle name="Normal 3 5 3" xfId="232" xr:uid="{00000000-0005-0000-0000-0000DF000000}"/>
    <cellStyle name="Normal 3 6" xfId="233" xr:uid="{00000000-0005-0000-0000-0000E0000000}"/>
    <cellStyle name="Normal 3 6 2" xfId="234" xr:uid="{00000000-0005-0000-0000-0000E1000000}"/>
    <cellStyle name="Normal 3 6 3" xfId="235" xr:uid="{00000000-0005-0000-0000-0000E2000000}"/>
    <cellStyle name="Normal 3 7" xfId="236" xr:uid="{00000000-0005-0000-0000-0000E3000000}"/>
    <cellStyle name="Normal 3 7 2" xfId="237" xr:uid="{00000000-0005-0000-0000-0000E4000000}"/>
    <cellStyle name="Normal 3 7 3" xfId="238" xr:uid="{00000000-0005-0000-0000-0000E5000000}"/>
    <cellStyle name="Normal 3 8" xfId="239" xr:uid="{00000000-0005-0000-0000-0000E6000000}"/>
    <cellStyle name="Normal 3 8 2" xfId="240" xr:uid="{00000000-0005-0000-0000-0000E7000000}"/>
    <cellStyle name="Normal 3 8 3" xfId="241" xr:uid="{00000000-0005-0000-0000-0000E8000000}"/>
    <cellStyle name="Normal 30" xfId="271" xr:uid="{00000000-0005-0000-0000-0000E9000000}"/>
    <cellStyle name="Normal 31" xfId="260" xr:uid="{00000000-0005-0000-0000-0000EA000000}"/>
    <cellStyle name="Normal 32" xfId="261" xr:uid="{00000000-0005-0000-0000-0000EB000000}"/>
    <cellStyle name="Normal 33" xfId="279" xr:uid="{00000000-0005-0000-0000-0000EC000000}"/>
    <cellStyle name="Normal 34" xfId="285" xr:uid="{00000000-0005-0000-0000-0000ED000000}"/>
    <cellStyle name="Normal 35" xfId="283" xr:uid="{00000000-0005-0000-0000-0000EE000000}"/>
    <cellStyle name="Normal 36" xfId="284" xr:uid="{00000000-0005-0000-0000-0000EF000000}"/>
    <cellStyle name="Normal 37" xfId="282" xr:uid="{00000000-0005-0000-0000-0000F0000000}"/>
    <cellStyle name="Normal 38" xfId="62" xr:uid="{00000000-0005-0000-0000-0000F1000000}"/>
    <cellStyle name="Normal 4" xfId="30" xr:uid="{00000000-0005-0000-0000-0000F2000000}"/>
    <cellStyle name="Normal 4 2" xfId="57" xr:uid="{00000000-0005-0000-0000-0000F3000000}"/>
    <cellStyle name="Normal 4 2 2" xfId="243" xr:uid="{00000000-0005-0000-0000-0000F4000000}"/>
    <cellStyle name="Normal 4 2 3" xfId="133" xr:uid="{00000000-0005-0000-0000-0000F5000000}"/>
    <cellStyle name="Normal 4 3" xfId="48" xr:uid="{00000000-0005-0000-0000-0000F6000000}"/>
    <cellStyle name="Normal 4 3 2" xfId="244" xr:uid="{00000000-0005-0000-0000-0000F7000000}"/>
    <cellStyle name="Normal 4 4" xfId="242" xr:uid="{00000000-0005-0000-0000-0000F8000000}"/>
    <cellStyle name="Normal 4 5" xfId="259" xr:uid="{00000000-0005-0000-0000-0000F9000000}"/>
    <cellStyle name="Normal 48" xfId="31" xr:uid="{00000000-0005-0000-0000-0000FA000000}"/>
    <cellStyle name="Normal 5" xfId="32" xr:uid="{00000000-0005-0000-0000-0000FB000000}"/>
    <cellStyle name="Normal 5 2" xfId="49" xr:uid="{00000000-0005-0000-0000-0000FC000000}"/>
    <cellStyle name="Normal 5 2 2" xfId="135" xr:uid="{00000000-0005-0000-0000-0000FD000000}"/>
    <cellStyle name="Normal 5 3" xfId="245" xr:uid="{00000000-0005-0000-0000-0000FE000000}"/>
    <cellStyle name="Normal 5 4" xfId="280" xr:uid="{00000000-0005-0000-0000-0000FF000000}"/>
    <cellStyle name="Normal 6" xfId="33" xr:uid="{00000000-0005-0000-0000-000000010000}"/>
    <cellStyle name="Normal 6 2" xfId="50" xr:uid="{00000000-0005-0000-0000-000001010000}"/>
    <cellStyle name="Normal 7" xfId="34" xr:uid="{00000000-0005-0000-0000-000002010000}"/>
    <cellStyle name="Normal 7 2" xfId="51" xr:uid="{00000000-0005-0000-0000-000003010000}"/>
    <cellStyle name="Normal 7 2 2" xfId="252" xr:uid="{00000000-0005-0000-0000-000004010000}"/>
    <cellStyle name="Normal 7 3" xfId="277" xr:uid="{00000000-0005-0000-0000-000005010000}"/>
    <cellStyle name="Normal 8" xfId="35" xr:uid="{00000000-0005-0000-0000-000006010000}"/>
    <cellStyle name="Normal 8 2" xfId="52" xr:uid="{00000000-0005-0000-0000-000007010000}"/>
    <cellStyle name="Normal 9" xfId="36" xr:uid="{00000000-0005-0000-0000-000008010000}"/>
    <cellStyle name="Normal 9 2" xfId="53" xr:uid="{00000000-0005-0000-0000-000009010000}"/>
    <cellStyle name="Normal 9 2 2" xfId="253" xr:uid="{00000000-0005-0000-0000-00000A010000}"/>
    <cellStyle name="Note 2" xfId="106" xr:uid="{00000000-0005-0000-0000-00000B010000}"/>
    <cellStyle name="Note 2 2" xfId="246" xr:uid="{00000000-0005-0000-0000-00000C010000}"/>
    <cellStyle name="Note 2 3" xfId="278" xr:uid="{00000000-0005-0000-0000-00000D010000}"/>
    <cellStyle name="Note 3" xfId="117" xr:uid="{00000000-0005-0000-0000-00000E010000}"/>
    <cellStyle name="Obično_KnjigaZIKS i Min pomorstva i saobracaja" xfId="37" xr:uid="{00000000-0005-0000-0000-00000F010000}"/>
    <cellStyle name="Output 2" xfId="247" xr:uid="{00000000-0005-0000-0000-000010010000}"/>
    <cellStyle name="Output 3" xfId="74" xr:uid="{00000000-0005-0000-0000-000011010000}"/>
    <cellStyle name="Percent 2" xfId="58" xr:uid="{00000000-0005-0000-0000-000012010000}"/>
    <cellStyle name="percentage difference" xfId="38" xr:uid="{00000000-0005-0000-0000-000013010000}"/>
    <cellStyle name="percentage difference 2" xfId="47" xr:uid="{00000000-0005-0000-0000-000014010000}"/>
    <cellStyle name="percentage difference 3" xfId="248" xr:uid="{00000000-0005-0000-0000-000015010000}"/>
    <cellStyle name="Publication" xfId="39" xr:uid="{00000000-0005-0000-0000-000016010000}"/>
    <cellStyle name="Standard_Tabellenteil in EURO" xfId="134" xr:uid="{00000000-0005-0000-0000-000017010000}"/>
    <cellStyle name="Title 2" xfId="249" xr:uid="{00000000-0005-0000-0000-000018010000}"/>
    <cellStyle name="Title 3" xfId="65" xr:uid="{00000000-0005-0000-0000-000019010000}"/>
    <cellStyle name="Total 2" xfId="250" xr:uid="{00000000-0005-0000-0000-00001A010000}"/>
    <cellStyle name="Total 3" xfId="80" xr:uid="{00000000-0005-0000-0000-00001B010000}"/>
    <cellStyle name="Warning Text 2" xfId="251" xr:uid="{00000000-0005-0000-0000-00001C010000}"/>
    <cellStyle name="Warning Text 3" xfId="78" xr:uid="{00000000-0005-0000-0000-00001D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a:t>
          </a:r>
          <a:r>
            <a:rPr lang="en-US" sz="1100" b="0" i="0" u="none" strike="noStrike" baseline="0">
              <a:solidFill>
                <a:schemeClr val="dk1"/>
              </a:solidFill>
              <a:effectLst/>
              <a:latin typeface="+mn-lt"/>
              <a:ea typeface="+mn-ea"/>
              <a:cs typeface="+mn-cs"/>
            </a:rPr>
            <a:t>3</a:t>
          </a:r>
          <a:r>
            <a:rPr lang="sr-Latn-CS" sz="1100" b="0" i="0" u="none" strike="noStrike" baseline="0">
              <a:solidFill>
                <a:schemeClr val="dk1"/>
              </a:solidFill>
              <a:effectLst/>
              <a:latin typeface="+mn-lt"/>
              <a:ea typeface="+mn-ea"/>
              <a:cs typeface="+mn-cs"/>
            </a:rPr>
            <a:t>.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a:t>
          </a:r>
          <a:r>
            <a:rPr lang="en-US" sz="1100" b="0" i="0" baseline="0">
              <a:solidFill>
                <a:schemeClr val="dk1"/>
              </a:solidFill>
              <a:effectLst/>
              <a:latin typeface="+mn-lt"/>
              <a:ea typeface="+mn-ea"/>
              <a:cs typeface="+mn-cs"/>
            </a:rPr>
            <a:t>3</a:t>
          </a:r>
          <a:r>
            <a:rPr lang="sr-Latn-ME" sz="1100" b="0" i="0" baseline="0">
              <a:solidFill>
                <a:schemeClr val="dk1"/>
              </a:solidFill>
              <a:effectLst/>
              <a:latin typeface="+mn-lt"/>
              <a:ea typeface="+mn-ea"/>
              <a:cs typeface="+mn-cs"/>
            </a:rPr>
            <a:t>.</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2"/>
  <sheetViews>
    <sheetView tabSelected="1" zoomScaleNormal="100" workbookViewId="0">
      <selection activeCell="I18" sqref="I18"/>
    </sheetView>
  </sheetViews>
  <sheetFormatPr defaultRowHeight="12.75"/>
  <cols>
    <col min="4" max="4" width="25.28515625" customWidth="1"/>
    <col min="7" max="7" width="24.28515625" customWidth="1"/>
    <col min="10" max="10" width="26.42578125" customWidth="1"/>
  </cols>
  <sheetData>
    <row r="2" spans="2:11">
      <c r="D2" s="67" t="s">
        <v>169</v>
      </c>
    </row>
    <row r="3" spans="2:11">
      <c r="D3" s="67" t="s">
        <v>181</v>
      </c>
    </row>
    <row r="4" spans="2:11">
      <c r="D4" s="67" t="s">
        <v>170</v>
      </c>
    </row>
    <row r="5" spans="2:11" ht="13.5" thickBot="1"/>
    <row r="6" spans="2:11">
      <c r="B6" s="45"/>
      <c r="C6" s="46"/>
      <c r="D6" s="46"/>
      <c r="E6" s="46"/>
      <c r="F6" s="46"/>
      <c r="G6" s="46"/>
      <c r="H6" s="46"/>
      <c r="I6" s="46"/>
      <c r="J6" s="46"/>
      <c r="K6" s="47"/>
    </row>
    <row r="7" spans="2:11">
      <c r="B7" s="48"/>
      <c r="C7" s="113" t="s">
        <v>163</v>
      </c>
      <c r="D7" s="113"/>
      <c r="E7" s="49"/>
      <c r="F7" s="113" t="s">
        <v>164</v>
      </c>
      <c r="G7" s="113"/>
      <c r="H7" s="49"/>
      <c r="I7" s="113" t="s">
        <v>165</v>
      </c>
      <c r="J7" s="113"/>
      <c r="K7" s="50"/>
    </row>
    <row r="8" spans="2:11">
      <c r="B8" s="48"/>
      <c r="C8" s="51"/>
      <c r="D8" s="49"/>
      <c r="E8" s="49"/>
      <c r="F8" s="49"/>
      <c r="G8" s="49"/>
      <c r="H8" s="49"/>
      <c r="I8" s="49"/>
      <c r="J8" s="49"/>
      <c r="K8" s="50"/>
    </row>
    <row r="9" spans="2:11" ht="15">
      <c r="B9" s="48"/>
      <c r="C9" s="52" t="s">
        <v>166</v>
      </c>
      <c r="D9" s="53"/>
      <c r="E9" s="53"/>
      <c r="F9" s="52" t="str">
        <f>+C9</f>
        <v>Prihodi/Revenues</v>
      </c>
      <c r="G9" s="54"/>
      <c r="H9" s="55"/>
      <c r="I9" s="52" t="str">
        <f>+F9</f>
        <v>Prihodi/Revenues</v>
      </c>
      <c r="J9" s="54"/>
      <c r="K9" s="50"/>
    </row>
    <row r="10" spans="2:11">
      <c r="B10" s="48"/>
      <c r="C10" s="56">
        <f>+'Centralna država-ek klas'!C6</f>
        <v>578586044.56000006</v>
      </c>
      <c r="D10" s="57">
        <f>+'Centralna država-ek klas'!D6</f>
        <v>8.2255621916406039</v>
      </c>
      <c r="E10" s="49"/>
      <c r="F10" s="58">
        <f>+'Lokalna država-ek klas '!C6</f>
        <v>93179729.049999997</v>
      </c>
      <c r="G10" s="57">
        <f>+'Lokalna država-ek klas '!D6</f>
        <v>1.3247047064259312</v>
      </c>
      <c r="H10" s="55"/>
      <c r="I10" s="58">
        <f>+'Opšta država-ek klas'!C6</f>
        <v>671765773.61000001</v>
      </c>
      <c r="J10" s="57">
        <f>+'Opšta država-ek klas'!D6</f>
        <v>9.5502668980665337</v>
      </c>
      <c r="K10" s="50"/>
    </row>
    <row r="11" spans="2:11">
      <c r="B11" s="48"/>
      <c r="C11" s="59" t="s">
        <v>161</v>
      </c>
      <c r="D11" s="59" t="s">
        <v>162</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167</v>
      </c>
      <c r="D13" s="55"/>
      <c r="E13" s="49"/>
      <c r="F13" s="52" t="str">
        <f>+C13</f>
        <v>Rashodi/Expenditures</v>
      </c>
      <c r="G13" s="54"/>
      <c r="H13" s="55"/>
      <c r="I13" s="52" t="str">
        <f>+F13</f>
        <v>Rashodi/Expenditures</v>
      </c>
      <c r="J13" s="54"/>
      <c r="K13" s="50"/>
    </row>
    <row r="14" spans="2:11">
      <c r="B14" s="48"/>
      <c r="C14" s="56">
        <f>+'Centralna država-ek klas'!C39</f>
        <v>583416708.23000002</v>
      </c>
      <c r="D14" s="57">
        <f>+'Centralna država-ek klas'!D39</f>
        <v>8.2942381039237976</v>
      </c>
      <c r="E14" s="49"/>
      <c r="F14" s="58">
        <f>+'Lokalna država-ek klas '!C37</f>
        <v>75472667.782999992</v>
      </c>
      <c r="G14" s="57">
        <f>+'Lokalna država-ek klas '!D37</f>
        <v>1.0729694026585157</v>
      </c>
      <c r="H14" s="55"/>
      <c r="I14" s="58">
        <f>+'Opšta država-ek klas'!C27</f>
        <v>658889376.01299989</v>
      </c>
      <c r="J14" s="57">
        <f>+'Opšta država-ek klas'!D27</f>
        <v>9.3672075065823126</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168</v>
      </c>
      <c r="D17" s="49"/>
      <c r="E17" s="49"/>
      <c r="F17" s="52" t="str">
        <f>+C17</f>
        <v>Budžetski bilans/ Budget balance</v>
      </c>
      <c r="G17" s="54"/>
      <c r="H17" s="55"/>
      <c r="I17" s="52" t="str">
        <f>+F17</f>
        <v>Budžetski bilans/ Budget balance</v>
      </c>
      <c r="J17" s="54"/>
      <c r="K17" s="50"/>
    </row>
    <row r="18" spans="2:11">
      <c r="B18" s="48"/>
      <c r="C18" s="56">
        <f>+'Centralna država-ek klas'!C62</f>
        <v>-4830663.6699999571</v>
      </c>
      <c r="D18" s="57">
        <f>+'Centralna država-ek klas'!D62</f>
        <v>-6.8675912283195292E-2</v>
      </c>
      <c r="E18" s="49"/>
      <c r="F18" s="58">
        <f>+'Lokalna država-ek klas '!C55</f>
        <v>17707061.267000005</v>
      </c>
      <c r="G18" s="57">
        <f>+'Lokalna država-ek klas '!D55</f>
        <v>0.25173530376741549</v>
      </c>
      <c r="H18" s="55"/>
      <c r="I18" s="58">
        <f>+'Opšta država-ek klas'!C45</f>
        <v>12876397.597000122</v>
      </c>
      <c r="J18" s="57">
        <f>+'Opšta država-ek klas'!D45</f>
        <v>0.18305939148422123</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23" spans="2:11">
      <c r="D23" s="90"/>
    </row>
    <row r="24" spans="2:11">
      <c r="D24" s="90"/>
    </row>
    <row r="25" spans="2:11">
      <c r="D25" s="90"/>
    </row>
    <row r="41" spans="19:19" ht="15">
      <c r="S41" s="68"/>
    </row>
    <row r="42" spans="19:19" ht="15">
      <c r="S42" s="68"/>
    </row>
  </sheetData>
  <sheetProtection algorithmName="SHA-512" hashValue="so7/z7c1g0pZ4qAaXqs4w3i3sFbXVVPMQOFmqmKS/8tBWFke8cS0bBQuXMNBwukc4hrZi2lYB6CUaBAqw9s9GQ==" saltValue="8jFcteNIQaEZU2haFXaM7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A82"/>
  <sheetViews>
    <sheetView zoomScale="90" zoomScaleNormal="90" zoomScaleSheetLayoutView="90" workbookViewId="0">
      <pane ySplit="5" topLeftCell="A6" activePane="bottomLeft" state="frozen"/>
      <selection activeCell="G14" sqref="G14"/>
      <selection pane="bottomLeft" activeCell="H9" sqref="H9"/>
    </sheetView>
  </sheetViews>
  <sheetFormatPr defaultColWidth="9.140625" defaultRowHeight="13.5"/>
  <cols>
    <col min="1" max="1" width="13.28515625" style="4" customWidth="1"/>
    <col min="2" max="2" width="65.7109375" style="4" bestFit="1" customWidth="1"/>
    <col min="3" max="3" width="12.28515625" style="6" customWidth="1"/>
    <col min="4" max="4" width="9.7109375" style="4" customWidth="1"/>
    <col min="5" max="5" width="10.5703125" style="6" customWidth="1"/>
    <col min="6" max="6" width="10.140625" style="7" customWidth="1"/>
    <col min="7" max="7" width="11.140625" style="6" customWidth="1"/>
    <col min="8" max="8" width="11.5703125" style="98" customWidth="1"/>
    <col min="9" max="9" width="11.140625" style="6" customWidth="1"/>
    <col min="10" max="10" width="10.28515625" style="7" customWidth="1"/>
    <col min="11" max="11" width="10.7109375" style="6" customWidth="1"/>
    <col min="12" max="12" width="12" style="98" customWidth="1"/>
    <col min="13" max="13" width="59.5703125" style="4" bestFit="1" customWidth="1"/>
    <col min="14" max="14" width="9.140625" style="1"/>
    <col min="15" max="16" width="13.85546875" style="1" bestFit="1" customWidth="1"/>
    <col min="17" max="16384" width="9.140625" style="1"/>
  </cols>
  <sheetData>
    <row r="1" spans="1:13" ht="18.75" customHeight="1" thickBot="1">
      <c r="B1" s="5"/>
      <c r="M1" s="5"/>
    </row>
    <row r="2" spans="1:13" ht="15.75" customHeight="1" thickBot="1">
      <c r="A2" s="8" t="s">
        <v>58</v>
      </c>
      <c r="B2" s="8"/>
      <c r="C2" s="114">
        <v>7034000000</v>
      </c>
      <c r="D2" s="115"/>
      <c r="E2" s="114">
        <v>7034000000</v>
      </c>
      <c r="F2" s="115"/>
      <c r="G2" s="9"/>
      <c r="H2" s="99"/>
      <c r="I2" s="114">
        <v>6847118000</v>
      </c>
      <c r="J2" s="115"/>
      <c r="K2" s="9"/>
      <c r="L2" s="99"/>
      <c r="M2" s="8" t="s">
        <v>78</v>
      </c>
    </row>
    <row r="3" spans="1:13" ht="15" customHeight="1" thickBot="1">
      <c r="A3" s="8"/>
      <c r="B3" s="8"/>
      <c r="C3" s="11"/>
      <c r="D3" s="8"/>
      <c r="E3" s="11"/>
      <c r="F3" s="10"/>
      <c r="G3" s="11"/>
      <c r="H3" s="99"/>
      <c r="I3" s="11"/>
      <c r="J3" s="10"/>
      <c r="K3" s="11"/>
      <c r="L3" s="99"/>
      <c r="M3" s="8"/>
    </row>
    <row r="4" spans="1:13" ht="15" customHeight="1">
      <c r="A4" s="120" t="s">
        <v>70</v>
      </c>
      <c r="B4" s="118" t="s">
        <v>71</v>
      </c>
      <c r="C4" s="124" t="s">
        <v>195</v>
      </c>
      <c r="D4" s="125"/>
      <c r="E4" s="126" t="s">
        <v>194</v>
      </c>
      <c r="F4" s="127"/>
      <c r="G4" s="122" t="s">
        <v>171</v>
      </c>
      <c r="H4" s="123"/>
      <c r="I4" s="122" t="s">
        <v>196</v>
      </c>
      <c r="J4" s="123"/>
      <c r="K4" s="122" t="s">
        <v>171</v>
      </c>
      <c r="L4" s="123"/>
      <c r="M4" s="116" t="s">
        <v>148</v>
      </c>
    </row>
    <row r="5" spans="1:13" ht="27" customHeight="1">
      <c r="A5" s="121"/>
      <c r="B5" s="119"/>
      <c r="C5" s="12" t="s">
        <v>61</v>
      </c>
      <c r="D5" s="13" t="s">
        <v>56</v>
      </c>
      <c r="E5" s="12" t="s">
        <v>61</v>
      </c>
      <c r="F5" s="13" t="s">
        <v>56</v>
      </c>
      <c r="G5" s="12" t="s">
        <v>64</v>
      </c>
      <c r="H5" s="100" t="s">
        <v>62</v>
      </c>
      <c r="I5" s="12" t="s">
        <v>61</v>
      </c>
      <c r="J5" s="14" t="s">
        <v>56</v>
      </c>
      <c r="K5" s="12" t="s">
        <v>61</v>
      </c>
      <c r="L5" s="102" t="s">
        <v>62</v>
      </c>
      <c r="M5" s="117"/>
    </row>
    <row r="6" spans="1:13" ht="15" customHeight="1">
      <c r="A6" s="15"/>
      <c r="B6" s="16" t="s">
        <v>51</v>
      </c>
      <c r="C6" s="17">
        <f>+C7+C15+C20+C25+C32+C37+C38</f>
        <v>578586044.56000006</v>
      </c>
      <c r="D6" s="39">
        <f>+C6/$C$2*100</f>
        <v>8.2255621916406039</v>
      </c>
      <c r="E6" s="17">
        <f>+E7+E15+E20+E25+E32+E37+E38</f>
        <v>532898560.01477766</v>
      </c>
      <c r="F6" s="39">
        <f>IFERROR(E6/$E$2*100,0)</f>
        <v>7.5760386695305328</v>
      </c>
      <c r="G6" s="17">
        <f>+C6-E6</f>
        <v>45687484.545222402</v>
      </c>
      <c r="H6" s="95">
        <f>IFERROR(C6/E6*100-100,0)</f>
        <v>8.5733923814610193</v>
      </c>
      <c r="I6" s="17">
        <f>+I7+I15+I20+I25+I32+I37+I38</f>
        <v>542458646.07999992</v>
      </c>
      <c r="J6" s="39">
        <f>+I6/$I$2*100</f>
        <v>7.9224375288990192</v>
      </c>
      <c r="K6" s="17">
        <f>+C6-I6</f>
        <v>36127398.480000138</v>
      </c>
      <c r="L6" s="95">
        <f>IFERROR(C6/I6*100-100,0)</f>
        <v>6.6599359676667831</v>
      </c>
      <c r="M6" s="82" t="s">
        <v>149</v>
      </c>
    </row>
    <row r="7" spans="1:13" ht="15" customHeight="1">
      <c r="A7" s="18">
        <v>711</v>
      </c>
      <c r="B7" s="19" t="s">
        <v>1</v>
      </c>
      <c r="C7" s="20">
        <f>+SUM(C8:C14)</f>
        <v>427877926.18000001</v>
      </c>
      <c r="D7" s="40">
        <f t="shared" ref="D7:D72" si="0">+C7/$C$2*100</f>
        <v>6.0829958228603926</v>
      </c>
      <c r="E7" s="20">
        <f>+SUM(E8:E14)</f>
        <v>393735068.62901068</v>
      </c>
      <c r="F7" s="40">
        <f t="shared" ref="F7:F70" si="1">IFERROR(E7/$E$2*100,0)</f>
        <v>5.5975983598096484</v>
      </c>
      <c r="G7" s="20">
        <f t="shared" ref="G7:G62" si="2">+C7-E7</f>
        <v>34142857.55098933</v>
      </c>
      <c r="H7" s="91">
        <f t="shared" ref="H7:H70" si="3">IFERROR(C7/E7*100-100,0)</f>
        <v>8.6715307503278893</v>
      </c>
      <c r="I7" s="20">
        <f>+SUM(I8:I14)</f>
        <v>346379169.55999994</v>
      </c>
      <c r="J7" s="40">
        <f t="shared" ref="J7:J72" si="4">+I7/$I$2*100</f>
        <v>5.0587585836844049</v>
      </c>
      <c r="K7" s="20">
        <f t="shared" ref="K7:K38" si="5">+C7-I7</f>
        <v>81498756.620000064</v>
      </c>
      <c r="L7" s="91">
        <f t="shared" ref="L7:L70" si="6">IFERROR(C7/I7*100-100,0)</f>
        <v>23.528769562998448</v>
      </c>
      <c r="M7" s="73" t="s">
        <v>79</v>
      </c>
    </row>
    <row r="8" spans="1:13" ht="15" customHeight="1">
      <c r="A8" s="21">
        <v>7111</v>
      </c>
      <c r="B8" s="22" t="s">
        <v>2</v>
      </c>
      <c r="C8" s="23">
        <v>14935475.9</v>
      </c>
      <c r="D8" s="41">
        <f t="shared" si="0"/>
        <v>0.21233261160079614</v>
      </c>
      <c r="E8" s="23">
        <v>11658133.296172641</v>
      </c>
      <c r="F8" s="41">
        <f t="shared" si="1"/>
        <v>0.16573973978067444</v>
      </c>
      <c r="G8" s="23">
        <f t="shared" si="2"/>
        <v>3277342.6038273592</v>
      </c>
      <c r="H8" s="96">
        <f t="shared" si="3"/>
        <v>28.112070093617035</v>
      </c>
      <c r="I8" s="23">
        <v>9585491.3500000015</v>
      </c>
      <c r="J8" s="41">
        <f t="shared" si="4"/>
        <v>0.13999307957011989</v>
      </c>
      <c r="K8" s="23">
        <f t="shared" si="5"/>
        <v>5349984.5499999989</v>
      </c>
      <c r="L8" s="96">
        <f t="shared" si="6"/>
        <v>55.813357444634278</v>
      </c>
      <c r="M8" s="74" t="s">
        <v>80</v>
      </c>
    </row>
    <row r="9" spans="1:13" ht="15" customHeight="1">
      <c r="A9" s="21">
        <v>7112</v>
      </c>
      <c r="B9" s="22" t="s">
        <v>3</v>
      </c>
      <c r="C9" s="23">
        <v>78934015.350000009</v>
      </c>
      <c r="D9" s="41">
        <f t="shared" si="0"/>
        <v>1.1221782108330964</v>
      </c>
      <c r="E9" s="23">
        <v>46458251.597618058</v>
      </c>
      <c r="F9" s="41">
        <f t="shared" si="1"/>
        <v>0.66048125671905111</v>
      </c>
      <c r="G9" s="23">
        <f t="shared" si="2"/>
        <v>32475763.752381951</v>
      </c>
      <c r="H9" s="96">
        <f t="shared" si="3"/>
        <v>69.903112225702017</v>
      </c>
      <c r="I9" s="23">
        <v>42686712.359999999</v>
      </c>
      <c r="J9" s="41">
        <f t="shared" si="4"/>
        <v>0.62342597805383226</v>
      </c>
      <c r="K9" s="23">
        <f t="shared" si="5"/>
        <v>36247302.99000001</v>
      </c>
      <c r="L9" s="96">
        <f t="shared" si="6"/>
        <v>84.914721668670609</v>
      </c>
      <c r="M9" s="74" t="s">
        <v>81</v>
      </c>
    </row>
    <row r="10" spans="1:13" ht="15" customHeight="1">
      <c r="A10" s="21">
        <v>7113</v>
      </c>
      <c r="B10" s="22" t="s">
        <v>4</v>
      </c>
      <c r="C10" s="23">
        <v>0</v>
      </c>
      <c r="D10" s="41">
        <f t="shared" si="0"/>
        <v>0</v>
      </c>
      <c r="E10" s="23">
        <v>0</v>
      </c>
      <c r="F10" s="41">
        <f t="shared" si="1"/>
        <v>0</v>
      </c>
      <c r="G10" s="23">
        <f t="shared" si="2"/>
        <v>0</v>
      </c>
      <c r="H10" s="96">
        <f t="shared" si="3"/>
        <v>0</v>
      </c>
      <c r="I10" s="23">
        <v>0</v>
      </c>
      <c r="J10" s="41">
        <f t="shared" si="4"/>
        <v>0</v>
      </c>
      <c r="K10" s="23">
        <f t="shared" si="5"/>
        <v>0</v>
      </c>
      <c r="L10" s="96">
        <f t="shared" si="6"/>
        <v>0</v>
      </c>
      <c r="M10" s="74" t="s">
        <v>82</v>
      </c>
    </row>
    <row r="11" spans="1:13" ht="15" customHeight="1">
      <c r="A11" s="21">
        <v>7114</v>
      </c>
      <c r="B11" s="22" t="s">
        <v>5</v>
      </c>
      <c r="C11" s="23">
        <v>252353543.47999999</v>
      </c>
      <c r="D11" s="41">
        <f t="shared" si="0"/>
        <v>3.5876250139323287</v>
      </c>
      <c r="E11" s="23">
        <v>252152747.91851854</v>
      </c>
      <c r="F11" s="41">
        <f t="shared" si="1"/>
        <v>3.584770371318148</v>
      </c>
      <c r="G11" s="23">
        <f t="shared" si="2"/>
        <v>200795.56148144603</v>
      </c>
      <c r="H11" s="96">
        <f t="shared" si="3"/>
        <v>7.9632509714429034E-2</v>
      </c>
      <c r="I11" s="23">
        <v>221766123.17000002</v>
      </c>
      <c r="J11" s="41">
        <f t="shared" si="4"/>
        <v>3.2388243224375572</v>
      </c>
      <c r="K11" s="23">
        <f t="shared" si="5"/>
        <v>30587420.309999973</v>
      </c>
      <c r="L11" s="96">
        <f t="shared" si="6"/>
        <v>13.792647800652787</v>
      </c>
      <c r="M11" s="74" t="s">
        <v>83</v>
      </c>
    </row>
    <row r="12" spans="1:13" ht="15" customHeight="1">
      <c r="A12" s="21">
        <v>7115</v>
      </c>
      <c r="B12" s="22" t="s">
        <v>6</v>
      </c>
      <c r="C12" s="23">
        <v>66917981.88000001</v>
      </c>
      <c r="D12" s="41">
        <f t="shared" si="0"/>
        <v>0.95135032527722507</v>
      </c>
      <c r="E12" s="23">
        <v>69005512.769063264</v>
      </c>
      <c r="F12" s="41">
        <f t="shared" si="1"/>
        <v>0.98102804619083406</v>
      </c>
      <c r="G12" s="23">
        <f t="shared" si="2"/>
        <v>-2087530.889063254</v>
      </c>
      <c r="H12" s="96">
        <f t="shared" si="3"/>
        <v>-3.0251653893935639</v>
      </c>
      <c r="I12" s="23">
        <v>58304564.960000001</v>
      </c>
      <c r="J12" s="41">
        <f t="shared" si="4"/>
        <v>0.85151979212275875</v>
      </c>
      <c r="K12" s="23">
        <f t="shared" si="5"/>
        <v>8613416.9200000092</v>
      </c>
      <c r="L12" s="96">
        <f t="shared" si="6"/>
        <v>14.773143279448647</v>
      </c>
      <c r="M12" s="74" t="s">
        <v>84</v>
      </c>
    </row>
    <row r="13" spans="1:13" ht="15" customHeight="1">
      <c r="A13" s="21">
        <v>7116</v>
      </c>
      <c r="B13" s="22" t="s">
        <v>7</v>
      </c>
      <c r="C13" s="23">
        <v>11483332.48</v>
      </c>
      <c r="D13" s="41">
        <f t="shared" si="0"/>
        <v>0.16325465567244812</v>
      </c>
      <c r="E13" s="23">
        <v>11433900.715892974</v>
      </c>
      <c r="F13" s="41">
        <f t="shared" si="1"/>
        <v>0.16255190099364478</v>
      </c>
      <c r="G13" s="23">
        <f t="shared" si="2"/>
        <v>49431.76410702616</v>
      </c>
      <c r="H13" s="96">
        <f t="shared" si="3"/>
        <v>0.432326336700811</v>
      </c>
      <c r="I13" s="23">
        <v>11131991.879999999</v>
      </c>
      <c r="J13" s="41">
        <f t="shared" si="4"/>
        <v>0.16257923231350765</v>
      </c>
      <c r="K13" s="23">
        <f t="shared" si="5"/>
        <v>351340.60000000149</v>
      </c>
      <c r="L13" s="96">
        <f t="shared" si="6"/>
        <v>3.1561341742552713</v>
      </c>
      <c r="M13" s="74" t="s">
        <v>85</v>
      </c>
    </row>
    <row r="14" spans="1:13" ht="15" customHeight="1">
      <c r="A14" s="21">
        <v>7118</v>
      </c>
      <c r="B14" s="22" t="s">
        <v>60</v>
      </c>
      <c r="C14" s="23">
        <v>3253577.09</v>
      </c>
      <c r="D14" s="41">
        <f t="shared" si="0"/>
        <v>4.625500554449815E-2</v>
      </c>
      <c r="E14" s="23">
        <v>3026522.3317451864</v>
      </c>
      <c r="F14" s="41">
        <f t="shared" si="1"/>
        <v>4.30270448072958E-2</v>
      </c>
      <c r="G14" s="23">
        <f t="shared" si="2"/>
        <v>227054.7582548135</v>
      </c>
      <c r="H14" s="96">
        <f t="shared" si="3"/>
        <v>7.5021669548985841</v>
      </c>
      <c r="I14" s="23">
        <v>2904285.84</v>
      </c>
      <c r="J14" s="41">
        <f t="shared" si="4"/>
        <v>4.241617918663005E-2</v>
      </c>
      <c r="K14" s="23">
        <f t="shared" si="5"/>
        <v>349291.25</v>
      </c>
      <c r="L14" s="96">
        <f t="shared" si="6"/>
        <v>12.026751815861218</v>
      </c>
      <c r="M14" s="74" t="s">
        <v>86</v>
      </c>
    </row>
    <row r="15" spans="1:13" ht="15" customHeight="1">
      <c r="A15" s="18">
        <v>712</v>
      </c>
      <c r="B15" s="19" t="s">
        <v>8</v>
      </c>
      <c r="C15" s="20">
        <f>+SUM(C16:C19)</f>
        <v>114836678.37</v>
      </c>
      <c r="D15" s="40">
        <f t="shared" si="0"/>
        <v>1.6325942332954222</v>
      </c>
      <c r="E15" s="20">
        <f>+SUM(E16:E19)</f>
        <v>104833302.73665424</v>
      </c>
      <c r="F15" s="40">
        <f t="shared" si="1"/>
        <v>1.4903796237795597</v>
      </c>
      <c r="G15" s="20">
        <f t="shared" si="2"/>
        <v>10003375.633345768</v>
      </c>
      <c r="H15" s="91">
        <f t="shared" si="3"/>
        <v>9.5421735004139805</v>
      </c>
      <c r="I15" s="20">
        <f>+SUM(I16:I19)</f>
        <v>99782844.020000011</v>
      </c>
      <c r="J15" s="40">
        <f t="shared" si="4"/>
        <v>1.4572969827597539</v>
      </c>
      <c r="K15" s="20">
        <f t="shared" si="5"/>
        <v>15053834.349999994</v>
      </c>
      <c r="L15" s="91">
        <f t="shared" si="6"/>
        <v>15.086595794947158</v>
      </c>
      <c r="M15" s="73" t="s">
        <v>87</v>
      </c>
    </row>
    <row r="16" spans="1:13" ht="15" customHeight="1">
      <c r="A16" s="21">
        <v>7121</v>
      </c>
      <c r="B16" s="22" t="s">
        <v>9</v>
      </c>
      <c r="C16" s="23">
        <v>105260618.40000001</v>
      </c>
      <c r="D16" s="41">
        <f t="shared" si="0"/>
        <v>1.4964546261017915</v>
      </c>
      <c r="E16" s="23">
        <v>96992507.786928236</v>
      </c>
      <c r="F16" s="41">
        <f t="shared" si="1"/>
        <v>1.3789096927342654</v>
      </c>
      <c r="G16" s="23">
        <f t="shared" si="2"/>
        <v>8268110.6130717695</v>
      </c>
      <c r="H16" s="96">
        <f t="shared" si="3"/>
        <v>8.5244837995477383</v>
      </c>
      <c r="I16" s="23">
        <v>91227855.520000011</v>
      </c>
      <c r="J16" s="41">
        <f t="shared" si="4"/>
        <v>1.3323540724725353</v>
      </c>
      <c r="K16" s="23">
        <f t="shared" si="5"/>
        <v>14032762.879999995</v>
      </c>
      <c r="L16" s="96">
        <f t="shared" si="6"/>
        <v>15.382103196455787</v>
      </c>
      <c r="M16" s="74" t="s">
        <v>88</v>
      </c>
    </row>
    <row r="17" spans="1:13" ht="15" customHeight="1">
      <c r="A17" s="21">
        <v>7122</v>
      </c>
      <c r="B17" s="22" t="s">
        <v>10</v>
      </c>
      <c r="C17" s="23">
        <v>1184664.5899999999</v>
      </c>
      <c r="D17" s="41">
        <f t="shared" si="0"/>
        <v>1.684197597384134E-2</v>
      </c>
      <c r="E17" s="23">
        <v>584736.12543978193</v>
      </c>
      <c r="F17" s="41">
        <f t="shared" si="1"/>
        <v>8.3129958123369617E-3</v>
      </c>
      <c r="G17" s="23">
        <f t="shared" si="2"/>
        <v>599928.46456021792</v>
      </c>
      <c r="H17" s="96">
        <f t="shared" si="3"/>
        <v>102.59815298892465</v>
      </c>
      <c r="I17" s="23">
        <v>1370337.46</v>
      </c>
      <c r="J17" s="41">
        <f t="shared" si="4"/>
        <v>2.0013346637227515E-2</v>
      </c>
      <c r="K17" s="23">
        <f t="shared" si="5"/>
        <v>-185672.87000000011</v>
      </c>
      <c r="L17" s="96">
        <f t="shared" si="6"/>
        <v>-13.549426722962096</v>
      </c>
      <c r="M17" s="74" t="s">
        <v>89</v>
      </c>
    </row>
    <row r="18" spans="1:13" ht="15" customHeight="1">
      <c r="A18" s="21">
        <v>7123</v>
      </c>
      <c r="B18" s="22" t="s">
        <v>11</v>
      </c>
      <c r="C18" s="23">
        <v>4910225.5500000007</v>
      </c>
      <c r="D18" s="41">
        <f t="shared" si="0"/>
        <v>6.9807016633494465E-2</v>
      </c>
      <c r="E18" s="23">
        <v>4122467.2931547426</v>
      </c>
      <c r="F18" s="41">
        <f t="shared" si="1"/>
        <v>5.8607723815108648E-2</v>
      </c>
      <c r="G18" s="23">
        <f t="shared" si="2"/>
        <v>787758.25684525818</v>
      </c>
      <c r="H18" s="96">
        <f t="shared" si="3"/>
        <v>19.108902529155586</v>
      </c>
      <c r="I18" s="23">
        <v>4160698.2199999997</v>
      </c>
      <c r="J18" s="41">
        <f t="shared" si="4"/>
        <v>6.0765685942611183E-2</v>
      </c>
      <c r="K18" s="23">
        <f t="shared" si="5"/>
        <v>749527.33000000101</v>
      </c>
      <c r="L18" s="96">
        <f t="shared" si="6"/>
        <v>18.014460322959948</v>
      </c>
      <c r="M18" s="74" t="s">
        <v>90</v>
      </c>
    </row>
    <row r="19" spans="1:13" ht="15" customHeight="1">
      <c r="A19" s="21">
        <v>7124</v>
      </c>
      <c r="B19" s="22" t="s">
        <v>12</v>
      </c>
      <c r="C19" s="23">
        <v>3481169.83</v>
      </c>
      <c r="D19" s="41">
        <f t="shared" si="0"/>
        <v>4.949061458629514E-2</v>
      </c>
      <c r="E19" s="23">
        <v>3133591.5311314706</v>
      </c>
      <c r="F19" s="41">
        <f t="shared" si="1"/>
        <v>4.4549211417848601E-2</v>
      </c>
      <c r="G19" s="23">
        <f t="shared" si="2"/>
        <v>347578.2988685295</v>
      </c>
      <c r="H19" s="96">
        <f t="shared" si="3"/>
        <v>11.09201041091103</v>
      </c>
      <c r="I19" s="23">
        <v>3023952.8200000003</v>
      </c>
      <c r="J19" s="41">
        <f t="shared" si="4"/>
        <v>4.4163877707379957E-2</v>
      </c>
      <c r="K19" s="23">
        <f t="shared" si="5"/>
        <v>457217.00999999978</v>
      </c>
      <c r="L19" s="96">
        <f t="shared" si="6"/>
        <v>15.119846016645184</v>
      </c>
      <c r="M19" s="74" t="s">
        <v>91</v>
      </c>
    </row>
    <row r="20" spans="1:13" ht="15" customHeight="1">
      <c r="A20" s="18">
        <v>713</v>
      </c>
      <c r="B20" s="19" t="s">
        <v>13</v>
      </c>
      <c r="C20" s="20">
        <f>SUM(C21:C24)</f>
        <v>2844836.7</v>
      </c>
      <c r="D20" s="40">
        <f t="shared" si="0"/>
        <v>4.0444081603639472E-2</v>
      </c>
      <c r="E20" s="20">
        <f>+SUM(E21:E24)</f>
        <v>2791650.5584288258</v>
      </c>
      <c r="F20" s="40">
        <f t="shared" si="1"/>
        <v>3.9687952209679071E-2</v>
      </c>
      <c r="G20" s="20">
        <f t="shared" si="2"/>
        <v>53186.141571174376</v>
      </c>
      <c r="H20" s="91">
        <f t="shared" si="3"/>
        <v>1.9051862136036277</v>
      </c>
      <c r="I20" s="20">
        <f>+SUM(I21:I24)</f>
        <v>2794260.5699999994</v>
      </c>
      <c r="J20" s="40">
        <f t="shared" si="4"/>
        <v>4.0809294801111937E-2</v>
      </c>
      <c r="K20" s="20">
        <f t="shared" si="5"/>
        <v>50576.13000000082</v>
      </c>
      <c r="L20" s="91">
        <f t="shared" si="6"/>
        <v>1.8100004896823378</v>
      </c>
      <c r="M20" s="73" t="s">
        <v>92</v>
      </c>
    </row>
    <row r="21" spans="1:13" ht="15" customHeight="1">
      <c r="A21" s="21">
        <v>7131</v>
      </c>
      <c r="B21" s="22" t="s">
        <v>14</v>
      </c>
      <c r="C21" s="23">
        <v>2107912.41</v>
      </c>
      <c r="D21" s="41">
        <f t="shared" si="0"/>
        <v>2.9967478106340633E-2</v>
      </c>
      <c r="E21" s="23">
        <v>2181608.4753896873</v>
      </c>
      <c r="F21" s="41">
        <f t="shared" si="1"/>
        <v>3.1015190153393338E-2</v>
      </c>
      <c r="G21" s="23">
        <f t="shared" si="2"/>
        <v>-73696.065389687195</v>
      </c>
      <c r="H21" s="96">
        <f t="shared" si="3"/>
        <v>-3.3780610142029843</v>
      </c>
      <c r="I21" s="23">
        <v>2143302.63</v>
      </c>
      <c r="J21" s="41">
        <f t="shared" si="4"/>
        <v>3.1302259286315783E-2</v>
      </c>
      <c r="K21" s="23">
        <f t="shared" si="5"/>
        <v>-35390.219999999739</v>
      </c>
      <c r="L21" s="96">
        <f t="shared" si="6"/>
        <v>-1.6512003253595537</v>
      </c>
      <c r="M21" s="74" t="s">
        <v>93</v>
      </c>
    </row>
    <row r="22" spans="1:13" ht="15" customHeight="1">
      <c r="A22" s="21">
        <v>7132</v>
      </c>
      <c r="B22" s="22" t="s">
        <v>15</v>
      </c>
      <c r="C22" s="23">
        <v>346154.42000000004</v>
      </c>
      <c r="D22" s="41">
        <f t="shared" si="0"/>
        <v>4.9211603639465456E-3</v>
      </c>
      <c r="E22" s="23">
        <v>203228.7355586146</v>
      </c>
      <c r="F22" s="41">
        <f t="shared" si="1"/>
        <v>2.8892342274468952E-3</v>
      </c>
      <c r="G22" s="23">
        <f t="shared" si="2"/>
        <v>142925.68444138544</v>
      </c>
      <c r="H22" s="96">
        <f t="shared" si="3"/>
        <v>70.327497756912067</v>
      </c>
      <c r="I22" s="23">
        <v>249498.57</v>
      </c>
      <c r="J22" s="41">
        <f t="shared" si="4"/>
        <v>3.6438479663998781E-3</v>
      </c>
      <c r="K22" s="23">
        <f t="shared" si="5"/>
        <v>96655.850000000035</v>
      </c>
      <c r="L22" s="96">
        <f t="shared" si="6"/>
        <v>38.740041676391172</v>
      </c>
      <c r="M22" s="74" t="s">
        <v>94</v>
      </c>
    </row>
    <row r="23" spans="1:13" ht="15" customHeight="1">
      <c r="A23" s="21">
        <v>7133</v>
      </c>
      <c r="B23" s="22" t="s">
        <v>16</v>
      </c>
      <c r="C23" s="23">
        <v>191520.47999999998</v>
      </c>
      <c r="D23" s="41">
        <f t="shared" si="0"/>
        <v>2.7227819164060275E-3</v>
      </c>
      <c r="E23" s="23">
        <v>251794.03206384118</v>
      </c>
      <c r="F23" s="41">
        <f t="shared" si="1"/>
        <v>3.5796706292840655E-3</v>
      </c>
      <c r="G23" s="23">
        <f t="shared" si="2"/>
        <v>-60273.552063841198</v>
      </c>
      <c r="H23" s="96">
        <f t="shared" si="3"/>
        <v>-23.937641241854024</v>
      </c>
      <c r="I23" s="23">
        <v>223866.03</v>
      </c>
      <c r="J23" s="41">
        <f t="shared" si="4"/>
        <v>3.2694927997443594E-3</v>
      </c>
      <c r="K23" s="23">
        <f t="shared" si="5"/>
        <v>-32345.550000000017</v>
      </c>
      <c r="L23" s="96">
        <f t="shared" si="6"/>
        <v>-14.448619113851265</v>
      </c>
      <c r="M23" s="74" t="s">
        <v>95</v>
      </c>
    </row>
    <row r="24" spans="1:13" ht="15" customHeight="1">
      <c r="A24" s="21">
        <v>7136</v>
      </c>
      <c r="B24" s="22" t="s">
        <v>18</v>
      </c>
      <c r="C24" s="23">
        <v>199249.38999999998</v>
      </c>
      <c r="D24" s="41">
        <f t="shared" si="0"/>
        <v>2.8326612169462611E-3</v>
      </c>
      <c r="E24" s="23">
        <v>155019.31541668231</v>
      </c>
      <c r="F24" s="41">
        <f t="shared" si="1"/>
        <v>2.2038571995547668E-3</v>
      </c>
      <c r="G24" s="23">
        <f t="shared" si="2"/>
        <v>44230.074583317677</v>
      </c>
      <c r="H24" s="96">
        <f t="shared" si="3"/>
        <v>28.531976460114009</v>
      </c>
      <c r="I24" s="23">
        <v>177593.34</v>
      </c>
      <c r="J24" s="41">
        <f t="shared" si="4"/>
        <v>2.5936947486519145E-3</v>
      </c>
      <c r="K24" s="23">
        <f t="shared" si="5"/>
        <v>21656.049999999988</v>
      </c>
      <c r="L24" s="96">
        <f t="shared" si="6"/>
        <v>12.194179128564159</v>
      </c>
      <c r="M24" s="74" t="s">
        <v>96</v>
      </c>
    </row>
    <row r="25" spans="1:13" ht="15" customHeight="1">
      <c r="A25" s="18">
        <v>714</v>
      </c>
      <c r="B25" s="19" t="s">
        <v>19</v>
      </c>
      <c r="C25" s="20">
        <f>+SUM(C26:C31)</f>
        <v>10100640.5</v>
      </c>
      <c r="D25" s="40">
        <f t="shared" si="0"/>
        <v>0.14359739124253626</v>
      </c>
      <c r="E25" s="20">
        <f>+SUM(E26:E31)</f>
        <v>9638683.1341650672</v>
      </c>
      <c r="F25" s="40">
        <f t="shared" si="1"/>
        <v>0.13702989954741351</v>
      </c>
      <c r="G25" s="20">
        <f t="shared" si="2"/>
        <v>461957.36583493277</v>
      </c>
      <c r="H25" s="91">
        <f t="shared" si="3"/>
        <v>4.7927435667792508</v>
      </c>
      <c r="I25" s="20">
        <f>+SUM(I26:I31)</f>
        <v>18868186.140000001</v>
      </c>
      <c r="J25" s="40">
        <f t="shared" si="4"/>
        <v>0.275563910830805</v>
      </c>
      <c r="K25" s="20">
        <f t="shared" si="5"/>
        <v>-8767545.6400000006</v>
      </c>
      <c r="L25" s="91">
        <f t="shared" si="6"/>
        <v>-46.467347602709211</v>
      </c>
      <c r="M25" s="73" t="s">
        <v>97</v>
      </c>
    </row>
    <row r="26" spans="1:13" ht="15" customHeight="1">
      <c r="A26" s="21">
        <v>7141</v>
      </c>
      <c r="B26" s="22" t="s">
        <v>20</v>
      </c>
      <c r="C26" s="23">
        <v>290485.14</v>
      </c>
      <c r="D26" s="41">
        <f t="shared" si="0"/>
        <v>4.129729030423657E-3</v>
      </c>
      <c r="E26" s="23">
        <v>422526.17202235147</v>
      </c>
      <c r="F26" s="41">
        <f t="shared" si="1"/>
        <v>6.0069117432805155E-3</v>
      </c>
      <c r="G26" s="23">
        <f t="shared" si="2"/>
        <v>-132041.03202235146</v>
      </c>
      <c r="H26" s="96">
        <f t="shared" si="3"/>
        <v>-31.250379447587576</v>
      </c>
      <c r="I26" s="23">
        <v>730065.7</v>
      </c>
      <c r="J26" s="41">
        <f t="shared" si="4"/>
        <v>1.0662379412768992E-2</v>
      </c>
      <c r="K26" s="23">
        <f t="shared" si="5"/>
        <v>-439580.55999999994</v>
      </c>
      <c r="L26" s="96">
        <f t="shared" si="6"/>
        <v>-60.21109606984686</v>
      </c>
      <c r="M26" s="74" t="s">
        <v>98</v>
      </c>
    </row>
    <row r="27" spans="1:13" ht="15" customHeight="1">
      <c r="A27" s="21">
        <v>7142</v>
      </c>
      <c r="B27" s="22" t="s">
        <v>21</v>
      </c>
      <c r="C27" s="23">
        <v>911940.62</v>
      </c>
      <c r="D27" s="41">
        <f t="shared" si="0"/>
        <v>1.2964751492749503E-2</v>
      </c>
      <c r="E27" s="23">
        <v>717002.83177638263</v>
      </c>
      <c r="F27" s="41">
        <f t="shared" si="1"/>
        <v>1.0193386860625285E-2</v>
      </c>
      <c r="G27" s="23">
        <f t="shared" si="2"/>
        <v>194937.78822361736</v>
      </c>
      <c r="H27" s="96">
        <f t="shared" si="3"/>
        <v>27.187868664431463</v>
      </c>
      <c r="I27" s="23">
        <v>946972.85999999987</v>
      </c>
      <c r="J27" s="41">
        <f t="shared" si="4"/>
        <v>1.3830240109780493E-2</v>
      </c>
      <c r="K27" s="23">
        <f t="shared" si="5"/>
        <v>-35032.239999999874</v>
      </c>
      <c r="L27" s="96">
        <f t="shared" si="6"/>
        <v>-3.6993921874381783</v>
      </c>
      <c r="M27" s="74" t="s">
        <v>99</v>
      </c>
    </row>
    <row r="28" spans="1:13" ht="15" customHeight="1">
      <c r="A28" s="21">
        <v>7143</v>
      </c>
      <c r="B28" s="22" t="s">
        <v>22</v>
      </c>
      <c r="C28" s="23">
        <v>0</v>
      </c>
      <c r="D28" s="41">
        <f t="shared" si="0"/>
        <v>0</v>
      </c>
      <c r="E28" s="23">
        <v>0</v>
      </c>
      <c r="F28" s="41">
        <f t="shared" si="1"/>
        <v>0</v>
      </c>
      <c r="G28" s="23">
        <f t="shared" si="2"/>
        <v>0</v>
      </c>
      <c r="H28" s="96">
        <f t="shared" si="3"/>
        <v>0</v>
      </c>
      <c r="I28" s="23">
        <v>0</v>
      </c>
      <c r="J28" s="41">
        <f t="shared" si="4"/>
        <v>0</v>
      </c>
      <c r="K28" s="23">
        <f t="shared" si="5"/>
        <v>0</v>
      </c>
      <c r="L28" s="96">
        <f t="shared" si="6"/>
        <v>0</v>
      </c>
      <c r="M28" s="74" t="s">
        <v>100</v>
      </c>
    </row>
    <row r="29" spans="1:13" ht="15" customHeight="1">
      <c r="A29" s="21">
        <v>7144</v>
      </c>
      <c r="B29" s="22" t="s">
        <v>23</v>
      </c>
      <c r="C29" s="23">
        <v>3938866.86</v>
      </c>
      <c r="D29" s="41">
        <f t="shared" si="0"/>
        <v>5.599753852715382E-2</v>
      </c>
      <c r="E29" s="23">
        <v>3390326.8319437276</v>
      </c>
      <c r="F29" s="41">
        <f t="shared" si="1"/>
        <v>4.8199130394423195E-2</v>
      </c>
      <c r="G29" s="23">
        <f t="shared" si="2"/>
        <v>548540.02805627231</v>
      </c>
      <c r="H29" s="96">
        <f t="shared" si="3"/>
        <v>16.179561890255442</v>
      </c>
      <c r="I29" s="23">
        <v>2498257.0100000002</v>
      </c>
      <c r="J29" s="41">
        <f t="shared" si="4"/>
        <v>3.6486256115346637E-2</v>
      </c>
      <c r="K29" s="23">
        <f t="shared" si="5"/>
        <v>1440609.8499999996</v>
      </c>
      <c r="L29" s="96">
        <f t="shared" si="6"/>
        <v>57.664597526737225</v>
      </c>
      <c r="M29" s="74" t="s">
        <v>101</v>
      </c>
    </row>
    <row r="30" spans="1:13" ht="15" customHeight="1">
      <c r="A30" s="21">
        <v>7148</v>
      </c>
      <c r="B30" s="22" t="s">
        <v>24</v>
      </c>
      <c r="C30" s="78">
        <v>460296.15</v>
      </c>
      <c r="D30" s="41">
        <f t="shared" si="0"/>
        <v>6.5438747512084165E-3</v>
      </c>
      <c r="E30" s="78">
        <v>572778.66842260689</v>
      </c>
      <c r="F30" s="41">
        <f t="shared" si="1"/>
        <v>8.1430006884078317E-3</v>
      </c>
      <c r="G30" s="78">
        <f t="shared" si="2"/>
        <v>-112482.51842260687</v>
      </c>
      <c r="H30" s="96">
        <f t="shared" si="3"/>
        <v>-19.638042515161388</v>
      </c>
      <c r="I30" s="78">
        <v>647968.26</v>
      </c>
      <c r="J30" s="41">
        <f t="shared" si="4"/>
        <v>9.4633721808211856E-3</v>
      </c>
      <c r="K30" s="78">
        <f t="shared" si="5"/>
        <v>-187672.11</v>
      </c>
      <c r="L30" s="96">
        <f t="shared" si="6"/>
        <v>-28.963164029052905</v>
      </c>
      <c r="M30" s="74" t="s">
        <v>102</v>
      </c>
    </row>
    <row r="31" spans="1:13" ht="15" customHeight="1">
      <c r="A31" s="21">
        <v>7149</v>
      </c>
      <c r="B31" s="22" t="s">
        <v>25</v>
      </c>
      <c r="C31" s="78">
        <v>4499051.7300000004</v>
      </c>
      <c r="D31" s="41">
        <f t="shared" si="0"/>
        <v>6.3961497441000853E-2</v>
      </c>
      <c r="E31" s="78">
        <v>4536048.63</v>
      </c>
      <c r="F31" s="41">
        <f t="shared" si="1"/>
        <v>6.4487469860676702E-2</v>
      </c>
      <c r="G31" s="78">
        <f t="shared" si="2"/>
        <v>-36996.899999999441</v>
      </c>
      <c r="H31" s="96">
        <f t="shared" si="3"/>
        <v>-0.815619562702949</v>
      </c>
      <c r="I31" s="78">
        <v>14044922.310000001</v>
      </c>
      <c r="J31" s="41">
        <f t="shared" si="4"/>
        <v>0.20512166301208773</v>
      </c>
      <c r="K31" s="78">
        <f t="shared" si="5"/>
        <v>-9545870.5800000001</v>
      </c>
      <c r="L31" s="96">
        <f t="shared" si="6"/>
        <v>-67.966702622508137</v>
      </c>
      <c r="M31" s="74" t="s">
        <v>103</v>
      </c>
    </row>
    <row r="32" spans="1:13" ht="15" customHeight="1">
      <c r="A32" s="18">
        <v>715</v>
      </c>
      <c r="B32" s="19" t="s">
        <v>26</v>
      </c>
      <c r="C32" s="20">
        <f>+SUM(C33:C36)</f>
        <v>15297501.489999998</v>
      </c>
      <c r="D32" s="40">
        <f t="shared" si="0"/>
        <v>0.21747940702303098</v>
      </c>
      <c r="E32" s="20">
        <f>+SUM(E33:E36)</f>
        <v>14549854.956518894</v>
      </c>
      <c r="F32" s="40">
        <f t="shared" si="1"/>
        <v>0.20685036901505394</v>
      </c>
      <c r="G32" s="20">
        <f t="shared" si="2"/>
        <v>747646.5334811043</v>
      </c>
      <c r="H32" s="91">
        <f t="shared" si="3"/>
        <v>5.1385153715647789</v>
      </c>
      <c r="I32" s="20">
        <f>+SUM(I33:I36)</f>
        <v>39893567.919999994</v>
      </c>
      <c r="J32" s="40">
        <f t="shared" si="4"/>
        <v>0.582632983979537</v>
      </c>
      <c r="K32" s="20">
        <f t="shared" si="5"/>
        <v>-24596066.429999996</v>
      </c>
      <c r="L32" s="91">
        <f t="shared" si="6"/>
        <v>-61.654215735537548</v>
      </c>
      <c r="M32" s="73" t="s">
        <v>104</v>
      </c>
    </row>
    <row r="33" spans="1:105" ht="15" customHeight="1">
      <c r="A33" s="21">
        <v>7151</v>
      </c>
      <c r="B33" s="22" t="s">
        <v>27</v>
      </c>
      <c r="C33" s="78">
        <v>3671297.14</v>
      </c>
      <c r="D33" s="41">
        <f t="shared" si="0"/>
        <v>5.2193590275803246E-2</v>
      </c>
      <c r="E33" s="78">
        <v>443313.49782291148</v>
      </c>
      <c r="F33" s="41">
        <f t="shared" si="1"/>
        <v>6.3024381265696832E-3</v>
      </c>
      <c r="G33" s="78">
        <f t="shared" si="2"/>
        <v>3227983.6421770887</v>
      </c>
      <c r="H33" s="96">
        <f t="shared" si="3"/>
        <v>728.1491896884578</v>
      </c>
      <c r="I33" s="78">
        <v>673407.81</v>
      </c>
      <c r="J33" s="41">
        <f t="shared" si="4"/>
        <v>9.8349087893621831E-3</v>
      </c>
      <c r="K33" s="78">
        <f t="shared" si="5"/>
        <v>2997889.33</v>
      </c>
      <c r="L33" s="96">
        <f t="shared" si="6"/>
        <v>445.18184753455716</v>
      </c>
      <c r="M33" s="74" t="s">
        <v>105</v>
      </c>
    </row>
    <row r="34" spans="1:105" ht="15" customHeight="1">
      <c r="A34" s="21">
        <v>7152</v>
      </c>
      <c r="B34" s="22" t="s">
        <v>28</v>
      </c>
      <c r="C34" s="78">
        <v>3877993.87</v>
      </c>
      <c r="D34" s="41">
        <f t="shared" si="0"/>
        <v>5.5132127807790726E-2</v>
      </c>
      <c r="E34" s="78">
        <v>2759448.4237454142</v>
      </c>
      <c r="F34" s="41">
        <f t="shared" si="1"/>
        <v>3.9230145347532192E-2</v>
      </c>
      <c r="G34" s="78">
        <f t="shared" si="2"/>
        <v>1118545.4462545859</v>
      </c>
      <c r="H34" s="96">
        <f t="shared" si="3"/>
        <v>40.535109720817985</v>
      </c>
      <c r="I34" s="78">
        <v>3322168.49</v>
      </c>
      <c r="J34" s="41">
        <f t="shared" si="4"/>
        <v>4.8519223562380552E-2</v>
      </c>
      <c r="K34" s="78">
        <f t="shared" si="5"/>
        <v>555825.37999999989</v>
      </c>
      <c r="L34" s="96">
        <f t="shared" si="6"/>
        <v>16.730800429691612</v>
      </c>
      <c r="M34" s="74" t="s">
        <v>106</v>
      </c>
    </row>
    <row r="35" spans="1:105">
      <c r="A35" s="21">
        <v>7153</v>
      </c>
      <c r="B35" s="22" t="s">
        <v>29</v>
      </c>
      <c r="C35" s="78">
        <v>391924.88</v>
      </c>
      <c r="D35" s="41">
        <f t="shared" si="0"/>
        <v>5.5718635200454935E-3</v>
      </c>
      <c r="E35" s="78">
        <v>449376.33976440795</v>
      </c>
      <c r="F35" s="41">
        <f t="shared" si="1"/>
        <v>6.3886315007734987E-3</v>
      </c>
      <c r="G35" s="78">
        <f t="shared" si="2"/>
        <v>-57451.459764407948</v>
      </c>
      <c r="H35" s="96">
        <f t="shared" si="3"/>
        <v>-12.784709536449483</v>
      </c>
      <c r="I35" s="78">
        <v>389598.14</v>
      </c>
      <c r="J35" s="41">
        <f t="shared" si="4"/>
        <v>5.689958023215023E-3</v>
      </c>
      <c r="K35" s="78">
        <f t="shared" si="5"/>
        <v>2326.7399999999907</v>
      </c>
      <c r="L35" s="96">
        <f t="shared" si="6"/>
        <v>0.59721537684957582</v>
      </c>
      <c r="M35" s="74" t="s">
        <v>107</v>
      </c>
    </row>
    <row r="36" spans="1:105" s="3" customFormat="1" ht="15" customHeight="1">
      <c r="A36" s="21">
        <v>7155</v>
      </c>
      <c r="B36" s="22" t="s">
        <v>26</v>
      </c>
      <c r="C36" s="78">
        <v>7356285.5999999996</v>
      </c>
      <c r="D36" s="41">
        <f t="shared" si="0"/>
        <v>0.10458182541939152</v>
      </c>
      <c r="E36" s="78">
        <v>10897716.695186161</v>
      </c>
      <c r="F36" s="41">
        <f t="shared" si="1"/>
        <v>0.15492915404017857</v>
      </c>
      <c r="G36" s="78">
        <f t="shared" si="2"/>
        <v>-3541431.0951861609</v>
      </c>
      <c r="H36" s="96">
        <f t="shared" si="3"/>
        <v>-32.497000924519483</v>
      </c>
      <c r="I36" s="78">
        <v>35508393.479999997</v>
      </c>
      <c r="J36" s="41">
        <f t="shared" si="4"/>
        <v>0.51858889360457927</v>
      </c>
      <c r="K36" s="78">
        <f t="shared" si="5"/>
        <v>-28152107.879999995</v>
      </c>
      <c r="L36" s="96">
        <f t="shared" si="6"/>
        <v>-79.282966985979229</v>
      </c>
      <c r="M36" s="74" t="s">
        <v>104</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row>
    <row r="37" spans="1:105" ht="15" customHeight="1">
      <c r="A37" s="18">
        <v>73</v>
      </c>
      <c r="B37" s="94" t="s">
        <v>187</v>
      </c>
      <c r="C37" s="20">
        <v>0</v>
      </c>
      <c r="D37" s="40">
        <f t="shared" si="0"/>
        <v>0</v>
      </c>
      <c r="E37" s="20">
        <v>0</v>
      </c>
      <c r="F37" s="40">
        <f t="shared" si="1"/>
        <v>0</v>
      </c>
      <c r="G37" s="20">
        <f t="shared" si="2"/>
        <v>0</v>
      </c>
      <c r="H37" s="91">
        <f t="shared" si="3"/>
        <v>0</v>
      </c>
      <c r="I37" s="20">
        <v>0</v>
      </c>
      <c r="J37" s="40">
        <f t="shared" si="4"/>
        <v>0</v>
      </c>
      <c r="K37" s="20">
        <f t="shared" si="5"/>
        <v>0</v>
      </c>
      <c r="L37" s="91">
        <f t="shared" si="6"/>
        <v>0</v>
      </c>
      <c r="M37" s="73" t="s">
        <v>108</v>
      </c>
    </row>
    <row r="38" spans="1:105" ht="15" customHeight="1">
      <c r="A38" s="18">
        <v>74</v>
      </c>
      <c r="B38" s="19" t="s">
        <v>183</v>
      </c>
      <c r="C38" s="20">
        <v>7628461.3200000003</v>
      </c>
      <c r="D38" s="40">
        <f t="shared" si="0"/>
        <v>0.10845125561558147</v>
      </c>
      <c r="E38" s="20">
        <v>7350000</v>
      </c>
      <c r="F38" s="40">
        <f t="shared" si="1"/>
        <v>0.10449246516917828</v>
      </c>
      <c r="G38" s="20">
        <f t="shared" si="2"/>
        <v>278461.3200000003</v>
      </c>
      <c r="H38" s="91">
        <f t="shared" si="3"/>
        <v>3.7885893877551098</v>
      </c>
      <c r="I38" s="20">
        <v>34740617.869999997</v>
      </c>
      <c r="J38" s="40">
        <f t="shared" si="4"/>
        <v>0.50737577284340651</v>
      </c>
      <c r="K38" s="20">
        <f t="shared" si="5"/>
        <v>-27112156.549999997</v>
      </c>
      <c r="L38" s="91">
        <f t="shared" si="6"/>
        <v>-78.041664807039879</v>
      </c>
      <c r="M38" s="73" t="s">
        <v>109</v>
      </c>
    </row>
    <row r="39" spans="1:105" ht="15" customHeight="1">
      <c r="A39" s="15"/>
      <c r="B39" s="16" t="s">
        <v>72</v>
      </c>
      <c r="C39" s="17">
        <f>+C40+C50+C56+C57+C58+C59+C60+C61</f>
        <v>583416708.23000002</v>
      </c>
      <c r="D39" s="39">
        <f t="shared" si="0"/>
        <v>8.2942381039237976</v>
      </c>
      <c r="E39" s="17">
        <f>+E40+E50+E56+E57+E58+E59+E60+E61</f>
        <v>655561551.67500007</v>
      </c>
      <c r="F39" s="39">
        <f t="shared" si="1"/>
        <v>9.3198969530139326</v>
      </c>
      <c r="G39" s="17">
        <f t="shared" si="2"/>
        <v>-72144843.445000052</v>
      </c>
      <c r="H39" s="95">
        <f t="shared" si="3"/>
        <v>-11.005044951258284</v>
      </c>
      <c r="I39" s="17">
        <f>+I40+I50+I56+I57+I58+I59+I60+I61</f>
        <v>479256619.11000007</v>
      </c>
      <c r="J39" s="39">
        <f t="shared" si="4"/>
        <v>6.9993918479278454</v>
      </c>
      <c r="K39" s="17">
        <f t="shared" ref="K39:K61" si="7">+C39-I39</f>
        <v>104160089.11999995</v>
      </c>
      <c r="L39" s="95">
        <f t="shared" si="6"/>
        <v>21.733677734786355</v>
      </c>
      <c r="M39" s="82" t="s">
        <v>110</v>
      </c>
    </row>
    <row r="40" spans="1:105" ht="15" customHeight="1">
      <c r="A40" s="18">
        <v>41</v>
      </c>
      <c r="B40" s="19" t="s">
        <v>69</v>
      </c>
      <c r="C40" s="20">
        <f>+SUM(C41:C49)</f>
        <v>233639977.86999995</v>
      </c>
      <c r="D40" s="40">
        <f t="shared" si="0"/>
        <v>3.3215805781916399</v>
      </c>
      <c r="E40" s="20">
        <f>+SUM(E41:E49)</f>
        <v>270236688.11500001</v>
      </c>
      <c r="F40" s="40">
        <f t="shared" si="1"/>
        <v>3.8418636354137052</v>
      </c>
      <c r="G40" s="20">
        <f t="shared" si="2"/>
        <v>-36596710.245000064</v>
      </c>
      <c r="H40" s="91">
        <f t="shared" si="3"/>
        <v>-13.542465495812408</v>
      </c>
      <c r="I40" s="20">
        <f>+SUM(I41:I49)</f>
        <v>208227373.69000003</v>
      </c>
      <c r="J40" s="40">
        <f t="shared" si="4"/>
        <v>3.041095154048755</v>
      </c>
      <c r="K40" s="20">
        <f t="shared" si="7"/>
        <v>25412604.179999918</v>
      </c>
      <c r="L40" s="91">
        <f t="shared" si="6"/>
        <v>12.204257168336156</v>
      </c>
      <c r="M40" s="73" t="s">
        <v>111</v>
      </c>
    </row>
    <row r="41" spans="1:105" ht="15" customHeight="1">
      <c r="A41" s="21">
        <v>411</v>
      </c>
      <c r="B41" s="22" t="s">
        <v>30</v>
      </c>
      <c r="C41" s="23">
        <v>166238580.94999996</v>
      </c>
      <c r="D41" s="41">
        <f t="shared" si="0"/>
        <v>2.3633577047199315</v>
      </c>
      <c r="E41" s="23">
        <v>169541449.57499999</v>
      </c>
      <c r="F41" s="41">
        <f t="shared" si="1"/>
        <v>2.410313471353426</v>
      </c>
      <c r="G41" s="23">
        <f t="shared" si="2"/>
        <v>-3302868.6250000298</v>
      </c>
      <c r="H41" s="96">
        <f t="shared" si="3"/>
        <v>-1.9481186655414007</v>
      </c>
      <c r="I41" s="23">
        <v>152786089.09</v>
      </c>
      <c r="J41" s="41">
        <f t="shared" si="4"/>
        <v>2.2313926690032218</v>
      </c>
      <c r="K41" s="23">
        <f t="shared" si="7"/>
        <v>13452491.859999955</v>
      </c>
      <c r="L41" s="96">
        <f t="shared" si="6"/>
        <v>8.8047884071930582</v>
      </c>
      <c r="M41" s="74" t="s">
        <v>112</v>
      </c>
    </row>
    <row r="42" spans="1:105" ht="15" customHeight="1">
      <c r="A42" s="21">
        <v>412</v>
      </c>
      <c r="B42" s="22" t="s">
        <v>31</v>
      </c>
      <c r="C42" s="23">
        <v>4200861.5199999996</v>
      </c>
      <c r="D42" s="41">
        <f t="shared" si="0"/>
        <v>5.972222803525732E-2</v>
      </c>
      <c r="E42" s="23">
        <v>5594330.0800000019</v>
      </c>
      <c r="F42" s="41">
        <f t="shared" si="1"/>
        <v>7.9532699459766876E-2</v>
      </c>
      <c r="G42" s="23">
        <f t="shared" si="2"/>
        <v>-1393468.5600000024</v>
      </c>
      <c r="H42" s="96">
        <f t="shared" si="3"/>
        <v>-24.90858673108545</v>
      </c>
      <c r="I42" s="23">
        <v>3401388.59</v>
      </c>
      <c r="J42" s="41">
        <f t="shared" si="4"/>
        <v>4.9676208150640895E-2</v>
      </c>
      <c r="K42" s="23">
        <f t="shared" si="7"/>
        <v>799472.9299999997</v>
      </c>
      <c r="L42" s="96">
        <f t="shared" si="6"/>
        <v>23.504310338149281</v>
      </c>
      <c r="M42" s="74" t="s">
        <v>113</v>
      </c>
    </row>
    <row r="43" spans="1:105" ht="15" customHeight="1">
      <c r="A43" s="21">
        <v>413</v>
      </c>
      <c r="B43" s="22" t="s">
        <v>73</v>
      </c>
      <c r="C43" s="23">
        <v>6916918.2599999998</v>
      </c>
      <c r="D43" s="41">
        <f t="shared" si="0"/>
        <v>9.8335488484503825E-2</v>
      </c>
      <c r="E43" s="23">
        <v>11854310.129999999</v>
      </c>
      <c r="F43" s="41">
        <f t="shared" si="1"/>
        <v>0.16852871950526013</v>
      </c>
      <c r="G43" s="23">
        <f t="shared" si="2"/>
        <v>-4937391.8699999992</v>
      </c>
      <c r="H43" s="96">
        <f t="shared" si="3"/>
        <v>-41.650604850507648</v>
      </c>
      <c r="I43" s="23">
        <v>8011229.4600000009</v>
      </c>
      <c r="J43" s="41">
        <f t="shared" si="4"/>
        <v>0.11700148091503609</v>
      </c>
      <c r="K43" s="23">
        <f t="shared" si="7"/>
        <v>-1094311.2000000011</v>
      </c>
      <c r="L43" s="96">
        <f t="shared" si="6"/>
        <v>-13.659716095561706</v>
      </c>
      <c r="M43" s="74" t="s">
        <v>114</v>
      </c>
    </row>
    <row r="44" spans="1:105" ht="15" customHeight="1">
      <c r="A44" s="21">
        <v>414</v>
      </c>
      <c r="B44" s="22" t="s">
        <v>74</v>
      </c>
      <c r="C44" s="23">
        <v>10960293.98</v>
      </c>
      <c r="D44" s="41">
        <f t="shared" si="0"/>
        <v>0.15581879414273528</v>
      </c>
      <c r="E44" s="23">
        <v>15416824.790000003</v>
      </c>
      <c r="F44" s="41">
        <f t="shared" si="1"/>
        <v>0.21917578603923801</v>
      </c>
      <c r="G44" s="23">
        <f t="shared" si="2"/>
        <v>-4456530.8100000024</v>
      </c>
      <c r="H44" s="96">
        <f t="shared" si="3"/>
        <v>-28.90693038744719</v>
      </c>
      <c r="I44" s="23">
        <v>11630079.449999999</v>
      </c>
      <c r="J44" s="41">
        <f t="shared" si="4"/>
        <v>0.16985364426317756</v>
      </c>
      <c r="K44" s="23">
        <f t="shared" si="7"/>
        <v>-669785.46999999881</v>
      </c>
      <c r="L44" s="96">
        <f t="shared" si="6"/>
        <v>-5.7590790577101245</v>
      </c>
      <c r="M44" s="74" t="s">
        <v>115</v>
      </c>
    </row>
    <row r="45" spans="1:105" ht="15.75" customHeight="1">
      <c r="A45" s="21">
        <v>415</v>
      </c>
      <c r="B45" s="22" t="s">
        <v>32</v>
      </c>
      <c r="C45" s="23">
        <v>3330340.5399999996</v>
      </c>
      <c r="D45" s="41">
        <f t="shared" si="0"/>
        <v>4.7346325561558142E-2</v>
      </c>
      <c r="E45" s="23">
        <v>7911800</v>
      </c>
      <c r="F45" s="41">
        <f t="shared" si="1"/>
        <v>0.11247938584020471</v>
      </c>
      <c r="G45" s="23">
        <f t="shared" si="2"/>
        <v>-4581459.4600000009</v>
      </c>
      <c r="H45" s="96">
        <f t="shared" si="3"/>
        <v>-57.906664223059238</v>
      </c>
      <c r="I45" s="23">
        <v>3897439.7500000009</v>
      </c>
      <c r="J45" s="41">
        <f t="shared" si="4"/>
        <v>5.6920878974190327E-2</v>
      </c>
      <c r="K45" s="23">
        <f t="shared" si="7"/>
        <v>-567099.21000000136</v>
      </c>
      <c r="L45" s="96">
        <f t="shared" si="6"/>
        <v>-14.550557452491759</v>
      </c>
      <c r="M45" s="74" t="s">
        <v>116</v>
      </c>
    </row>
    <row r="46" spans="1:105" ht="15" customHeight="1">
      <c r="A46" s="21">
        <v>416</v>
      </c>
      <c r="B46" s="22" t="s">
        <v>33</v>
      </c>
      <c r="C46" s="23">
        <v>15346370.119999997</v>
      </c>
      <c r="D46" s="41">
        <f t="shared" si="0"/>
        <v>0.21817415581461469</v>
      </c>
      <c r="E46" s="23">
        <v>18719639.219999999</v>
      </c>
      <c r="F46" s="41">
        <f t="shared" si="1"/>
        <v>0.26613078220073927</v>
      </c>
      <c r="G46" s="23">
        <f t="shared" si="2"/>
        <v>-3373269.1000000015</v>
      </c>
      <c r="H46" s="96">
        <f t="shared" si="3"/>
        <v>-18.019947181439335</v>
      </c>
      <c r="I46" s="23">
        <v>8133595.3600000003</v>
      </c>
      <c r="J46" s="41">
        <f t="shared" si="4"/>
        <v>0.11878859631161606</v>
      </c>
      <c r="K46" s="23">
        <f t="shared" si="7"/>
        <v>7212774.759999997</v>
      </c>
      <c r="L46" s="96">
        <f t="shared" si="6"/>
        <v>88.67879997413587</v>
      </c>
      <c r="M46" s="74" t="s">
        <v>117</v>
      </c>
    </row>
    <row r="47" spans="1:105" ht="15" customHeight="1">
      <c r="A47" s="21">
        <v>417</v>
      </c>
      <c r="B47" s="22" t="s">
        <v>34</v>
      </c>
      <c r="C47" s="23">
        <v>2288836.7400000002</v>
      </c>
      <c r="D47" s="41">
        <f t="shared" si="0"/>
        <v>3.2539618140460622E-2</v>
      </c>
      <c r="E47" s="23">
        <v>3494208.7499999995</v>
      </c>
      <c r="F47" s="41">
        <f t="shared" si="1"/>
        <v>4.9675984503838491E-2</v>
      </c>
      <c r="G47" s="23">
        <f t="shared" si="2"/>
        <v>-1205372.0099999993</v>
      </c>
      <c r="H47" s="96">
        <f t="shared" si="3"/>
        <v>-34.496279307869031</v>
      </c>
      <c r="I47" s="23">
        <v>1794783.3199999998</v>
      </c>
      <c r="J47" s="41">
        <f t="shared" si="4"/>
        <v>2.6212244626133214E-2</v>
      </c>
      <c r="K47" s="23">
        <f t="shared" si="7"/>
        <v>494053.42000000039</v>
      </c>
      <c r="L47" s="96">
        <f t="shared" si="6"/>
        <v>27.527190301724019</v>
      </c>
      <c r="M47" s="74" t="s">
        <v>118</v>
      </c>
    </row>
    <row r="48" spans="1:105" ht="15" customHeight="1">
      <c r="A48" s="21">
        <v>418</v>
      </c>
      <c r="B48" s="22" t="s">
        <v>35</v>
      </c>
      <c r="C48" s="23">
        <v>11119705.359999985</v>
      </c>
      <c r="D48" s="41">
        <f t="shared" si="0"/>
        <v>0.15808509183963582</v>
      </c>
      <c r="E48" s="23">
        <v>12247483.010000002</v>
      </c>
      <c r="F48" s="41">
        <f t="shared" si="1"/>
        <v>0.17411832541939157</v>
      </c>
      <c r="G48" s="23">
        <f t="shared" si="2"/>
        <v>-1127777.6500000171</v>
      </c>
      <c r="H48" s="96">
        <f t="shared" si="3"/>
        <v>-9.2082401672179799</v>
      </c>
      <c r="I48" s="23">
        <v>9637612.6499999985</v>
      </c>
      <c r="J48" s="41">
        <f t="shared" si="4"/>
        <v>0.14075429472662804</v>
      </c>
      <c r="K48" s="23">
        <f t="shared" si="7"/>
        <v>1482092.709999986</v>
      </c>
      <c r="L48" s="96">
        <f t="shared" si="6"/>
        <v>15.37821412650348</v>
      </c>
      <c r="M48" s="74" t="s">
        <v>119</v>
      </c>
    </row>
    <row r="49" spans="1:15" ht="15" customHeight="1">
      <c r="A49" s="21">
        <v>419</v>
      </c>
      <c r="B49" s="22" t="s">
        <v>36</v>
      </c>
      <c r="C49" s="23">
        <v>13238070.399999999</v>
      </c>
      <c r="D49" s="41">
        <f t="shared" si="0"/>
        <v>0.18820117145294282</v>
      </c>
      <c r="E49" s="23">
        <v>25456642.560000002</v>
      </c>
      <c r="F49" s="41">
        <f t="shared" si="1"/>
        <v>0.36190848109183965</v>
      </c>
      <c r="G49" s="23">
        <f t="shared" si="2"/>
        <v>-12218572.160000004</v>
      </c>
      <c r="H49" s="96">
        <f t="shared" si="3"/>
        <v>-47.997579143445392</v>
      </c>
      <c r="I49" s="23">
        <v>8935156.0199999996</v>
      </c>
      <c r="J49" s="41">
        <f t="shared" si="4"/>
        <v>0.13049513707811083</v>
      </c>
      <c r="K49" s="23">
        <f t="shared" si="7"/>
        <v>4302914.379999999</v>
      </c>
      <c r="L49" s="96">
        <f t="shared" si="6"/>
        <v>48.157126415795915</v>
      </c>
      <c r="M49" s="74" t="s">
        <v>120</v>
      </c>
    </row>
    <row r="50" spans="1:15" ht="15" customHeight="1">
      <c r="A50" s="18">
        <v>42</v>
      </c>
      <c r="B50" s="19" t="s">
        <v>37</v>
      </c>
      <c r="C50" s="20">
        <f>+SUM(C51:C55)</f>
        <v>233763257.03000003</v>
      </c>
      <c r="D50" s="40">
        <f t="shared" si="0"/>
        <v>3.323333196332102</v>
      </c>
      <c r="E50" s="20">
        <f>+SUM(E51:E55)</f>
        <v>243237779.26000002</v>
      </c>
      <c r="F50" s="40">
        <f t="shared" si="1"/>
        <v>3.4580292758032418</v>
      </c>
      <c r="G50" s="20">
        <f t="shared" si="2"/>
        <v>-9474522.2299999893</v>
      </c>
      <c r="H50" s="91">
        <f t="shared" si="3"/>
        <v>-3.8951688585647446</v>
      </c>
      <c r="I50" s="20">
        <f>+SUM(I51:I55)</f>
        <v>192939119.12</v>
      </c>
      <c r="J50" s="40">
        <f t="shared" si="4"/>
        <v>2.8178150153100909</v>
      </c>
      <c r="K50" s="20">
        <f t="shared" si="7"/>
        <v>40824137.910000026</v>
      </c>
      <c r="L50" s="91">
        <f t="shared" si="6"/>
        <v>21.159077586857393</v>
      </c>
      <c r="M50" s="73" t="s">
        <v>121</v>
      </c>
    </row>
    <row r="51" spans="1:15" ht="15" customHeight="1">
      <c r="A51" s="21">
        <v>421</v>
      </c>
      <c r="B51" s="22" t="s">
        <v>38</v>
      </c>
      <c r="C51" s="23">
        <v>51619432.5</v>
      </c>
      <c r="D51" s="41">
        <f t="shared" si="0"/>
        <v>0.73385602075632639</v>
      </c>
      <c r="E51" s="23">
        <v>53867349.799999997</v>
      </c>
      <c r="F51" s="41">
        <f t="shared" si="1"/>
        <v>0.76581390105203284</v>
      </c>
      <c r="G51" s="23">
        <f t="shared" si="2"/>
        <v>-2247917.299999997</v>
      </c>
      <c r="H51" s="96">
        <f t="shared" si="3"/>
        <v>-4.1730608770361215</v>
      </c>
      <c r="I51" s="23">
        <v>52452756.899999999</v>
      </c>
      <c r="J51" s="41">
        <f t="shared" si="4"/>
        <v>0.76605598004883224</v>
      </c>
      <c r="K51" s="23">
        <f t="shared" si="7"/>
        <v>-833324.39999999851</v>
      </c>
      <c r="L51" s="96">
        <f t="shared" si="6"/>
        <v>-1.5887142054110086</v>
      </c>
      <c r="M51" s="74" t="s">
        <v>122</v>
      </c>
    </row>
    <row r="52" spans="1:15" ht="15" customHeight="1">
      <c r="A52" s="21">
        <v>422</v>
      </c>
      <c r="B52" s="22" t="s">
        <v>39</v>
      </c>
      <c r="C52" s="23">
        <v>3940000.21</v>
      </c>
      <c r="D52" s="41">
        <f t="shared" si="0"/>
        <v>5.6013650980949674E-2</v>
      </c>
      <c r="E52" s="23">
        <v>6276574.9800000004</v>
      </c>
      <c r="F52" s="41">
        <f t="shared" si="1"/>
        <v>8.9231944555018483E-2</v>
      </c>
      <c r="G52" s="23">
        <f t="shared" si="2"/>
        <v>-2336574.7700000005</v>
      </c>
      <c r="H52" s="96">
        <f t="shared" si="3"/>
        <v>-37.226907627892317</v>
      </c>
      <c r="I52" s="23">
        <v>4297370.43</v>
      </c>
      <c r="J52" s="41">
        <f t="shared" si="4"/>
        <v>6.2761740487019504E-2</v>
      </c>
      <c r="K52" s="23">
        <f t="shared" si="7"/>
        <v>-357370.21999999974</v>
      </c>
      <c r="L52" s="96">
        <f t="shared" si="6"/>
        <v>-8.3160208276483019</v>
      </c>
      <c r="M52" s="74" t="s">
        <v>123</v>
      </c>
    </row>
    <row r="53" spans="1:15">
      <c r="A53" s="21">
        <v>423</v>
      </c>
      <c r="B53" s="22" t="s">
        <v>40</v>
      </c>
      <c r="C53" s="23">
        <v>171438733.90000001</v>
      </c>
      <c r="D53" s="41">
        <f t="shared" si="0"/>
        <v>2.4372865211828265</v>
      </c>
      <c r="E53" s="23">
        <v>173928854.48000002</v>
      </c>
      <c r="F53" s="41">
        <f t="shared" si="1"/>
        <v>2.4726877236280922</v>
      </c>
      <c r="G53" s="23">
        <f t="shared" si="2"/>
        <v>-2490120.5800000131</v>
      </c>
      <c r="H53" s="96">
        <f t="shared" si="3"/>
        <v>-1.4316891739699003</v>
      </c>
      <c r="I53" s="23">
        <v>129293336.88</v>
      </c>
      <c r="J53" s="41">
        <f t="shared" si="4"/>
        <v>1.8882884285037878</v>
      </c>
      <c r="K53" s="23">
        <f t="shared" si="7"/>
        <v>42145397.020000011</v>
      </c>
      <c r="L53" s="96">
        <f t="shared" si="6"/>
        <v>32.59672774871305</v>
      </c>
      <c r="M53" s="74" t="s">
        <v>124</v>
      </c>
    </row>
    <row r="54" spans="1:15" ht="15" customHeight="1">
      <c r="A54" s="21">
        <v>424</v>
      </c>
      <c r="B54" s="22" t="s">
        <v>41</v>
      </c>
      <c r="C54" s="23">
        <v>3134177.709999999</v>
      </c>
      <c r="D54" s="41">
        <f t="shared" si="0"/>
        <v>4.4557544924651679E-2</v>
      </c>
      <c r="E54" s="23">
        <v>5265000</v>
      </c>
      <c r="F54" s="41">
        <f t="shared" si="1"/>
        <v>7.4850725049758315E-2</v>
      </c>
      <c r="G54" s="23">
        <f t="shared" si="2"/>
        <v>-2130822.290000001</v>
      </c>
      <c r="H54" s="96">
        <f t="shared" si="3"/>
        <v>-40.471458499525184</v>
      </c>
      <c r="I54" s="23">
        <v>4673071.0500000007</v>
      </c>
      <c r="J54" s="41">
        <f t="shared" si="4"/>
        <v>6.8248729611494946E-2</v>
      </c>
      <c r="K54" s="23">
        <f t="shared" si="7"/>
        <v>-1538893.3400000017</v>
      </c>
      <c r="L54" s="96">
        <f t="shared" si="6"/>
        <v>-32.931092284590918</v>
      </c>
      <c r="M54" s="74" t="s">
        <v>125</v>
      </c>
    </row>
    <row r="55" spans="1:15" ht="15" customHeight="1">
      <c r="A55" s="21">
        <v>425</v>
      </c>
      <c r="B55" s="22" t="s">
        <v>42</v>
      </c>
      <c r="C55" s="23">
        <v>3630912.71</v>
      </c>
      <c r="D55" s="41">
        <f t="shared" si="0"/>
        <v>5.161945848734717E-2</v>
      </c>
      <c r="E55" s="23">
        <v>3900000</v>
      </c>
      <c r="F55" s="41">
        <f t="shared" si="1"/>
        <v>5.5444981518339487E-2</v>
      </c>
      <c r="G55" s="23">
        <f t="shared" si="2"/>
        <v>-269087.29000000004</v>
      </c>
      <c r="H55" s="96">
        <f t="shared" si="3"/>
        <v>-6.8996741025641057</v>
      </c>
      <c r="I55" s="23">
        <v>2222583.86</v>
      </c>
      <c r="J55" s="41">
        <f t="shared" si="4"/>
        <v>3.2460136658956362E-2</v>
      </c>
      <c r="K55" s="23">
        <f t="shared" si="7"/>
        <v>1408328.85</v>
      </c>
      <c r="L55" s="96">
        <f t="shared" si="6"/>
        <v>63.364486503559874</v>
      </c>
      <c r="M55" s="74" t="s">
        <v>126</v>
      </c>
      <c r="O55" s="80"/>
    </row>
    <row r="56" spans="1:15" ht="15" customHeight="1">
      <c r="A56" s="18">
        <v>43</v>
      </c>
      <c r="B56" s="79" t="s">
        <v>43</v>
      </c>
      <c r="C56" s="20">
        <v>77751729.550000012</v>
      </c>
      <c r="D56" s="40">
        <f t="shared" si="0"/>
        <v>1.1053700533124824</v>
      </c>
      <c r="E56" s="20">
        <v>94594909.659999996</v>
      </c>
      <c r="F56" s="40">
        <f t="shared" si="1"/>
        <v>1.3448238507250496</v>
      </c>
      <c r="G56" s="20">
        <f t="shared" si="2"/>
        <v>-16843180.109999985</v>
      </c>
      <c r="H56" s="91">
        <f t="shared" si="3"/>
        <v>-17.805588239936995</v>
      </c>
      <c r="I56" s="20">
        <v>56085506.390000001</v>
      </c>
      <c r="J56" s="40">
        <f t="shared" si="4"/>
        <v>0.81911114121298922</v>
      </c>
      <c r="K56" s="20">
        <f t="shared" si="7"/>
        <v>21666223.160000011</v>
      </c>
      <c r="L56" s="91">
        <f t="shared" si="6"/>
        <v>38.630699006870486</v>
      </c>
      <c r="M56" s="73" t="s">
        <v>127</v>
      </c>
    </row>
    <row r="57" spans="1:15" ht="15" customHeight="1">
      <c r="A57" s="18">
        <v>44</v>
      </c>
      <c r="B57" s="19" t="s">
        <v>65</v>
      </c>
      <c r="C57" s="20">
        <v>28571237.840000004</v>
      </c>
      <c r="D57" s="40">
        <f t="shared" si="0"/>
        <v>0.40618762922945695</v>
      </c>
      <c r="E57" s="20">
        <v>34922637.730000004</v>
      </c>
      <c r="F57" s="40">
        <f t="shared" si="1"/>
        <v>0.49648333423372193</v>
      </c>
      <c r="G57" s="20">
        <f t="shared" si="2"/>
        <v>-6351399.8900000006</v>
      </c>
      <c r="H57" s="91">
        <f t="shared" si="3"/>
        <v>-18.187056599518783</v>
      </c>
      <c r="I57" s="20">
        <v>14967421.4</v>
      </c>
      <c r="J57" s="40">
        <f t="shared" si="4"/>
        <v>0.21859447142578819</v>
      </c>
      <c r="K57" s="20">
        <f t="shared" si="7"/>
        <v>13603816.440000003</v>
      </c>
      <c r="L57" s="91">
        <f t="shared" si="6"/>
        <v>90.889513139517817</v>
      </c>
      <c r="M57" s="73" t="s">
        <v>128</v>
      </c>
    </row>
    <row r="58" spans="1:15" ht="15" customHeight="1">
      <c r="A58" s="18">
        <v>45</v>
      </c>
      <c r="B58" s="19" t="s">
        <v>44</v>
      </c>
      <c r="C58" s="20">
        <v>0</v>
      </c>
      <c r="D58" s="40">
        <f t="shared" si="0"/>
        <v>0</v>
      </c>
      <c r="E58" s="20">
        <v>0</v>
      </c>
      <c r="F58" s="40">
        <f t="shared" si="1"/>
        <v>0</v>
      </c>
      <c r="G58" s="20">
        <f t="shared" si="2"/>
        <v>0</v>
      </c>
      <c r="H58" s="91">
        <f t="shared" si="3"/>
        <v>0</v>
      </c>
      <c r="I58" s="20">
        <v>0</v>
      </c>
      <c r="J58" s="40">
        <f t="shared" si="4"/>
        <v>0</v>
      </c>
      <c r="K58" s="20">
        <f t="shared" si="7"/>
        <v>0</v>
      </c>
      <c r="L58" s="91">
        <f t="shared" si="6"/>
        <v>0</v>
      </c>
      <c r="M58" s="73" t="s">
        <v>129</v>
      </c>
      <c r="N58" s="89"/>
    </row>
    <row r="59" spans="1:15" ht="15" customHeight="1">
      <c r="A59" s="18">
        <v>462</v>
      </c>
      <c r="B59" s="19" t="s">
        <v>45</v>
      </c>
      <c r="C59" s="20">
        <v>2301161.16</v>
      </c>
      <c r="D59" s="40">
        <f t="shared" si="0"/>
        <v>3.2714830253056583E-2</v>
      </c>
      <c r="E59" s="20">
        <v>2</v>
      </c>
      <c r="F59" s="40">
        <f t="shared" si="1"/>
        <v>2.8433323855558715E-8</v>
      </c>
      <c r="G59" s="20">
        <f t="shared" si="2"/>
        <v>2301159.16</v>
      </c>
      <c r="H59" s="106">
        <f t="shared" si="3"/>
        <v>115057958</v>
      </c>
      <c r="I59" s="20">
        <v>1168915.48</v>
      </c>
      <c r="J59" s="40">
        <f t="shared" si="4"/>
        <v>1.7071642112783801E-2</v>
      </c>
      <c r="K59" s="20">
        <f t="shared" si="7"/>
        <v>1132245.6800000002</v>
      </c>
      <c r="L59" s="91">
        <f t="shared" si="6"/>
        <v>96.862921175447184</v>
      </c>
      <c r="M59" s="73" t="s">
        <v>130</v>
      </c>
    </row>
    <row r="60" spans="1:15" ht="15" customHeight="1">
      <c r="A60" s="18">
        <v>463</v>
      </c>
      <c r="B60" s="19" t="s">
        <v>46</v>
      </c>
      <c r="C60" s="20">
        <v>6634540.0599999996</v>
      </c>
      <c r="D60" s="40">
        <f t="shared" si="0"/>
        <v>9.4321013079328969E-2</v>
      </c>
      <c r="E60" s="20">
        <v>6782320.2000000011</v>
      </c>
      <c r="F60" s="40">
        <f t="shared" si="1"/>
        <v>9.6421953369348889E-2</v>
      </c>
      <c r="G60" s="20">
        <f t="shared" si="2"/>
        <v>-147780.14000000153</v>
      </c>
      <c r="H60" s="91">
        <f t="shared" si="3"/>
        <v>-2.1789024351873252</v>
      </c>
      <c r="I60" s="20">
        <v>4131746.05</v>
      </c>
      <c r="J60" s="40">
        <f t="shared" si="4"/>
        <v>6.034284862623953E-2</v>
      </c>
      <c r="K60" s="20">
        <f t="shared" si="7"/>
        <v>2502794.0099999998</v>
      </c>
      <c r="L60" s="91">
        <f t="shared" si="6"/>
        <v>60.57472990141784</v>
      </c>
      <c r="M60" s="73" t="s">
        <v>131</v>
      </c>
    </row>
    <row r="61" spans="1:15" ht="15" customHeight="1">
      <c r="A61" s="18">
        <v>47</v>
      </c>
      <c r="B61" s="19" t="s">
        <v>47</v>
      </c>
      <c r="C61" s="20">
        <v>754804.72</v>
      </c>
      <c r="D61" s="40">
        <f t="shared" si="0"/>
        <v>1.0730803525732158E-2</v>
      </c>
      <c r="E61" s="20">
        <v>5787214.71</v>
      </c>
      <c r="F61" s="40">
        <f t="shared" si="1"/>
        <v>8.227487503554165E-2</v>
      </c>
      <c r="G61" s="20">
        <f t="shared" si="2"/>
        <v>-5032409.99</v>
      </c>
      <c r="H61" s="91">
        <f t="shared" si="3"/>
        <v>-86.957374871615912</v>
      </c>
      <c r="I61" s="20">
        <v>1736536.98</v>
      </c>
      <c r="J61" s="40">
        <f t="shared" si="4"/>
        <v>2.5361575191197229E-2</v>
      </c>
      <c r="K61" s="20">
        <f t="shared" si="7"/>
        <v>-981732.26</v>
      </c>
      <c r="L61" s="91">
        <f t="shared" si="6"/>
        <v>-56.533910380647349</v>
      </c>
      <c r="M61" s="73" t="s">
        <v>132</v>
      </c>
    </row>
    <row r="62" spans="1:15" s="2" customFormat="1" ht="15" customHeight="1">
      <c r="A62" s="15"/>
      <c r="B62" s="16" t="s">
        <v>77</v>
      </c>
      <c r="C62" s="17">
        <f>+C6-C39</f>
        <v>-4830663.6699999571</v>
      </c>
      <c r="D62" s="39">
        <f t="shared" si="0"/>
        <v>-6.8675912283195292E-2</v>
      </c>
      <c r="E62" s="17">
        <f>+E6-E39</f>
        <v>-122662991.66022241</v>
      </c>
      <c r="F62" s="39">
        <f t="shared" si="1"/>
        <v>-1.7438582834834009</v>
      </c>
      <c r="G62" s="17">
        <f t="shared" si="2"/>
        <v>117832327.99022245</v>
      </c>
      <c r="H62" s="95">
        <f t="shared" si="3"/>
        <v>-96.061840980219245</v>
      </c>
      <c r="I62" s="17">
        <f>+I6-I39</f>
        <v>63202026.96999985</v>
      </c>
      <c r="J62" s="39">
        <f t="shared" si="4"/>
        <v>0.92304568097117434</v>
      </c>
      <c r="K62" s="17">
        <f t="shared" ref="K62" si="8">+C62-I62</f>
        <v>-68032690.639999807</v>
      </c>
      <c r="L62" s="95">
        <f t="shared" si="6"/>
        <v>-107.64321003864787</v>
      </c>
      <c r="M62" s="82" t="s">
        <v>134</v>
      </c>
    </row>
    <row r="63" spans="1:15" ht="15" customHeight="1">
      <c r="A63" s="92"/>
      <c r="B63" s="93" t="s">
        <v>182</v>
      </c>
      <c r="C63" s="20">
        <v>0</v>
      </c>
      <c r="D63" s="40">
        <f t="shared" si="0"/>
        <v>0</v>
      </c>
      <c r="E63" s="20">
        <v>0</v>
      </c>
      <c r="F63" s="40">
        <f t="shared" si="1"/>
        <v>0</v>
      </c>
      <c r="G63" s="20">
        <f t="shared" ref="G63:G64" si="9">+C63-E63</f>
        <v>0</v>
      </c>
      <c r="H63" s="91">
        <f t="shared" si="3"/>
        <v>0</v>
      </c>
      <c r="I63" s="20">
        <v>0</v>
      </c>
      <c r="J63" s="40">
        <f t="shared" si="4"/>
        <v>0</v>
      </c>
      <c r="K63" s="20">
        <f t="shared" ref="K63:K64" si="10">+C63-I63</f>
        <v>0</v>
      </c>
      <c r="L63" s="91">
        <f t="shared" si="6"/>
        <v>0</v>
      </c>
      <c r="M63" s="73" t="s">
        <v>133</v>
      </c>
    </row>
    <row r="64" spans="1:15" s="2" customFormat="1" ht="15" customHeight="1">
      <c r="A64" s="15"/>
      <c r="B64" s="16" t="s">
        <v>59</v>
      </c>
      <c r="C64" s="17">
        <f>+C62-C63</f>
        <v>-4830663.6699999571</v>
      </c>
      <c r="D64" s="39">
        <f t="shared" si="0"/>
        <v>-6.8675912283195292E-2</v>
      </c>
      <c r="E64" s="17">
        <f>+E62-E63</f>
        <v>-122662991.66022241</v>
      </c>
      <c r="F64" s="39">
        <f t="shared" si="1"/>
        <v>-1.7438582834834009</v>
      </c>
      <c r="G64" s="17">
        <f t="shared" si="9"/>
        <v>117832327.99022245</v>
      </c>
      <c r="H64" s="95">
        <f t="shared" si="3"/>
        <v>-96.061840980219245</v>
      </c>
      <c r="I64" s="17">
        <f>+I62-I63</f>
        <v>63202026.96999985</v>
      </c>
      <c r="J64" s="39">
        <f t="shared" si="4"/>
        <v>0.92304568097117434</v>
      </c>
      <c r="K64" s="17">
        <f t="shared" si="10"/>
        <v>-68032690.639999807</v>
      </c>
      <c r="L64" s="95">
        <f t="shared" si="6"/>
        <v>-107.64321003864787</v>
      </c>
      <c r="M64" s="82" t="s">
        <v>137</v>
      </c>
    </row>
    <row r="65" spans="1:13" s="2" customFormat="1" ht="15" customHeight="1">
      <c r="A65" s="15"/>
      <c r="B65" s="16" t="s">
        <v>186</v>
      </c>
      <c r="C65" s="17">
        <f>+C64+C46</f>
        <v>10515706.45000004</v>
      </c>
      <c r="D65" s="39">
        <f t="shared" si="0"/>
        <v>0.14949824353141938</v>
      </c>
      <c r="E65" s="17">
        <f>+E64+E46</f>
        <v>-103943352.44022241</v>
      </c>
      <c r="F65" s="39">
        <f t="shared" si="1"/>
        <v>-1.4777275012826616</v>
      </c>
      <c r="G65" s="17">
        <f t="shared" ref="G65" si="11">+C65-E65</f>
        <v>114459058.89022246</v>
      </c>
      <c r="H65" s="95">
        <f t="shared" si="3"/>
        <v>-110.11676668409132</v>
      </c>
      <c r="I65" s="17">
        <f>+I64+I46</f>
        <v>71335622.329999849</v>
      </c>
      <c r="J65" s="39">
        <f t="shared" si="4"/>
        <v>1.0418342772827902</v>
      </c>
      <c r="K65" s="17">
        <f t="shared" ref="K65" si="12">+C65-I65</f>
        <v>-60819915.879999809</v>
      </c>
      <c r="L65" s="95">
        <f t="shared" si="6"/>
        <v>-85.258828469520878</v>
      </c>
      <c r="M65" s="82" t="s">
        <v>136</v>
      </c>
    </row>
    <row r="66" spans="1:13" s="2" customFormat="1" ht="15" customHeight="1">
      <c r="A66" s="15"/>
      <c r="B66" s="16" t="s">
        <v>76</v>
      </c>
      <c r="C66" s="17">
        <f>+C6-(C39-C57)</f>
        <v>23740574.170000076</v>
      </c>
      <c r="D66" s="39">
        <f t="shared" si="0"/>
        <v>0.33751171694626209</v>
      </c>
      <c r="E66" s="17">
        <f>+E6-(E39-E57)</f>
        <v>-87740353.930222392</v>
      </c>
      <c r="F66" s="39">
        <f t="shared" si="1"/>
        <v>-1.2473749492496786</v>
      </c>
      <c r="G66" s="17">
        <f>+C66-E66</f>
        <v>111480928.10022247</v>
      </c>
      <c r="H66" s="95">
        <f t="shared" si="3"/>
        <v>-127.0577597497274</v>
      </c>
      <c r="I66" s="17">
        <f>+I6-(I39-I57)</f>
        <v>78169448.369999826</v>
      </c>
      <c r="J66" s="39">
        <f t="shared" si="4"/>
        <v>1.1416401523969621</v>
      </c>
      <c r="K66" s="17">
        <f>+C66-I66</f>
        <v>-54428874.19999975</v>
      </c>
      <c r="L66" s="95">
        <f t="shared" si="6"/>
        <v>-69.629344117117597</v>
      </c>
      <c r="M66" s="82" t="s">
        <v>135</v>
      </c>
    </row>
    <row r="67" spans="1:13" s="2" customFormat="1" ht="15" customHeight="1">
      <c r="A67" s="15"/>
      <c r="B67" s="16" t="s">
        <v>0</v>
      </c>
      <c r="C67" s="17">
        <f>+C68+C69</f>
        <v>101307301.53</v>
      </c>
      <c r="D67" s="39">
        <f t="shared" si="0"/>
        <v>1.4402516566676145</v>
      </c>
      <c r="E67" s="17">
        <f>+E68+E69</f>
        <v>103416561.14999999</v>
      </c>
      <c r="F67" s="39">
        <f t="shared" si="1"/>
        <v>1.4702382876030706</v>
      </c>
      <c r="G67" s="17">
        <f t="shared" ref="G67" si="13">+C67-E67</f>
        <v>-2109259.6199999899</v>
      </c>
      <c r="H67" s="95">
        <f t="shared" si="3"/>
        <v>-2.0395762502106578</v>
      </c>
      <c r="I67" s="17">
        <f>+I68+I69</f>
        <v>43784839.219999999</v>
      </c>
      <c r="J67" s="39">
        <f t="shared" si="4"/>
        <v>0.63946377468593352</v>
      </c>
      <c r="K67" s="17">
        <f t="shared" ref="K67" si="14">+C67-I67</f>
        <v>57522462.310000002</v>
      </c>
      <c r="L67" s="95">
        <f t="shared" si="6"/>
        <v>131.37529641475751</v>
      </c>
      <c r="M67" s="82" t="s">
        <v>138</v>
      </c>
    </row>
    <row r="68" spans="1:13">
      <c r="A68" s="21">
        <v>4611</v>
      </c>
      <c r="B68" s="22" t="s">
        <v>179</v>
      </c>
      <c r="C68" s="23">
        <v>28926658.250000004</v>
      </c>
      <c r="D68" s="41">
        <f t="shared" si="0"/>
        <v>0.41124052104065972</v>
      </c>
      <c r="E68" s="23">
        <v>28933581.050000001</v>
      </c>
      <c r="F68" s="41">
        <f t="shared" si="1"/>
        <v>0.41133894014785333</v>
      </c>
      <c r="G68" s="23">
        <f t="shared" ref="G68:G77" si="15">+C68-E68</f>
        <v>-6922.7999999970198</v>
      </c>
      <c r="H68" s="96">
        <f t="shared" si="3"/>
        <v>-2.3926523260414001E-2</v>
      </c>
      <c r="I68" s="23">
        <v>5620993.71</v>
      </c>
      <c r="J68" s="41">
        <f t="shared" si="4"/>
        <v>8.2092841250873724E-2</v>
      </c>
      <c r="K68" s="23">
        <f t="shared" ref="K68:K71" si="16">+C68-I68</f>
        <v>23305664.540000003</v>
      </c>
      <c r="L68" s="96">
        <f t="shared" si="6"/>
        <v>414.61822841997105</v>
      </c>
      <c r="M68" s="74" t="s">
        <v>139</v>
      </c>
    </row>
    <row r="69" spans="1:13" ht="15" customHeight="1">
      <c r="A69" s="21">
        <v>4612</v>
      </c>
      <c r="B69" s="22" t="s">
        <v>180</v>
      </c>
      <c r="C69" s="23">
        <v>72380643.280000001</v>
      </c>
      <c r="D69" s="41">
        <f t="shared" si="0"/>
        <v>1.0290111356269549</v>
      </c>
      <c r="E69" s="23">
        <v>74482980.099999994</v>
      </c>
      <c r="F69" s="41">
        <f t="shared" si="1"/>
        <v>1.0588993474552175</v>
      </c>
      <c r="G69" s="23">
        <f t="shared" si="15"/>
        <v>-2102336.8199999928</v>
      </c>
      <c r="H69" s="96">
        <f t="shared" si="3"/>
        <v>-2.8225734485615561</v>
      </c>
      <c r="I69" s="23">
        <v>38163845.509999998</v>
      </c>
      <c r="J69" s="41">
        <f t="shared" si="4"/>
        <v>0.55737093343505983</v>
      </c>
      <c r="K69" s="23">
        <f t="shared" si="16"/>
        <v>34216797.770000003</v>
      </c>
      <c r="L69" s="96">
        <f t="shared" si="6"/>
        <v>89.657625725987799</v>
      </c>
      <c r="M69" s="74" t="s">
        <v>140</v>
      </c>
    </row>
    <row r="70" spans="1:13" s="2" customFormat="1" ht="15" customHeight="1">
      <c r="A70" s="83">
        <v>4418</v>
      </c>
      <c r="B70" s="16" t="s">
        <v>63</v>
      </c>
      <c r="C70" s="17">
        <v>1410390.76</v>
      </c>
      <c r="D70" s="39">
        <f t="shared" si="0"/>
        <v>2.0051048620983794E-2</v>
      </c>
      <c r="E70" s="17">
        <v>0.48</v>
      </c>
      <c r="F70" s="39">
        <f t="shared" si="1"/>
        <v>6.8239977253340909E-9</v>
      </c>
      <c r="G70" s="17">
        <f t="shared" si="15"/>
        <v>1410390.28</v>
      </c>
      <c r="H70" s="95">
        <f t="shared" si="3"/>
        <v>293831308.33333337</v>
      </c>
      <c r="I70" s="17">
        <v>496372.98</v>
      </c>
      <c r="J70" s="39">
        <f t="shared" si="4"/>
        <v>7.2493709032033617E-3</v>
      </c>
      <c r="K70" s="17">
        <f t="shared" si="16"/>
        <v>914017.78</v>
      </c>
      <c r="L70" s="95">
        <f t="shared" si="6"/>
        <v>184.13930991973012</v>
      </c>
      <c r="M70" s="82" t="s">
        <v>141</v>
      </c>
    </row>
    <row r="71" spans="1:13" s="2" customFormat="1" ht="15" customHeight="1">
      <c r="A71" s="83">
        <v>45</v>
      </c>
      <c r="B71" s="16" t="s">
        <v>44</v>
      </c>
      <c r="C71" s="17">
        <v>2139703.0499999998</v>
      </c>
      <c r="D71" s="39">
        <f t="shared" si="0"/>
        <v>3.0419434887688369E-2</v>
      </c>
      <c r="E71" s="17">
        <v>1111656.46</v>
      </c>
      <c r="F71" s="39">
        <f t="shared" ref="F71:F78" si="17">IFERROR(E71/$E$2*100,0)</f>
        <v>1.5804044071651976E-2</v>
      </c>
      <c r="G71" s="17">
        <f t="shared" si="15"/>
        <v>1028046.5899999999</v>
      </c>
      <c r="H71" s="95">
        <f t="shared" ref="H71:H78" si="18">IFERROR(C71/E71*100-100,0)</f>
        <v>92.47880320868191</v>
      </c>
      <c r="I71" s="17">
        <v>1724269.03</v>
      </c>
      <c r="J71" s="39">
        <f t="shared" si="4"/>
        <v>2.5182405648624721E-2</v>
      </c>
      <c r="K71" s="17">
        <f t="shared" si="16"/>
        <v>415434.01999999979</v>
      </c>
      <c r="L71" s="95">
        <f t="shared" ref="L71:L78" si="19">IFERROR(C71/I71*100-100,0)</f>
        <v>24.093341164980501</v>
      </c>
      <c r="M71" s="82" t="s">
        <v>108</v>
      </c>
    </row>
    <row r="72" spans="1:13" s="2" customFormat="1" ht="15" customHeight="1">
      <c r="A72" s="15"/>
      <c r="B72" s="16" t="s">
        <v>54</v>
      </c>
      <c r="C72" s="17">
        <f>+C64-C67-C70-C71</f>
        <v>-109688059.00999996</v>
      </c>
      <c r="D72" s="39">
        <f t="shared" si="0"/>
        <v>-1.5593980524594819</v>
      </c>
      <c r="E72" s="17">
        <f>+E64-E67-E70-E71</f>
        <v>-227191209.75022238</v>
      </c>
      <c r="F72" s="39">
        <f t="shared" si="17"/>
        <v>-3.2299006219821207</v>
      </c>
      <c r="G72" s="17">
        <f t="shared" si="15"/>
        <v>117503150.74022242</v>
      </c>
      <c r="H72" s="95">
        <f t="shared" si="18"/>
        <v>-51.719937082692262</v>
      </c>
      <c r="I72" s="17">
        <f>+I64-I67-I70-I71</f>
        <v>17196545.739999849</v>
      </c>
      <c r="J72" s="39">
        <f t="shared" si="4"/>
        <v>0.25115012973341261</v>
      </c>
      <c r="K72" s="17">
        <f t="shared" ref="K72:K78" si="20">+C72-I72</f>
        <v>-126884604.74999981</v>
      </c>
      <c r="L72" s="95">
        <f t="shared" si="19"/>
        <v>-737.84937200999138</v>
      </c>
      <c r="M72" s="82" t="s">
        <v>142</v>
      </c>
    </row>
    <row r="73" spans="1:13" s="2" customFormat="1" ht="15" customHeight="1">
      <c r="A73" s="15"/>
      <c r="B73" s="16" t="s">
        <v>48</v>
      </c>
      <c r="C73" s="17">
        <f>SUM(C74:C78)+C63</f>
        <v>109688059.00999999</v>
      </c>
      <c r="D73" s="39">
        <f t="shared" ref="D73:D78" si="21">+C73/$C$2*100</f>
        <v>1.5593980524594824</v>
      </c>
      <c r="E73" s="17">
        <f>SUM(E74:E78)+E63</f>
        <v>227191209.75022238</v>
      </c>
      <c r="F73" s="39">
        <f t="shared" si="17"/>
        <v>3.2299006219821207</v>
      </c>
      <c r="G73" s="17">
        <f t="shared" si="15"/>
        <v>-117503150.74022239</v>
      </c>
      <c r="H73" s="95">
        <f t="shared" si="18"/>
        <v>-51.719937082692248</v>
      </c>
      <c r="I73" s="17">
        <f>SUM(I74:I78)</f>
        <v>-17196545.739999846</v>
      </c>
      <c r="J73" s="39">
        <f t="shared" ref="J73:J78" si="22">+I73/$I$2*100</f>
        <v>-0.25115012973341261</v>
      </c>
      <c r="K73" s="17">
        <f t="shared" si="20"/>
        <v>126884604.74999984</v>
      </c>
      <c r="L73" s="95">
        <f t="shared" si="19"/>
        <v>-737.84937200999161</v>
      </c>
      <c r="M73" s="82" t="s">
        <v>143</v>
      </c>
    </row>
    <row r="74" spans="1:13">
      <c r="A74" s="21">
        <v>7511</v>
      </c>
      <c r="B74" s="22" t="s">
        <v>55</v>
      </c>
      <c r="C74" s="23">
        <v>0</v>
      </c>
      <c r="D74" s="41">
        <f t="shared" si="21"/>
        <v>0</v>
      </c>
      <c r="E74" s="109">
        <v>0</v>
      </c>
      <c r="F74" s="41">
        <f t="shared" si="17"/>
        <v>0</v>
      </c>
      <c r="G74" s="23">
        <f t="shared" si="15"/>
        <v>0</v>
      </c>
      <c r="H74" s="96">
        <f t="shared" si="18"/>
        <v>0</v>
      </c>
      <c r="I74" s="23">
        <v>0</v>
      </c>
      <c r="J74" s="41">
        <f t="shared" si="22"/>
        <v>0</v>
      </c>
      <c r="K74" s="23">
        <f t="shared" si="20"/>
        <v>0</v>
      </c>
      <c r="L74" s="96">
        <f t="shared" si="19"/>
        <v>0</v>
      </c>
      <c r="M74" s="74" t="s">
        <v>144</v>
      </c>
    </row>
    <row r="75" spans="1:13" ht="15" customHeight="1">
      <c r="A75" s="21">
        <v>7512</v>
      </c>
      <c r="B75" s="22" t="s">
        <v>49</v>
      </c>
      <c r="C75" s="23">
        <v>695499764.52999997</v>
      </c>
      <c r="D75" s="41">
        <f t="shared" si="21"/>
        <v>9.8876850231731588</v>
      </c>
      <c r="E75" s="109">
        <v>687000000</v>
      </c>
      <c r="F75" s="41">
        <f t="shared" si="17"/>
        <v>9.7668467443844182</v>
      </c>
      <c r="G75" s="23">
        <f t="shared" si="15"/>
        <v>8499764.5299999714</v>
      </c>
      <c r="H75" s="96">
        <f t="shared" si="18"/>
        <v>1.237229189228529</v>
      </c>
      <c r="I75" s="23">
        <v>103371113.69999999</v>
      </c>
      <c r="J75" s="41">
        <f t="shared" si="22"/>
        <v>1.5097025303200557</v>
      </c>
      <c r="K75" s="23">
        <f t="shared" si="20"/>
        <v>592128650.82999992</v>
      </c>
      <c r="L75" s="96">
        <f t="shared" si="19"/>
        <v>572.81829481730733</v>
      </c>
      <c r="M75" s="74" t="s">
        <v>145</v>
      </c>
    </row>
    <row r="76" spans="1:13" ht="15" customHeight="1">
      <c r="A76" s="18">
        <v>72</v>
      </c>
      <c r="B76" s="19" t="s">
        <v>172</v>
      </c>
      <c r="C76" s="20">
        <v>276973.7</v>
      </c>
      <c r="D76" s="40">
        <f t="shared" si="21"/>
        <v>3.9376414557861818E-3</v>
      </c>
      <c r="E76" s="110">
        <v>1500000</v>
      </c>
      <c r="F76" s="40">
        <f t="shared" si="17"/>
        <v>2.1324992891669035E-2</v>
      </c>
      <c r="G76" s="20">
        <f t="shared" si="15"/>
        <v>-1223026.3</v>
      </c>
      <c r="H76" s="91">
        <f t="shared" si="18"/>
        <v>-81.535086666666672</v>
      </c>
      <c r="I76" s="20">
        <v>909468.25</v>
      </c>
      <c r="J76" s="40">
        <f t="shared" si="22"/>
        <v>1.3282497103160774E-2</v>
      </c>
      <c r="K76" s="20">
        <f t="shared" si="20"/>
        <v>-632494.55000000005</v>
      </c>
      <c r="L76" s="91">
        <f t="shared" si="19"/>
        <v>-69.545533887521643</v>
      </c>
      <c r="M76" s="73" t="s">
        <v>146</v>
      </c>
    </row>
    <row r="77" spans="1:13" ht="15" customHeight="1">
      <c r="A77" s="28">
        <v>73</v>
      </c>
      <c r="B77" s="29" t="s">
        <v>187</v>
      </c>
      <c r="C77" s="30">
        <v>2542208</v>
      </c>
      <c r="D77" s="40">
        <f t="shared" si="21"/>
        <v>3.6141711686096104E-2</v>
      </c>
      <c r="E77" s="112">
        <v>830642.9589314796</v>
      </c>
      <c r="F77" s="40">
        <f t="shared" si="17"/>
        <v>1.1808970129819159E-2</v>
      </c>
      <c r="G77" s="20">
        <f t="shared" si="15"/>
        <v>1711565.0410685204</v>
      </c>
      <c r="H77" s="91">
        <f t="shared" si="18"/>
        <v>206.05303670667831</v>
      </c>
      <c r="I77" s="30">
        <v>3256258.1999999997</v>
      </c>
      <c r="J77" s="40">
        <f>+I77/$I$2*100</f>
        <v>4.7556624553571292E-2</v>
      </c>
      <c r="K77" s="20">
        <f t="shared" si="20"/>
        <v>-714050.19999999972</v>
      </c>
      <c r="L77" s="91">
        <f t="shared" si="19"/>
        <v>-21.928549769179853</v>
      </c>
      <c r="M77" s="73" t="s">
        <v>108</v>
      </c>
    </row>
    <row r="78" spans="1:13" ht="15" customHeight="1" thickBot="1">
      <c r="A78" s="24"/>
      <c r="B78" s="25" t="s">
        <v>50</v>
      </c>
      <c r="C78" s="26">
        <f>+-C72-(SUM(C74:C77)+C63)</f>
        <v>-588630887.22000003</v>
      </c>
      <c r="D78" s="42">
        <f t="shared" si="21"/>
        <v>-8.3683663238555592</v>
      </c>
      <c r="E78" s="26">
        <f>+-E72-(SUM(E74:E77)+E63)</f>
        <v>-462139433.20870906</v>
      </c>
      <c r="F78" s="42">
        <f t="shared" si="17"/>
        <v>-6.5700800854237853</v>
      </c>
      <c r="G78" s="26">
        <f>+C78-E78</f>
        <v>-126491454.01129097</v>
      </c>
      <c r="H78" s="97">
        <f t="shared" si="18"/>
        <v>27.370841984428878</v>
      </c>
      <c r="I78" s="26">
        <f>-I72-SUM(I74:I77)</f>
        <v>-124733385.88999984</v>
      </c>
      <c r="J78" s="42">
        <f t="shared" si="22"/>
        <v>-1.8216917817102003</v>
      </c>
      <c r="K78" s="26">
        <f t="shared" si="20"/>
        <v>-463897501.33000016</v>
      </c>
      <c r="L78" s="97">
        <f t="shared" si="19"/>
        <v>371.91125537079802</v>
      </c>
      <c r="M78" s="77" t="s">
        <v>147</v>
      </c>
    </row>
    <row r="79" spans="1:13" ht="13.5" customHeight="1"/>
    <row r="82" spans="9:9">
      <c r="I82" s="7"/>
    </row>
  </sheetData>
  <sheetProtection algorithmName="SHA-512" hashValue="meT7bJzCnbfKzhbcxOffOjkGV3jHC84HqwL1C2QmVAKqWFmd9TPKVhUFuZSOGB69g8NyxrwHK3HOq406VBFUMA==" saltValue="wGcEtfNRvP5lkRimluMR9w=="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9" orientation="landscape"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80"/>
  <sheetViews>
    <sheetView zoomScale="90" zoomScaleNormal="90" zoomScaleSheetLayoutView="90" workbookViewId="0">
      <pane ySplit="5" topLeftCell="A6" activePane="bottomLeft" state="frozen"/>
      <selection activeCell="G14" sqref="G14"/>
      <selection pane="bottomLeft" activeCell="A6" sqref="A6"/>
    </sheetView>
  </sheetViews>
  <sheetFormatPr defaultColWidth="9.140625" defaultRowHeight="13.5"/>
  <cols>
    <col min="1" max="1" width="13.140625" style="4" customWidth="1"/>
    <col min="2" max="2" width="63.7109375" style="4" customWidth="1"/>
    <col min="3" max="3" width="9.140625" style="6" customWidth="1"/>
    <col min="4" max="4" width="9.140625" style="4" customWidth="1"/>
    <col min="5" max="5" width="9.140625" style="6" customWidth="1"/>
    <col min="6" max="6" width="10" style="7" customWidth="1"/>
    <col min="7" max="7" width="11.42578125" style="6" customWidth="1"/>
    <col min="8" max="8" width="10.42578125" style="98" customWidth="1"/>
    <col min="9" max="9" width="9.140625" style="6" customWidth="1"/>
    <col min="10" max="10" width="10.42578125" style="7" customWidth="1"/>
    <col min="11" max="11" width="11.140625" style="6" customWidth="1"/>
    <col min="12" max="12" width="11.7109375" style="98" customWidth="1"/>
    <col min="13" max="13" width="54.42578125" style="4" customWidth="1"/>
    <col min="14" max="16384" width="9.140625" style="1"/>
  </cols>
  <sheetData>
    <row r="1" spans="1:16382" ht="18.75" customHeight="1" thickBot="1">
      <c r="B1" s="5"/>
      <c r="M1" s="5"/>
    </row>
    <row r="2" spans="1:16382" ht="15.75" customHeight="1" thickBot="1">
      <c r="A2" s="8" t="s">
        <v>58</v>
      </c>
      <c r="B2" s="8"/>
      <c r="C2" s="128">
        <f>+'Centralna država-ek klas'!C2:D2</f>
        <v>7034000000</v>
      </c>
      <c r="D2" s="129"/>
      <c r="E2" s="128">
        <f>+'Centralna država-ek klas'!E2:F2</f>
        <v>7034000000</v>
      </c>
      <c r="F2" s="129"/>
      <c r="G2" s="9"/>
      <c r="H2" s="99"/>
      <c r="I2" s="128">
        <f>+'Centralna država-ek klas'!I2:J2</f>
        <v>6847118000</v>
      </c>
      <c r="J2" s="129"/>
      <c r="K2" s="9"/>
      <c r="L2" s="99"/>
      <c r="M2" s="8" t="s">
        <v>78</v>
      </c>
    </row>
    <row r="3" spans="1:16382" ht="15" customHeight="1" thickBot="1">
      <c r="A3" s="8"/>
      <c r="B3" s="8"/>
      <c r="C3" s="11"/>
      <c r="D3" s="8"/>
      <c r="E3" s="11"/>
      <c r="F3" s="10"/>
      <c r="G3" s="11"/>
      <c r="H3" s="99"/>
      <c r="I3" s="11"/>
      <c r="J3" s="10"/>
      <c r="K3" s="11"/>
      <c r="L3" s="99"/>
      <c r="M3" s="8"/>
    </row>
    <row r="4" spans="1:16382" ht="15" customHeight="1">
      <c r="A4" s="120" t="s">
        <v>70</v>
      </c>
      <c r="B4" s="118" t="s">
        <v>71</v>
      </c>
      <c r="C4" s="124" t="s">
        <v>189</v>
      </c>
      <c r="D4" s="125"/>
      <c r="E4" s="122" t="s">
        <v>190</v>
      </c>
      <c r="F4" s="123"/>
      <c r="G4" s="122" t="s">
        <v>171</v>
      </c>
      <c r="H4" s="123"/>
      <c r="I4" s="122" t="s">
        <v>191</v>
      </c>
      <c r="J4" s="123"/>
      <c r="K4" s="122" t="s">
        <v>171</v>
      </c>
      <c r="L4" s="123"/>
      <c r="M4" s="116" t="s">
        <v>148</v>
      </c>
    </row>
    <row r="5" spans="1:16382" ht="23.25" customHeight="1">
      <c r="A5" s="121"/>
      <c r="B5" s="119"/>
      <c r="C5" s="12" t="s">
        <v>61</v>
      </c>
      <c r="D5" s="13" t="s">
        <v>56</v>
      </c>
      <c r="E5" s="12" t="s">
        <v>61</v>
      </c>
      <c r="F5" s="13" t="s">
        <v>56</v>
      </c>
      <c r="G5" s="12" t="s">
        <v>64</v>
      </c>
      <c r="H5" s="100" t="s">
        <v>62</v>
      </c>
      <c r="I5" s="12" t="s">
        <v>61</v>
      </c>
      <c r="J5" s="14" t="s">
        <v>56</v>
      </c>
      <c r="K5" s="12" t="s">
        <v>61</v>
      </c>
      <c r="L5" s="102" t="s">
        <v>62</v>
      </c>
      <c r="M5" s="117"/>
    </row>
    <row r="6" spans="1:16382" s="34" customFormat="1" ht="15" customHeight="1">
      <c r="A6" s="31"/>
      <c r="B6" s="32" t="s">
        <v>51</v>
      </c>
      <c r="C6" s="33">
        <f>+C7+C12+C19+C30+C35+C36</f>
        <v>93179729.049999997</v>
      </c>
      <c r="D6" s="43">
        <f>IFERROR(C6/$C$2*100,0)</f>
        <v>1.3247047064259312</v>
      </c>
      <c r="E6" s="33">
        <f>+E7+E12+E19+E30+E35+E36</f>
        <v>78880447.547700003</v>
      </c>
      <c r="F6" s="43">
        <f>IFERROR(E6/$E$2*100,0)</f>
        <v>1.1214166554975833</v>
      </c>
      <c r="G6" s="33">
        <f>+C6-E6</f>
        <v>14299281.502299994</v>
      </c>
      <c r="H6" s="101">
        <f>IFERROR(C6/E6*100-100,0)</f>
        <v>18.127789517995623</v>
      </c>
      <c r="I6" s="33">
        <f>+I7+I12+I19+I30+I35+I36</f>
        <v>64427629.090000004</v>
      </c>
      <c r="J6" s="43">
        <f>IFERROR(I6/$I$2*100,0)</f>
        <v>0.94094521359205441</v>
      </c>
      <c r="K6" s="33">
        <f>+C6-I6</f>
        <v>28752099.959999993</v>
      </c>
      <c r="L6" s="101">
        <f>IFERROR(C6/I6*100-100,0)</f>
        <v>44.626971946826899</v>
      </c>
      <c r="M6" s="72" t="s">
        <v>149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row>
    <row r="7" spans="1:16382" ht="15" customHeight="1">
      <c r="A7" s="18">
        <v>711</v>
      </c>
      <c r="B7" s="19" t="s">
        <v>1</v>
      </c>
      <c r="C7" s="20">
        <f>+SUM(C8:C11)</f>
        <v>35692473.019999996</v>
      </c>
      <c r="D7" s="40">
        <f t="shared" ref="D7:D70" si="0">IFERROR(C7/$C$2*100,0)</f>
        <v>0.50742782229172578</v>
      </c>
      <c r="E7" s="20">
        <f>+SUM(E8:E11)</f>
        <v>37818274.095200002</v>
      </c>
      <c r="F7" s="40">
        <f t="shared" ref="F7:F70" si="1">IFERROR(E7/$E$2*100,0)</f>
        <v>0.53764961750355422</v>
      </c>
      <c r="G7" s="20">
        <f t="shared" ref="G7:G65" si="2">+C7-E7</f>
        <v>-2125801.0752000064</v>
      </c>
      <c r="H7" s="91">
        <f t="shared" ref="H7:H70" si="3">IFERROR(C7/E7*100-100,0)</f>
        <v>-5.6210948967388816</v>
      </c>
      <c r="I7" s="69">
        <f>+SUM(I8:I11)</f>
        <v>31391090.32</v>
      </c>
      <c r="J7" s="40">
        <f t="shared" ref="J7:J70" si="4">IFERROR(I7/$I$2*100,0)</f>
        <v>0.45845697883401459</v>
      </c>
      <c r="K7" s="20">
        <f>+C7-I7</f>
        <v>4301382.6999999955</v>
      </c>
      <c r="L7" s="91">
        <f t="shared" ref="L7:L70" si="5">IFERROR(C7/I7*100-100,0)</f>
        <v>13.702559089702859</v>
      </c>
      <c r="M7" s="73" t="s">
        <v>79</v>
      </c>
    </row>
    <row r="8" spans="1:16382" ht="15" customHeight="1">
      <c r="A8" s="21">
        <v>7111</v>
      </c>
      <c r="B8" s="22" t="s">
        <v>2</v>
      </c>
      <c r="C8" s="23">
        <v>18723592.449999999</v>
      </c>
      <c r="D8" s="41">
        <f t="shared" si="0"/>
        <v>0.26618698393517198</v>
      </c>
      <c r="E8" s="23">
        <v>19635463.765999999</v>
      </c>
      <c r="F8" s="41">
        <f t="shared" si="1"/>
        <v>0.27915075015638324</v>
      </c>
      <c r="G8" s="23">
        <f t="shared" si="2"/>
        <v>-911871.31599999964</v>
      </c>
      <c r="H8" s="96">
        <f t="shared" si="3"/>
        <v>-4.6440019286886525</v>
      </c>
      <c r="I8" s="23">
        <v>12196022.889999999</v>
      </c>
      <c r="J8" s="41">
        <f t="shared" si="4"/>
        <v>0.17811906980425923</v>
      </c>
      <c r="K8" s="23">
        <f t="shared" ref="K8:K65" si="6">+C8-I8</f>
        <v>6527569.5600000005</v>
      </c>
      <c r="L8" s="96">
        <f t="shared" si="5"/>
        <v>53.522116339681617</v>
      </c>
      <c r="M8" s="74" t="s">
        <v>80</v>
      </c>
    </row>
    <row r="9" spans="1:16382" ht="15" customHeight="1">
      <c r="A9" s="21">
        <v>71131</v>
      </c>
      <c r="B9" s="22" t="s">
        <v>66</v>
      </c>
      <c r="C9" s="23">
        <v>7723478.8800000008</v>
      </c>
      <c r="D9" s="41">
        <f t="shared" si="0"/>
        <v>0.10980208814330397</v>
      </c>
      <c r="E9" s="23">
        <v>8000000</v>
      </c>
      <c r="F9" s="41">
        <f t="shared" si="1"/>
        <v>0.11373329542223486</v>
      </c>
      <c r="G9" s="23">
        <f t="shared" ref="G9" si="7">+C9-E9</f>
        <v>-276521.11999999918</v>
      </c>
      <c r="H9" s="96">
        <f t="shared" si="3"/>
        <v>-3.4565139999999843</v>
      </c>
      <c r="I9" s="23">
        <v>9244808.6599999964</v>
      </c>
      <c r="J9" s="41">
        <f t="shared" si="4"/>
        <v>0.13501751627473044</v>
      </c>
      <c r="K9" s="23">
        <f t="shared" ref="K9" si="8">+C9-I9</f>
        <v>-1521329.7799999956</v>
      </c>
      <c r="L9" s="96">
        <f t="shared" si="5"/>
        <v>-16.456043991287927</v>
      </c>
      <c r="M9" s="74" t="s">
        <v>150</v>
      </c>
    </row>
    <row r="10" spans="1:16382" ht="15" customHeight="1">
      <c r="A10" s="21">
        <v>71132</v>
      </c>
      <c r="B10" s="22" t="s">
        <v>4</v>
      </c>
      <c r="C10" s="23">
        <v>4275828.63</v>
      </c>
      <c r="D10" s="41">
        <f t="shared" si="0"/>
        <v>6.0788010093829968E-2</v>
      </c>
      <c r="E10" s="23">
        <v>4900000</v>
      </c>
      <c r="F10" s="41">
        <f t="shared" si="1"/>
        <v>6.9661643446118859E-2</v>
      </c>
      <c r="G10" s="23">
        <f t="shared" si="2"/>
        <v>-624171.37000000011</v>
      </c>
      <c r="H10" s="96">
        <f t="shared" si="3"/>
        <v>-12.73819122448981</v>
      </c>
      <c r="I10" s="23">
        <v>6106793.4199999999</v>
      </c>
      <c r="J10" s="41">
        <f t="shared" si="4"/>
        <v>8.9187792878697283E-2</v>
      </c>
      <c r="K10" s="23">
        <f t="shared" si="6"/>
        <v>-1830964.79</v>
      </c>
      <c r="L10" s="96">
        <f t="shared" si="5"/>
        <v>-29.982425539457651</v>
      </c>
      <c r="M10" s="74" t="s">
        <v>82</v>
      </c>
    </row>
    <row r="11" spans="1:16382" ht="15" customHeight="1">
      <c r="A11" s="108" t="s">
        <v>192</v>
      </c>
      <c r="B11" s="22" t="s">
        <v>193</v>
      </c>
      <c r="C11" s="23">
        <v>4969573.0600000005</v>
      </c>
      <c r="D11" s="41">
        <f t="shared" si="0"/>
        <v>7.0650740119419964E-2</v>
      </c>
      <c r="E11" s="23">
        <v>5282810.3291999996</v>
      </c>
      <c r="F11" s="41">
        <f t="shared" si="1"/>
        <v>7.5103928478817167E-2</v>
      </c>
      <c r="G11" s="23">
        <f t="shared" si="2"/>
        <v>-313237.26919999905</v>
      </c>
      <c r="H11" s="96">
        <f t="shared" si="3"/>
        <v>-5.9293680764691459</v>
      </c>
      <c r="I11" s="23">
        <v>3843465.3500000006</v>
      </c>
      <c r="J11" s="41">
        <f t="shared" si="4"/>
        <v>5.6132599876327544E-2</v>
      </c>
      <c r="K11" s="23">
        <f t="shared" si="6"/>
        <v>1126107.71</v>
      </c>
      <c r="L11" s="96">
        <f t="shared" si="5"/>
        <v>29.299280921057345</v>
      </c>
      <c r="M11" s="74" t="s">
        <v>160</v>
      </c>
    </row>
    <row r="12" spans="1:16382" ht="15" customHeight="1">
      <c r="A12" s="18">
        <v>713</v>
      </c>
      <c r="B12" s="19" t="s">
        <v>13</v>
      </c>
      <c r="C12" s="69">
        <f>SUM(C13:C18)</f>
        <v>1195628.4900000002</v>
      </c>
      <c r="D12" s="40">
        <f t="shared" si="0"/>
        <v>1.6997846033551325E-2</v>
      </c>
      <c r="E12" s="20">
        <v>1500000</v>
      </c>
      <c r="F12" s="40">
        <f t="shared" si="1"/>
        <v>2.1324992891669035E-2</v>
      </c>
      <c r="G12" s="20">
        <f t="shared" si="2"/>
        <v>-304371.50999999978</v>
      </c>
      <c r="H12" s="91">
        <f t="shared" si="3"/>
        <v>-20.291433999999981</v>
      </c>
      <c r="I12" s="69">
        <f>I13+I17+I18</f>
        <v>1079281.1099999999</v>
      </c>
      <c r="J12" s="40">
        <f t="shared" si="4"/>
        <v>1.5762560394022709E-2</v>
      </c>
      <c r="K12" s="20">
        <f t="shared" si="6"/>
        <v>116347.38000000035</v>
      </c>
      <c r="L12" s="91">
        <f t="shared" si="5"/>
        <v>10.780081196825591</v>
      </c>
      <c r="M12" s="73" t="s">
        <v>92</v>
      </c>
    </row>
    <row r="13" spans="1:16382">
      <c r="A13" s="21">
        <v>7131</v>
      </c>
      <c r="B13" s="22" t="s">
        <v>14</v>
      </c>
      <c r="C13" s="23">
        <v>222249.24000000002</v>
      </c>
      <c r="D13" s="41">
        <f t="shared" si="0"/>
        <v>3.1596423087858973E-3</v>
      </c>
      <c r="E13" s="109">
        <v>300000</v>
      </c>
      <c r="F13" s="41">
        <f t="shared" si="1"/>
        <v>4.2649985783338078E-3</v>
      </c>
      <c r="G13" s="23">
        <f t="shared" si="2"/>
        <v>-77750.75999999998</v>
      </c>
      <c r="H13" s="96">
        <f t="shared" si="3"/>
        <v>-25.916920000000005</v>
      </c>
      <c r="I13" s="23">
        <v>231262.99</v>
      </c>
      <c r="J13" s="41">
        <f t="shared" si="4"/>
        <v>3.3775230688298345E-3</v>
      </c>
      <c r="K13" s="23">
        <f t="shared" si="6"/>
        <v>-9013.7499999999709</v>
      </c>
      <c r="L13" s="96">
        <f t="shared" si="5"/>
        <v>-3.8976188969968746</v>
      </c>
      <c r="M13" s="74" t="s">
        <v>93</v>
      </c>
    </row>
    <row r="14" spans="1:16382" hidden="1">
      <c r="A14" s="21">
        <v>7132</v>
      </c>
      <c r="B14" s="22" t="s">
        <v>15</v>
      </c>
      <c r="C14" s="23"/>
      <c r="D14" s="41">
        <f t="shared" si="0"/>
        <v>0</v>
      </c>
      <c r="E14" s="109"/>
      <c r="F14" s="41">
        <f t="shared" si="1"/>
        <v>0</v>
      </c>
      <c r="G14" s="23">
        <f t="shared" si="2"/>
        <v>0</v>
      </c>
      <c r="H14" s="96">
        <f t="shared" si="3"/>
        <v>0</v>
      </c>
      <c r="I14" s="23"/>
      <c r="J14" s="41">
        <f t="shared" si="4"/>
        <v>0</v>
      </c>
      <c r="K14" s="23">
        <f t="shared" si="6"/>
        <v>0</v>
      </c>
      <c r="L14" s="96">
        <f t="shared" si="5"/>
        <v>0</v>
      </c>
      <c r="M14" s="74" t="s">
        <v>94</v>
      </c>
    </row>
    <row r="15" spans="1:16382" ht="14.25" hidden="1" customHeight="1">
      <c r="A15" s="21">
        <v>7133</v>
      </c>
      <c r="B15" s="22" t="s">
        <v>16</v>
      </c>
      <c r="C15" s="23"/>
      <c r="D15" s="41">
        <f t="shared" si="0"/>
        <v>0</v>
      </c>
      <c r="E15" s="109"/>
      <c r="F15" s="41">
        <f t="shared" si="1"/>
        <v>0</v>
      </c>
      <c r="G15" s="23">
        <f t="shared" si="2"/>
        <v>0</v>
      </c>
      <c r="H15" s="96">
        <f t="shared" si="3"/>
        <v>0</v>
      </c>
      <c r="I15" s="23"/>
      <c r="J15" s="41">
        <f t="shared" si="4"/>
        <v>0</v>
      </c>
      <c r="K15" s="23">
        <f t="shared" si="6"/>
        <v>0</v>
      </c>
      <c r="L15" s="96">
        <f t="shared" si="5"/>
        <v>0</v>
      </c>
      <c r="M15" s="74" t="s">
        <v>156</v>
      </c>
    </row>
    <row r="16" spans="1:16382" hidden="1">
      <c r="A16" s="21">
        <v>7134</v>
      </c>
      <c r="B16" s="22" t="s">
        <v>151</v>
      </c>
      <c r="C16" s="23"/>
      <c r="D16" s="41">
        <f t="shared" si="0"/>
        <v>0</v>
      </c>
      <c r="E16" s="109"/>
      <c r="F16" s="41">
        <f t="shared" si="1"/>
        <v>0</v>
      </c>
      <c r="G16" s="23">
        <f t="shared" ref="G16:G17" si="9">+C16-E16</f>
        <v>0</v>
      </c>
      <c r="H16" s="96">
        <f t="shared" si="3"/>
        <v>0</v>
      </c>
      <c r="I16" s="23"/>
      <c r="J16" s="41">
        <f t="shared" si="4"/>
        <v>0</v>
      </c>
      <c r="K16" s="23">
        <f t="shared" ref="K16:K17" si="10">+C16-I16</f>
        <v>0</v>
      </c>
      <c r="L16" s="96">
        <f t="shared" si="5"/>
        <v>0</v>
      </c>
      <c r="M16" s="74" t="s">
        <v>155</v>
      </c>
    </row>
    <row r="17" spans="1:13" ht="15" customHeight="1">
      <c r="A17" s="21">
        <v>7135</v>
      </c>
      <c r="B17" s="22" t="s">
        <v>17</v>
      </c>
      <c r="C17" s="23">
        <v>849445.45000000007</v>
      </c>
      <c r="D17" s="41">
        <f t="shared" si="0"/>
        <v>1.2076278788740406E-2</v>
      </c>
      <c r="E17" s="109">
        <v>900000</v>
      </c>
      <c r="F17" s="41">
        <f t="shared" si="1"/>
        <v>1.2794995735001421E-2</v>
      </c>
      <c r="G17" s="23">
        <f t="shared" si="9"/>
        <v>-50554.54999999993</v>
      </c>
      <c r="H17" s="96">
        <f t="shared" si="3"/>
        <v>-5.6171722222222087</v>
      </c>
      <c r="I17" s="23">
        <v>755017.1399999999</v>
      </c>
      <c r="J17" s="41">
        <f t="shared" si="4"/>
        <v>1.1026787328624976E-2</v>
      </c>
      <c r="K17" s="23">
        <f t="shared" si="10"/>
        <v>94428.310000000172</v>
      </c>
      <c r="L17" s="96">
        <f t="shared" si="5"/>
        <v>12.506776998466592</v>
      </c>
      <c r="M17" s="74" t="s">
        <v>154</v>
      </c>
    </row>
    <row r="18" spans="1:13" ht="15" customHeight="1">
      <c r="A18" s="21">
        <v>7136</v>
      </c>
      <c r="B18" s="22" t="s">
        <v>18</v>
      </c>
      <c r="C18" s="23">
        <v>123933.8</v>
      </c>
      <c r="D18" s="41">
        <f t="shared" si="0"/>
        <v>1.7619249360250214E-3</v>
      </c>
      <c r="E18" s="109">
        <v>300000</v>
      </c>
      <c r="F18" s="41">
        <f t="shared" si="1"/>
        <v>4.2649985783338078E-3</v>
      </c>
      <c r="G18" s="23">
        <f t="shared" si="2"/>
        <v>-176066.2</v>
      </c>
      <c r="H18" s="96">
        <f t="shared" si="3"/>
        <v>-58.688733333333332</v>
      </c>
      <c r="I18" s="23">
        <v>93000.98</v>
      </c>
      <c r="J18" s="41">
        <f t="shared" si="4"/>
        <v>1.3582499965678989E-3</v>
      </c>
      <c r="K18" s="23">
        <f t="shared" si="6"/>
        <v>30932.820000000007</v>
      </c>
      <c r="L18" s="96">
        <f t="shared" si="5"/>
        <v>33.260746284609041</v>
      </c>
      <c r="M18" s="74" t="s">
        <v>96</v>
      </c>
    </row>
    <row r="19" spans="1:13" ht="15" customHeight="1">
      <c r="A19" s="18">
        <v>714</v>
      </c>
      <c r="B19" s="19" t="s">
        <v>19</v>
      </c>
      <c r="C19" s="20">
        <f>+SUM(C20:C29)</f>
        <v>22468422.259999998</v>
      </c>
      <c r="D19" s="40">
        <f t="shared" si="0"/>
        <v>0.3194259633210122</v>
      </c>
      <c r="E19" s="110">
        <f>+SUM(E20:E29)</f>
        <v>21100000</v>
      </c>
      <c r="F19" s="40">
        <f t="shared" si="1"/>
        <v>0.29997156667614444</v>
      </c>
      <c r="G19" s="20">
        <f t="shared" si="2"/>
        <v>1368422.2599999979</v>
      </c>
      <c r="H19" s="91">
        <f t="shared" si="3"/>
        <v>6.4854135545023581</v>
      </c>
      <c r="I19" s="69">
        <f>+SUM(I20:I29)</f>
        <v>15331471.739999998</v>
      </c>
      <c r="J19" s="40">
        <f t="shared" si="4"/>
        <v>0.22391131188333543</v>
      </c>
      <c r="K19" s="20">
        <f t="shared" si="6"/>
        <v>7136950.5199999996</v>
      </c>
      <c r="L19" s="91">
        <f t="shared" si="5"/>
        <v>46.550981151924304</v>
      </c>
      <c r="M19" s="73" t="s">
        <v>97</v>
      </c>
    </row>
    <row r="20" spans="1:13" ht="15" customHeight="1">
      <c r="A20" s="21">
        <v>7141</v>
      </c>
      <c r="B20" s="22" t="s">
        <v>20</v>
      </c>
      <c r="C20" s="23">
        <v>594928.9700000002</v>
      </c>
      <c r="D20" s="41">
        <f t="shared" si="0"/>
        <v>8.4579040375319901E-3</v>
      </c>
      <c r="E20" s="109">
        <v>500000</v>
      </c>
      <c r="F20" s="41">
        <f t="shared" si="1"/>
        <v>7.1083309638896785E-3</v>
      </c>
      <c r="G20" s="23">
        <f t="shared" si="2"/>
        <v>94928.970000000205</v>
      </c>
      <c r="H20" s="96">
        <f t="shared" si="3"/>
        <v>18.985794000000041</v>
      </c>
      <c r="I20" s="23">
        <v>1696888.0399999998</v>
      </c>
      <c r="J20" s="41">
        <f t="shared" si="4"/>
        <v>2.4782514920876197E-2</v>
      </c>
      <c r="K20" s="23">
        <f t="shared" si="6"/>
        <v>-1101959.0699999996</v>
      </c>
      <c r="L20" s="96">
        <f t="shared" si="5"/>
        <v>-64.939998634205693</v>
      </c>
      <c r="M20" s="74" t="s">
        <v>98</v>
      </c>
    </row>
    <row r="21" spans="1:13" ht="15" customHeight="1">
      <c r="A21" s="21">
        <v>7142</v>
      </c>
      <c r="B21" s="22" t="s">
        <v>21</v>
      </c>
      <c r="C21" s="23">
        <v>1530315.7000000002</v>
      </c>
      <c r="D21" s="41">
        <f t="shared" si="0"/>
        <v>2.1755980949673018E-2</v>
      </c>
      <c r="E21" s="109">
        <v>1300000</v>
      </c>
      <c r="F21" s="41">
        <f t="shared" si="1"/>
        <v>1.8481660506113166E-2</v>
      </c>
      <c r="G21" s="23">
        <f t="shared" si="2"/>
        <v>230315.70000000019</v>
      </c>
      <c r="H21" s="96">
        <f t="shared" si="3"/>
        <v>17.716592307692309</v>
      </c>
      <c r="I21" s="23">
        <v>1647485.2400000002</v>
      </c>
      <c r="J21" s="41">
        <f t="shared" si="4"/>
        <v>2.4061002599925985E-2</v>
      </c>
      <c r="K21" s="23">
        <f t="shared" si="6"/>
        <v>-117169.54000000004</v>
      </c>
      <c r="L21" s="96">
        <f t="shared" si="5"/>
        <v>-7.112023656126965</v>
      </c>
      <c r="M21" s="74" t="s">
        <v>99</v>
      </c>
    </row>
    <row r="22" spans="1:13" hidden="1">
      <c r="A22" s="21">
        <v>7143</v>
      </c>
      <c r="B22" s="22" t="s">
        <v>22</v>
      </c>
      <c r="C22" s="23"/>
      <c r="D22" s="41">
        <f t="shared" si="0"/>
        <v>0</v>
      </c>
      <c r="E22" s="109"/>
      <c r="F22" s="41">
        <f t="shared" si="1"/>
        <v>0</v>
      </c>
      <c r="G22" s="23">
        <f t="shared" si="2"/>
        <v>0</v>
      </c>
      <c r="H22" s="96">
        <f t="shared" si="3"/>
        <v>0</v>
      </c>
      <c r="I22" s="23"/>
      <c r="J22" s="41">
        <f t="shared" si="4"/>
        <v>0</v>
      </c>
      <c r="K22" s="23">
        <f t="shared" si="6"/>
        <v>0</v>
      </c>
      <c r="L22" s="96">
        <f t="shared" si="5"/>
        <v>0</v>
      </c>
      <c r="M22" s="74" t="s">
        <v>100</v>
      </c>
    </row>
    <row r="23" spans="1:13" hidden="1">
      <c r="A23" s="21">
        <v>7144</v>
      </c>
      <c r="B23" s="22" t="s">
        <v>23</v>
      </c>
      <c r="C23" s="23"/>
      <c r="D23" s="41">
        <f t="shared" si="0"/>
        <v>0</v>
      </c>
      <c r="E23" s="109"/>
      <c r="F23" s="41">
        <f t="shared" si="1"/>
        <v>0</v>
      </c>
      <c r="G23" s="23">
        <f>+C23-E23</f>
        <v>0</v>
      </c>
      <c r="H23" s="96">
        <f t="shared" si="3"/>
        <v>0</v>
      </c>
      <c r="I23" s="23"/>
      <c r="J23" s="41">
        <f t="shared" si="4"/>
        <v>0</v>
      </c>
      <c r="K23" s="23">
        <f>+C23-I23</f>
        <v>0</v>
      </c>
      <c r="L23" s="96">
        <f t="shared" si="5"/>
        <v>0</v>
      </c>
      <c r="M23" s="74" t="s">
        <v>101</v>
      </c>
    </row>
    <row r="24" spans="1:13" ht="15.75" hidden="1" customHeight="1">
      <c r="A24" s="21"/>
      <c r="B24" s="22" t="s">
        <v>24</v>
      </c>
      <c r="C24" s="23"/>
      <c r="D24" s="41">
        <f t="shared" si="0"/>
        <v>0</v>
      </c>
      <c r="E24" s="109"/>
      <c r="F24" s="41">
        <f t="shared" si="1"/>
        <v>0</v>
      </c>
      <c r="G24" s="23"/>
      <c r="H24" s="96">
        <f t="shared" si="3"/>
        <v>0</v>
      </c>
      <c r="I24" s="23"/>
      <c r="J24" s="41">
        <f t="shared" si="4"/>
        <v>0</v>
      </c>
      <c r="K24" s="23">
        <f>+C24-I24</f>
        <v>0</v>
      </c>
      <c r="L24" s="96">
        <f t="shared" si="5"/>
        <v>0</v>
      </c>
      <c r="M24" s="74"/>
    </row>
    <row r="25" spans="1:13" ht="17.25" hidden="1" customHeight="1">
      <c r="A25" s="21">
        <v>7145</v>
      </c>
      <c r="B25" s="22" t="s">
        <v>67</v>
      </c>
      <c r="C25" s="23"/>
      <c r="D25" s="41">
        <f t="shared" si="0"/>
        <v>0</v>
      </c>
      <c r="E25" s="109"/>
      <c r="F25" s="41">
        <f t="shared" si="1"/>
        <v>0</v>
      </c>
      <c r="G25" s="23">
        <f t="shared" ref="G25:G27" si="11">+C25-E25</f>
        <v>0</v>
      </c>
      <c r="H25" s="96">
        <f t="shared" si="3"/>
        <v>0</v>
      </c>
      <c r="I25" s="23"/>
      <c r="J25" s="41">
        <f t="shared" si="4"/>
        <v>0</v>
      </c>
      <c r="K25" s="23">
        <f t="shared" ref="K25:K27" si="12">+C25-I25</f>
        <v>0</v>
      </c>
      <c r="L25" s="96">
        <f t="shared" si="5"/>
        <v>0</v>
      </c>
      <c r="M25" s="74" t="s">
        <v>157</v>
      </c>
    </row>
    <row r="26" spans="1:13" ht="15" customHeight="1">
      <c r="A26" s="21">
        <v>7146</v>
      </c>
      <c r="B26" s="22" t="s">
        <v>184</v>
      </c>
      <c r="C26" s="23">
        <v>18757244.869999997</v>
      </c>
      <c r="D26" s="41">
        <f t="shared" si="0"/>
        <v>0.26666540901336361</v>
      </c>
      <c r="E26" s="109">
        <v>17900000</v>
      </c>
      <c r="F26" s="41">
        <f t="shared" si="1"/>
        <v>0.25447824850725048</v>
      </c>
      <c r="G26" s="23">
        <f t="shared" si="11"/>
        <v>857244.86999999732</v>
      </c>
      <c r="H26" s="96">
        <f t="shared" si="3"/>
        <v>4.7890774860335057</v>
      </c>
      <c r="I26" s="23">
        <v>10179308.869999999</v>
      </c>
      <c r="J26" s="41">
        <f t="shared" si="4"/>
        <v>0.14866559726296524</v>
      </c>
      <c r="K26" s="23">
        <f t="shared" si="12"/>
        <v>8577935.9999999981</v>
      </c>
      <c r="L26" s="96">
        <f t="shared" si="5"/>
        <v>84.268353672620208</v>
      </c>
      <c r="M26" s="74" t="s">
        <v>185</v>
      </c>
    </row>
    <row r="27" spans="1:13" ht="26.25" customHeight="1">
      <c r="A27" s="21">
        <v>7147</v>
      </c>
      <c r="B27" s="27" t="s">
        <v>68</v>
      </c>
      <c r="C27" s="23">
        <v>1422446.58</v>
      </c>
      <c r="D27" s="41">
        <f t="shared" si="0"/>
        <v>2.0222442138185956E-2</v>
      </c>
      <c r="E27" s="109">
        <v>1300000</v>
      </c>
      <c r="F27" s="41">
        <f t="shared" si="1"/>
        <v>1.8481660506113166E-2</v>
      </c>
      <c r="G27" s="23">
        <f t="shared" si="11"/>
        <v>122446.58000000007</v>
      </c>
      <c r="H27" s="96">
        <f t="shared" si="3"/>
        <v>9.418967692307703</v>
      </c>
      <c r="I27" s="23">
        <v>1124283.1299999999</v>
      </c>
      <c r="J27" s="41">
        <f t="shared" si="4"/>
        <v>1.6419800710313445E-2</v>
      </c>
      <c r="K27" s="23">
        <f t="shared" si="12"/>
        <v>298163.45000000019</v>
      </c>
      <c r="L27" s="96">
        <f t="shared" si="5"/>
        <v>26.520316995239469</v>
      </c>
      <c r="M27" s="75" t="s">
        <v>158</v>
      </c>
    </row>
    <row r="28" spans="1:13" ht="15" hidden="1" customHeight="1">
      <c r="A28" s="21">
        <v>7148</v>
      </c>
      <c r="B28" s="22" t="s">
        <v>24</v>
      </c>
      <c r="C28" s="84"/>
      <c r="D28" s="41">
        <f t="shared" si="0"/>
        <v>0</v>
      </c>
      <c r="E28" s="111"/>
      <c r="F28" s="41">
        <f t="shared" si="1"/>
        <v>0</v>
      </c>
      <c r="G28" s="78">
        <f t="shared" si="2"/>
        <v>0</v>
      </c>
      <c r="H28" s="96">
        <f t="shared" si="3"/>
        <v>0</v>
      </c>
      <c r="I28" s="78"/>
      <c r="J28" s="41">
        <f t="shared" si="4"/>
        <v>0</v>
      </c>
      <c r="K28" s="78">
        <f t="shared" si="6"/>
        <v>0</v>
      </c>
      <c r="L28" s="96">
        <f t="shared" si="5"/>
        <v>0</v>
      </c>
      <c r="M28" s="74" t="s">
        <v>102</v>
      </c>
    </row>
    <row r="29" spans="1:13" ht="15" customHeight="1">
      <c r="A29" s="21">
        <v>7149</v>
      </c>
      <c r="B29" s="22" t="s">
        <v>25</v>
      </c>
      <c r="C29" s="84">
        <v>163486.14000000001</v>
      </c>
      <c r="D29" s="41">
        <f t="shared" si="0"/>
        <v>2.324227182257606E-3</v>
      </c>
      <c r="E29" s="111">
        <v>100000</v>
      </c>
      <c r="F29" s="41">
        <f t="shared" si="1"/>
        <v>1.4216661927779358E-3</v>
      </c>
      <c r="G29" s="78">
        <f t="shared" si="2"/>
        <v>63486.140000000014</v>
      </c>
      <c r="H29" s="96">
        <f t="shared" si="3"/>
        <v>63.486140000000006</v>
      </c>
      <c r="I29" s="23">
        <v>683506.46</v>
      </c>
      <c r="J29" s="41">
        <f t="shared" si="4"/>
        <v>9.982396389254574E-3</v>
      </c>
      <c r="K29" s="78">
        <f t="shared" si="6"/>
        <v>-520020.31999999995</v>
      </c>
      <c r="L29" s="96">
        <f t="shared" si="5"/>
        <v>-76.081258983272818</v>
      </c>
      <c r="M29" s="74" t="s">
        <v>103</v>
      </c>
    </row>
    <row r="30" spans="1:13" ht="15" customHeight="1">
      <c r="A30" s="18">
        <v>715</v>
      </c>
      <c r="B30" s="19" t="s">
        <v>26</v>
      </c>
      <c r="C30" s="20">
        <f>+SUM(C31:C34)</f>
        <v>13886290.330000004</v>
      </c>
      <c r="D30" s="40">
        <f t="shared" si="0"/>
        <v>0.1974166950526017</v>
      </c>
      <c r="E30" s="110">
        <f>+SUM(E31:E34)</f>
        <v>3000000</v>
      </c>
      <c r="F30" s="40">
        <f t="shared" si="1"/>
        <v>4.2649985783338069E-2</v>
      </c>
      <c r="G30" s="20">
        <f t="shared" si="2"/>
        <v>10886290.330000004</v>
      </c>
      <c r="H30" s="91">
        <f t="shared" si="3"/>
        <v>362.87634433333346</v>
      </c>
      <c r="I30" s="20">
        <f>+SUM(I31:I34)</f>
        <v>2535676.59</v>
      </c>
      <c r="J30" s="40">
        <f t="shared" si="4"/>
        <v>3.703275728562002E-2</v>
      </c>
      <c r="K30" s="20">
        <f t="shared" si="6"/>
        <v>11350613.740000004</v>
      </c>
      <c r="L30" s="91">
        <f t="shared" si="5"/>
        <v>447.63649216006695</v>
      </c>
      <c r="M30" s="73" t="s">
        <v>104</v>
      </c>
    </row>
    <row r="31" spans="1:13" ht="15" customHeight="1">
      <c r="A31" s="21">
        <v>7151</v>
      </c>
      <c r="B31" s="22" t="s">
        <v>27</v>
      </c>
      <c r="C31" s="84">
        <v>425477.88000000006</v>
      </c>
      <c r="D31" s="41">
        <f t="shared" si="0"/>
        <v>6.0488751777082756E-3</v>
      </c>
      <c r="E31" s="111">
        <v>300000</v>
      </c>
      <c r="F31" s="41">
        <f t="shared" si="1"/>
        <v>4.2649985783338078E-3</v>
      </c>
      <c r="G31" s="78">
        <f t="shared" si="2"/>
        <v>125477.88000000006</v>
      </c>
      <c r="H31" s="96">
        <f t="shared" si="3"/>
        <v>41.825960000000038</v>
      </c>
      <c r="I31" s="78">
        <v>396612.70999999996</v>
      </c>
      <c r="J31" s="41">
        <f t="shared" si="4"/>
        <v>5.7924036068897882E-3</v>
      </c>
      <c r="K31" s="78">
        <f t="shared" si="6"/>
        <v>28865.1700000001</v>
      </c>
      <c r="L31" s="96">
        <f t="shared" si="5"/>
        <v>7.2779235945313161</v>
      </c>
      <c r="M31" s="74" t="s">
        <v>105</v>
      </c>
    </row>
    <row r="32" spans="1:13" ht="15" customHeight="1">
      <c r="A32" s="21">
        <v>7152</v>
      </c>
      <c r="B32" s="22" t="s">
        <v>28</v>
      </c>
      <c r="C32" s="84">
        <v>11251125.710000003</v>
      </c>
      <c r="D32" s="41">
        <f t="shared" si="0"/>
        <v>0.15995345052601653</v>
      </c>
      <c r="E32" s="111">
        <v>800000</v>
      </c>
      <c r="F32" s="41">
        <f t="shared" si="1"/>
        <v>1.1373329542223486E-2</v>
      </c>
      <c r="G32" s="78">
        <f t="shared" si="2"/>
        <v>10451125.710000003</v>
      </c>
      <c r="H32" s="96">
        <f t="shared" si="3"/>
        <v>1306.3907137500003</v>
      </c>
      <c r="I32" s="78">
        <v>577515.47</v>
      </c>
      <c r="J32" s="41">
        <f t="shared" si="4"/>
        <v>8.4344313914262899E-3</v>
      </c>
      <c r="K32" s="78">
        <f t="shared" si="6"/>
        <v>10673610.240000002</v>
      </c>
      <c r="L32" s="96">
        <f t="shared" si="5"/>
        <v>1848.1946881873146</v>
      </c>
      <c r="M32" s="74" t="s">
        <v>106</v>
      </c>
    </row>
    <row r="33" spans="1:16382">
      <c r="A33" s="21">
        <v>7153</v>
      </c>
      <c r="B33" s="22" t="s">
        <v>29</v>
      </c>
      <c r="C33" s="84">
        <v>710075.91999999993</v>
      </c>
      <c r="D33" s="41">
        <f t="shared" si="0"/>
        <v>1.0094909297696899E-2</v>
      </c>
      <c r="E33" s="111">
        <v>600000</v>
      </c>
      <c r="F33" s="41">
        <f t="shared" si="1"/>
        <v>8.5299971566676156E-3</v>
      </c>
      <c r="G33" s="78">
        <f t="shared" si="2"/>
        <v>110075.91999999993</v>
      </c>
      <c r="H33" s="96">
        <f t="shared" si="3"/>
        <v>18.345986666666647</v>
      </c>
      <c r="I33" s="78">
        <v>321294.93</v>
      </c>
      <c r="J33" s="41">
        <f t="shared" si="4"/>
        <v>4.6924111721165021E-3</v>
      </c>
      <c r="K33" s="78">
        <f t="shared" si="6"/>
        <v>388780.98999999993</v>
      </c>
      <c r="L33" s="96">
        <f t="shared" si="5"/>
        <v>121.00439617892508</v>
      </c>
      <c r="M33" s="74" t="s">
        <v>107</v>
      </c>
    </row>
    <row r="34" spans="1:16382" s="3" customFormat="1" ht="15" customHeight="1">
      <c r="A34" s="21">
        <v>7155</v>
      </c>
      <c r="B34" s="22" t="s">
        <v>26</v>
      </c>
      <c r="C34" s="84">
        <v>1499610.8200000005</v>
      </c>
      <c r="D34" s="41">
        <f t="shared" si="0"/>
        <v>2.1319460051179989E-2</v>
      </c>
      <c r="E34" s="111">
        <v>1300000</v>
      </c>
      <c r="F34" s="41">
        <f t="shared" si="1"/>
        <v>1.8481660506113166E-2</v>
      </c>
      <c r="G34" s="78">
        <f t="shared" si="2"/>
        <v>199610.82000000053</v>
      </c>
      <c r="H34" s="96">
        <f t="shared" si="3"/>
        <v>15.354678461538512</v>
      </c>
      <c r="I34" s="78">
        <v>1240253.48</v>
      </c>
      <c r="J34" s="41">
        <f t="shared" si="4"/>
        <v>1.8113511115187442E-2</v>
      </c>
      <c r="K34" s="78">
        <f t="shared" si="6"/>
        <v>259357.34000000055</v>
      </c>
      <c r="L34" s="96">
        <f t="shared" si="5"/>
        <v>20.911639772218223</v>
      </c>
      <c r="M34" s="74" t="s">
        <v>104</v>
      </c>
      <c r="N34" s="1"/>
      <c r="O34" s="1"/>
      <c r="P34" s="1"/>
    </row>
    <row r="35" spans="1:16382" ht="15" customHeight="1">
      <c r="A35" s="18">
        <v>73</v>
      </c>
      <c r="B35" s="104" t="s">
        <v>188</v>
      </c>
      <c r="C35" s="20">
        <v>0</v>
      </c>
      <c r="D35" s="40">
        <f t="shared" si="0"/>
        <v>0</v>
      </c>
      <c r="E35" s="20">
        <v>0</v>
      </c>
      <c r="F35" s="40">
        <f t="shared" si="1"/>
        <v>0</v>
      </c>
      <c r="G35" s="20">
        <f t="shared" si="2"/>
        <v>0</v>
      </c>
      <c r="H35" s="91">
        <f t="shared" si="3"/>
        <v>0</v>
      </c>
      <c r="I35" s="20">
        <v>0</v>
      </c>
      <c r="J35" s="40">
        <f t="shared" si="4"/>
        <v>0</v>
      </c>
      <c r="K35" s="20">
        <f t="shared" si="6"/>
        <v>0</v>
      </c>
      <c r="L35" s="91">
        <f t="shared" si="5"/>
        <v>0</v>
      </c>
      <c r="M35" s="73" t="s">
        <v>108</v>
      </c>
    </row>
    <row r="36" spans="1:16382" ht="15" customHeight="1">
      <c r="A36" s="18">
        <v>74</v>
      </c>
      <c r="B36" s="19" t="s">
        <v>183</v>
      </c>
      <c r="C36" s="20">
        <v>19936914.950000003</v>
      </c>
      <c r="D36" s="40">
        <f t="shared" si="0"/>
        <v>0.28343637972704017</v>
      </c>
      <c r="E36" s="20">
        <v>15462173.452500001</v>
      </c>
      <c r="F36" s="40">
        <f t="shared" si="1"/>
        <v>0.21982049264287745</v>
      </c>
      <c r="G36" s="20">
        <f t="shared" si="2"/>
        <v>4474741.4975000024</v>
      </c>
      <c r="H36" s="91">
        <f t="shared" si="3"/>
        <v>28.939925627186028</v>
      </c>
      <c r="I36" s="20">
        <v>14090109.33</v>
      </c>
      <c r="J36" s="40">
        <f t="shared" si="4"/>
        <v>0.20578160519506161</v>
      </c>
      <c r="K36" s="20">
        <f t="shared" si="6"/>
        <v>5846805.6200000029</v>
      </c>
      <c r="L36" s="91">
        <f t="shared" si="5"/>
        <v>41.495814426019109</v>
      </c>
      <c r="M36" s="73" t="s">
        <v>109</v>
      </c>
    </row>
    <row r="37" spans="1:16382" s="34" customFormat="1" ht="15" customHeight="1">
      <c r="A37" s="31"/>
      <c r="B37" s="32" t="s">
        <v>72</v>
      </c>
      <c r="C37" s="33">
        <f>+C38+C48+C49++C50+C51+C52+C53+C54</f>
        <v>75472667.782999992</v>
      </c>
      <c r="D37" s="43">
        <f t="shared" si="0"/>
        <v>1.0729694026585157</v>
      </c>
      <c r="E37" s="33">
        <f>+E38+E48+E49++E50+E51+E52+E53+E54</f>
        <v>82725906.543300003</v>
      </c>
      <c r="F37" s="43">
        <f t="shared" si="1"/>
        <v>1.1760862459951664</v>
      </c>
      <c r="G37" s="33">
        <f t="shared" si="2"/>
        <v>-7253238.7603000104</v>
      </c>
      <c r="H37" s="101">
        <f t="shared" si="3"/>
        <v>-8.7677960428315771</v>
      </c>
      <c r="I37" s="33">
        <f>+I38+I48+I49++I50+I51+I52+I53+I54</f>
        <v>65290052.140000008</v>
      </c>
      <c r="J37" s="43">
        <f t="shared" si="4"/>
        <v>0.95354063037908809</v>
      </c>
      <c r="K37" s="33">
        <f t="shared" si="6"/>
        <v>10182615.642999984</v>
      </c>
      <c r="L37" s="101">
        <f t="shared" si="5"/>
        <v>15.595968006221867</v>
      </c>
      <c r="M37" s="72" t="s">
        <v>110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row>
    <row r="38" spans="1:16382" ht="15" customHeight="1">
      <c r="A38" s="18">
        <v>41</v>
      </c>
      <c r="B38" s="19" t="s">
        <v>69</v>
      </c>
      <c r="C38" s="69">
        <f>SUM(C39:C47)</f>
        <v>23412347.18</v>
      </c>
      <c r="D38" s="40">
        <f t="shared" si="0"/>
        <v>0.33284542479385837</v>
      </c>
      <c r="E38" s="69">
        <f>SUM(E39:E47)</f>
        <v>32673809.043300003</v>
      </c>
      <c r="F38" s="40">
        <f t="shared" si="1"/>
        <v>0.46451249706141601</v>
      </c>
      <c r="G38" s="20">
        <f t="shared" si="2"/>
        <v>-9261461.8633000031</v>
      </c>
      <c r="H38" s="91">
        <f t="shared" si="3"/>
        <v>-28.345216350583812</v>
      </c>
      <c r="I38" s="69">
        <f>SUM(I39:I47)</f>
        <v>20805549.119999997</v>
      </c>
      <c r="J38" s="40">
        <f t="shared" si="4"/>
        <v>0.30385848644641433</v>
      </c>
      <c r="K38" s="20">
        <f t="shared" si="6"/>
        <v>2606798.0600000024</v>
      </c>
      <c r="L38" s="91">
        <f t="shared" si="5"/>
        <v>12.529340345524133</v>
      </c>
      <c r="M38" s="73" t="s">
        <v>111</v>
      </c>
    </row>
    <row r="39" spans="1:16382" ht="15" customHeight="1">
      <c r="A39" s="21">
        <v>411</v>
      </c>
      <c r="B39" s="22" t="s">
        <v>30</v>
      </c>
      <c r="C39" s="23">
        <v>15008151.469999999</v>
      </c>
      <c r="D39" s="41">
        <f t="shared" si="0"/>
        <v>0.21336581560989476</v>
      </c>
      <c r="E39" s="23">
        <v>17748935.121800002</v>
      </c>
      <c r="F39" s="41">
        <f t="shared" si="1"/>
        <v>0.25233061020471997</v>
      </c>
      <c r="G39" s="23">
        <f>+C39-E39</f>
        <v>-2740783.6518000029</v>
      </c>
      <c r="H39" s="96">
        <f t="shared" si="3"/>
        <v>-15.44196106973007</v>
      </c>
      <c r="I39" s="23">
        <v>12513583.42</v>
      </c>
      <c r="J39" s="41">
        <f t="shared" si="4"/>
        <v>0.18275694124155595</v>
      </c>
      <c r="K39" s="23">
        <f t="shared" si="6"/>
        <v>2494568.0499999989</v>
      </c>
      <c r="L39" s="96">
        <f t="shared" si="5"/>
        <v>19.934881690347964</v>
      </c>
      <c r="M39" s="74" t="s">
        <v>112</v>
      </c>
    </row>
    <row r="40" spans="1:16382" ht="15" customHeight="1">
      <c r="A40" s="21">
        <v>412</v>
      </c>
      <c r="B40" s="22" t="s">
        <v>31</v>
      </c>
      <c r="C40" s="23">
        <v>970100.97</v>
      </c>
      <c r="D40" s="41">
        <f t="shared" si="0"/>
        <v>1.3791597526300825E-2</v>
      </c>
      <c r="E40" s="23">
        <v>1599449.5</v>
      </c>
      <c r="F40" s="41">
        <f t="shared" si="1"/>
        <v>2.2738832812055729E-2</v>
      </c>
      <c r="G40" s="23">
        <f t="shared" si="2"/>
        <v>-629348.53</v>
      </c>
      <c r="H40" s="96">
        <f t="shared" si="3"/>
        <v>-39.347821234743584</v>
      </c>
      <c r="I40" s="23">
        <v>975086.52999999991</v>
      </c>
      <c r="J40" s="41">
        <f t="shared" si="4"/>
        <v>1.424083139796919E-2</v>
      </c>
      <c r="K40" s="23">
        <f t="shared" si="6"/>
        <v>-4985.5599999999395</v>
      </c>
      <c r="L40" s="96">
        <f t="shared" si="5"/>
        <v>-0.51129411048268025</v>
      </c>
      <c r="M40" s="74" t="s">
        <v>113</v>
      </c>
    </row>
    <row r="41" spans="1:16382" ht="15" customHeight="1">
      <c r="A41" s="21">
        <v>413</v>
      </c>
      <c r="B41" s="22" t="s">
        <v>73</v>
      </c>
      <c r="C41" s="23">
        <v>1934892.5899999999</v>
      </c>
      <c r="D41" s="41">
        <f t="shared" si="0"/>
        <v>2.7507713818595392E-2</v>
      </c>
      <c r="E41" s="109">
        <v>2751250</v>
      </c>
      <c r="F41" s="41">
        <f t="shared" si="1"/>
        <v>3.9113591128802958E-2</v>
      </c>
      <c r="G41" s="23">
        <f t="shared" si="2"/>
        <v>-816357.41000000015</v>
      </c>
      <c r="H41" s="96">
        <f t="shared" si="3"/>
        <v>-29.672236619718319</v>
      </c>
      <c r="I41" s="23">
        <v>2051983.96</v>
      </c>
      <c r="J41" s="41">
        <f t="shared" si="4"/>
        <v>2.9968578896989943E-2</v>
      </c>
      <c r="K41" s="23">
        <f t="shared" si="6"/>
        <v>-117091.37000000011</v>
      </c>
      <c r="L41" s="96">
        <f t="shared" si="5"/>
        <v>-5.7062517194335243</v>
      </c>
      <c r="M41" s="74" t="s">
        <v>114</v>
      </c>
    </row>
    <row r="42" spans="1:16382" ht="15" customHeight="1">
      <c r="A42" s="21">
        <v>414</v>
      </c>
      <c r="B42" s="22" t="s">
        <v>74</v>
      </c>
      <c r="C42" s="23">
        <v>1932185.7200000002</v>
      </c>
      <c r="D42" s="41">
        <f t="shared" si="0"/>
        <v>2.7469231162922946E-2</v>
      </c>
      <c r="E42" s="109">
        <v>2851250</v>
      </c>
      <c r="F42" s="41">
        <f t="shared" si="1"/>
        <v>4.0535257321580892E-2</v>
      </c>
      <c r="G42" s="23">
        <f t="shared" si="2"/>
        <v>-919064.2799999998</v>
      </c>
      <c r="H42" s="96">
        <f t="shared" si="3"/>
        <v>-32.233731871985967</v>
      </c>
      <c r="I42" s="23">
        <v>1657997.18</v>
      </c>
      <c r="J42" s="41">
        <f t="shared" si="4"/>
        <v>2.42145261699886E-2</v>
      </c>
      <c r="K42" s="23">
        <f t="shared" si="6"/>
        <v>274188.54000000027</v>
      </c>
      <c r="L42" s="96">
        <f t="shared" si="5"/>
        <v>16.537334520677561</v>
      </c>
      <c r="M42" s="74" t="s">
        <v>115</v>
      </c>
    </row>
    <row r="43" spans="1:16382" ht="15.75" customHeight="1">
      <c r="A43" s="21">
        <v>415</v>
      </c>
      <c r="B43" s="22" t="s">
        <v>32</v>
      </c>
      <c r="C43" s="23">
        <v>660251.77</v>
      </c>
      <c r="D43" s="41">
        <f t="shared" si="0"/>
        <v>9.3865762013079328E-3</v>
      </c>
      <c r="E43" s="23">
        <v>1872095.8740000003</v>
      </c>
      <c r="F43" s="41">
        <f t="shared" si="1"/>
        <v>2.6614954137048622E-2</v>
      </c>
      <c r="G43" s="23">
        <f t="shared" si="2"/>
        <v>-1211844.1040000003</v>
      </c>
      <c r="H43" s="96">
        <f t="shared" si="3"/>
        <v>-64.73194673575783</v>
      </c>
      <c r="I43" s="23">
        <v>1213523.06</v>
      </c>
      <c r="J43" s="41">
        <f t="shared" si="4"/>
        <v>1.7723121757212305E-2</v>
      </c>
      <c r="K43" s="23">
        <f t="shared" si="6"/>
        <v>-553271.29</v>
      </c>
      <c r="L43" s="96">
        <f t="shared" si="5"/>
        <v>-45.592152983067336</v>
      </c>
      <c r="M43" s="74" t="s">
        <v>116</v>
      </c>
    </row>
    <row r="44" spans="1:16382" ht="15" customHeight="1">
      <c r="A44" s="21">
        <v>416</v>
      </c>
      <c r="B44" s="22" t="s">
        <v>33</v>
      </c>
      <c r="C44" s="23">
        <v>477122.7</v>
      </c>
      <c r="D44" s="41">
        <f t="shared" si="0"/>
        <v>6.7830921239692924E-3</v>
      </c>
      <c r="E44" s="23">
        <v>793404.04749999999</v>
      </c>
      <c r="F44" s="41">
        <f t="shared" si="1"/>
        <v>1.1279557115439296E-2</v>
      </c>
      <c r="G44" s="23">
        <f t="shared" si="2"/>
        <v>-316281.34749999997</v>
      </c>
      <c r="H44" s="96">
        <f t="shared" si="3"/>
        <v>-39.863843459911266</v>
      </c>
      <c r="I44" s="23">
        <v>364903.72000000003</v>
      </c>
      <c r="J44" s="41">
        <f t="shared" si="4"/>
        <v>5.3293038034396374E-3</v>
      </c>
      <c r="K44" s="23">
        <f t="shared" si="6"/>
        <v>112218.97999999998</v>
      </c>
      <c r="L44" s="96">
        <f t="shared" si="5"/>
        <v>30.753038089060851</v>
      </c>
      <c r="M44" s="74" t="s">
        <v>117</v>
      </c>
    </row>
    <row r="45" spans="1:16382" ht="15" customHeight="1">
      <c r="A45" s="21">
        <v>417</v>
      </c>
      <c r="B45" s="22" t="s">
        <v>34</v>
      </c>
      <c r="C45" s="23">
        <v>113537.37000000001</v>
      </c>
      <c r="D45" s="41">
        <f t="shared" si="0"/>
        <v>1.6141224054591985E-3</v>
      </c>
      <c r="E45" s="23">
        <v>181156.75</v>
      </c>
      <c r="F45" s="41">
        <f t="shared" si="1"/>
        <v>2.575444270685243E-3</v>
      </c>
      <c r="G45" s="23">
        <f t="shared" si="2"/>
        <v>-67619.37999999999</v>
      </c>
      <c r="H45" s="96">
        <f t="shared" si="3"/>
        <v>-37.326447951842802</v>
      </c>
      <c r="I45" s="23">
        <v>139364.27000000002</v>
      </c>
      <c r="J45" s="41">
        <f t="shared" si="4"/>
        <v>2.0353712321008639E-3</v>
      </c>
      <c r="K45" s="23">
        <f t="shared" si="6"/>
        <v>-25826.900000000009</v>
      </c>
      <c r="L45" s="96">
        <f t="shared" si="5"/>
        <v>-18.531937920673641</v>
      </c>
      <c r="M45" s="74" t="s">
        <v>118</v>
      </c>
    </row>
    <row r="46" spans="1:16382" ht="15" customHeight="1">
      <c r="A46" s="21">
        <v>418</v>
      </c>
      <c r="B46" s="22" t="s">
        <v>35</v>
      </c>
      <c r="C46" s="23">
        <v>214811.26999999996</v>
      </c>
      <c r="D46" s="41">
        <f t="shared" si="0"/>
        <v>3.0538992038669317E-3</v>
      </c>
      <c r="E46" s="23">
        <v>1935380</v>
      </c>
      <c r="F46" s="41">
        <f t="shared" si="1"/>
        <v>2.7514643161785615E-2</v>
      </c>
      <c r="G46" s="23">
        <f t="shared" si="2"/>
        <v>-1720568.73</v>
      </c>
      <c r="H46" s="96">
        <f t="shared" si="3"/>
        <v>-88.900822060783923</v>
      </c>
      <c r="I46" s="23">
        <v>163222.03000000003</v>
      </c>
      <c r="J46" s="41">
        <f t="shared" si="4"/>
        <v>2.3838062963132812E-3</v>
      </c>
      <c r="K46" s="23">
        <f t="shared" si="6"/>
        <v>51589.239999999932</v>
      </c>
      <c r="L46" s="96">
        <f t="shared" si="5"/>
        <v>31.606787392608652</v>
      </c>
      <c r="M46" s="74" t="s">
        <v>119</v>
      </c>
    </row>
    <row r="47" spans="1:16382" ht="15" customHeight="1">
      <c r="A47" s="21">
        <v>419</v>
      </c>
      <c r="B47" s="22" t="s">
        <v>36</v>
      </c>
      <c r="C47" s="23">
        <v>2101293.3199999998</v>
      </c>
      <c r="D47" s="41">
        <f t="shared" si="0"/>
        <v>2.9873376741541082E-2</v>
      </c>
      <c r="E47" s="23">
        <v>2940887.75</v>
      </c>
      <c r="F47" s="41">
        <f t="shared" si="1"/>
        <v>4.1809606909297699E-2</v>
      </c>
      <c r="G47" s="23">
        <f t="shared" si="2"/>
        <v>-839594.43000000017</v>
      </c>
      <c r="H47" s="96">
        <f t="shared" si="3"/>
        <v>-28.549013133874297</v>
      </c>
      <c r="I47" s="23">
        <v>1725884.95</v>
      </c>
      <c r="J47" s="41">
        <f t="shared" si="4"/>
        <v>2.5206005650844632E-2</v>
      </c>
      <c r="K47" s="23">
        <f t="shared" si="6"/>
        <v>375408.36999999988</v>
      </c>
      <c r="L47" s="96">
        <f t="shared" si="5"/>
        <v>21.751645148768461</v>
      </c>
      <c r="M47" s="74" t="s">
        <v>120</v>
      </c>
    </row>
    <row r="48" spans="1:16382" ht="15" customHeight="1">
      <c r="A48" s="18">
        <v>42</v>
      </c>
      <c r="B48" s="19" t="s">
        <v>37</v>
      </c>
      <c r="C48" s="20">
        <v>338373.35</v>
      </c>
      <c r="D48" s="40">
        <f t="shared" si="0"/>
        <v>4.8105395223201584E-3</v>
      </c>
      <c r="E48" s="20">
        <v>552097.5</v>
      </c>
      <c r="F48" s="40">
        <f t="shared" si="1"/>
        <v>7.8489835086721638E-3</v>
      </c>
      <c r="G48" s="20">
        <f t="shared" si="2"/>
        <v>-213724.15000000002</v>
      </c>
      <c r="H48" s="91">
        <f t="shared" si="3"/>
        <v>-38.711305521216822</v>
      </c>
      <c r="I48" s="20">
        <v>100971.75000000001</v>
      </c>
      <c r="J48" s="40">
        <f t="shared" si="4"/>
        <v>1.4746605798235113E-3</v>
      </c>
      <c r="K48" s="20">
        <f t="shared" si="6"/>
        <v>237401.59999999998</v>
      </c>
      <c r="L48" s="91">
        <f t="shared" si="5"/>
        <v>235.11685199077954</v>
      </c>
      <c r="M48" s="73" t="s">
        <v>121</v>
      </c>
    </row>
    <row r="49" spans="1:16382" ht="15" customHeight="1">
      <c r="A49" s="18">
        <v>43</v>
      </c>
      <c r="B49" s="19" t="s">
        <v>173</v>
      </c>
      <c r="C49" s="20">
        <v>20592518.072999999</v>
      </c>
      <c r="D49" s="40">
        <f t="shared" si="0"/>
        <v>0.29275686768552744</v>
      </c>
      <c r="E49" s="20">
        <v>22700000</v>
      </c>
      <c r="F49" s="40">
        <f t="shared" si="1"/>
        <v>0.32271822576059145</v>
      </c>
      <c r="G49" s="20">
        <f t="shared" si="2"/>
        <v>-2107481.9270000011</v>
      </c>
      <c r="H49" s="91">
        <f t="shared" si="3"/>
        <v>-9.2840613524229099</v>
      </c>
      <c r="I49" s="20">
        <v>17315903.330000002</v>
      </c>
      <c r="J49" s="40">
        <f t="shared" si="4"/>
        <v>0.25289330971074253</v>
      </c>
      <c r="K49" s="20">
        <f t="shared" si="6"/>
        <v>3276614.742999997</v>
      </c>
      <c r="L49" s="91">
        <f t="shared" si="5"/>
        <v>18.922574702315558</v>
      </c>
      <c r="M49" s="73" t="s">
        <v>127</v>
      </c>
    </row>
    <row r="50" spans="1:16382" ht="15" customHeight="1">
      <c r="A50" s="18">
        <v>44</v>
      </c>
      <c r="B50" s="19" t="s">
        <v>65</v>
      </c>
      <c r="C50" s="20">
        <v>16325835.549999997</v>
      </c>
      <c r="D50" s="40">
        <f t="shared" si="0"/>
        <v>0.23209888470287171</v>
      </c>
      <c r="E50" s="20">
        <v>18000000</v>
      </c>
      <c r="F50" s="40">
        <f t="shared" si="1"/>
        <v>0.25589991470002843</v>
      </c>
      <c r="G50" s="20">
        <f t="shared" si="2"/>
        <v>-1674164.450000003</v>
      </c>
      <c r="H50" s="91">
        <f t="shared" si="3"/>
        <v>-9.3009136111111275</v>
      </c>
      <c r="I50" s="20">
        <v>12409292.560000002</v>
      </c>
      <c r="J50" s="40">
        <f t="shared" si="4"/>
        <v>0.18123380610645243</v>
      </c>
      <c r="K50" s="20">
        <f t="shared" si="6"/>
        <v>3916542.9899999946</v>
      </c>
      <c r="L50" s="91">
        <f t="shared" si="5"/>
        <v>31.561372020710849</v>
      </c>
      <c r="M50" s="73" t="s">
        <v>128</v>
      </c>
    </row>
    <row r="51" spans="1:16382" ht="15" customHeight="1">
      <c r="A51" s="18">
        <v>45</v>
      </c>
      <c r="B51" s="19" t="s">
        <v>44</v>
      </c>
      <c r="C51" s="20">
        <v>184396.15</v>
      </c>
      <c r="D51" s="40">
        <f t="shared" si="0"/>
        <v>2.6214977253340914E-3</v>
      </c>
      <c r="E51" s="20">
        <v>0</v>
      </c>
      <c r="F51" s="40">
        <f t="shared" si="1"/>
        <v>0</v>
      </c>
      <c r="G51" s="20">
        <f t="shared" si="2"/>
        <v>184396.15</v>
      </c>
      <c r="H51" s="91">
        <f t="shared" si="3"/>
        <v>0</v>
      </c>
      <c r="I51" s="20">
        <v>0</v>
      </c>
      <c r="J51" s="40">
        <f t="shared" si="4"/>
        <v>0</v>
      </c>
      <c r="K51" s="20">
        <f t="shared" si="6"/>
        <v>184396.15</v>
      </c>
      <c r="L51" s="91">
        <f t="shared" si="5"/>
        <v>0</v>
      </c>
      <c r="M51" s="73" t="s">
        <v>129</v>
      </c>
    </row>
    <row r="52" spans="1:16382" ht="15" customHeight="1">
      <c r="A52" s="18">
        <v>462</v>
      </c>
      <c r="B52" s="19" t="s">
        <v>45</v>
      </c>
      <c r="C52" s="20">
        <v>0</v>
      </c>
      <c r="D52" s="40">
        <f t="shared" si="0"/>
        <v>0</v>
      </c>
      <c r="E52" s="20">
        <v>0</v>
      </c>
      <c r="F52" s="40">
        <f t="shared" si="1"/>
        <v>0</v>
      </c>
      <c r="G52" s="20">
        <f t="shared" si="2"/>
        <v>0</v>
      </c>
      <c r="H52" s="91">
        <f t="shared" si="3"/>
        <v>0</v>
      </c>
      <c r="I52" s="20">
        <v>0</v>
      </c>
      <c r="J52" s="40">
        <f t="shared" si="4"/>
        <v>0</v>
      </c>
      <c r="K52" s="20">
        <f t="shared" si="6"/>
        <v>0</v>
      </c>
      <c r="L52" s="91">
        <f t="shared" si="5"/>
        <v>0</v>
      </c>
      <c r="M52" s="73" t="s">
        <v>130</v>
      </c>
    </row>
    <row r="53" spans="1:16382" ht="15" customHeight="1">
      <c r="A53" s="18">
        <v>463</v>
      </c>
      <c r="B53" s="19" t="s">
        <v>46</v>
      </c>
      <c r="C53" s="20">
        <v>14084951.900000002</v>
      </c>
      <c r="D53" s="40">
        <f t="shared" si="0"/>
        <v>0.20024099943133353</v>
      </c>
      <c r="E53" s="20">
        <v>8000000</v>
      </c>
      <c r="F53" s="40">
        <f t="shared" si="1"/>
        <v>0.11373329542223486</v>
      </c>
      <c r="G53" s="20">
        <f>+C53-E53</f>
        <v>6084951.9000000022</v>
      </c>
      <c r="H53" s="91">
        <f t="shared" si="3"/>
        <v>76.061898750000012</v>
      </c>
      <c r="I53" s="20">
        <v>13871267.570000002</v>
      </c>
      <c r="J53" s="40">
        <f t="shared" si="4"/>
        <v>0.20258549027488648</v>
      </c>
      <c r="K53" s="20">
        <f>+C53-I53</f>
        <v>213684.33000000007</v>
      </c>
      <c r="L53" s="91">
        <f t="shared" si="5"/>
        <v>1.5404816389105207</v>
      </c>
      <c r="M53" s="73" t="s">
        <v>131</v>
      </c>
    </row>
    <row r="54" spans="1:16382" ht="15" customHeight="1">
      <c r="A54" s="18">
        <v>47</v>
      </c>
      <c r="B54" s="19" t="s">
        <v>47</v>
      </c>
      <c r="C54" s="20">
        <v>534245.57999999996</v>
      </c>
      <c r="D54" s="40">
        <f t="shared" si="0"/>
        <v>7.5951887972704E-3</v>
      </c>
      <c r="E54" s="20">
        <v>800000</v>
      </c>
      <c r="F54" s="40">
        <f t="shared" si="1"/>
        <v>1.1373329542223486E-2</v>
      </c>
      <c r="G54" s="20">
        <f t="shared" si="2"/>
        <v>-265754.42000000004</v>
      </c>
      <c r="H54" s="91">
        <f t="shared" si="3"/>
        <v>-33.219302499999998</v>
      </c>
      <c r="I54" s="20">
        <v>787067.80999999994</v>
      </c>
      <c r="J54" s="40">
        <f t="shared" si="4"/>
        <v>1.149487726076869E-2</v>
      </c>
      <c r="K54" s="20">
        <f t="shared" si="6"/>
        <v>-252822.22999999998</v>
      </c>
      <c r="L54" s="91">
        <f t="shared" si="5"/>
        <v>-32.122039141710033</v>
      </c>
      <c r="M54" s="73" t="s">
        <v>132</v>
      </c>
    </row>
    <row r="55" spans="1:16382" s="34" customFormat="1" ht="15" customHeight="1">
      <c r="A55" s="31"/>
      <c r="B55" s="32" t="s">
        <v>77</v>
      </c>
      <c r="C55" s="33">
        <f>+C6-C37</f>
        <v>17707061.267000005</v>
      </c>
      <c r="D55" s="43">
        <f t="shared" si="0"/>
        <v>0.25173530376741549</v>
      </c>
      <c r="E55" s="33">
        <f>+E6-E37</f>
        <v>-3845458.9956</v>
      </c>
      <c r="F55" s="43">
        <f t="shared" si="1"/>
        <v>-5.4669590497583173E-2</v>
      </c>
      <c r="G55" s="33">
        <f t="shared" si="2"/>
        <v>21552520.262600005</v>
      </c>
      <c r="H55" s="101">
        <f t="shared" si="3"/>
        <v>-560.46678139750134</v>
      </c>
      <c r="I55" s="33">
        <f>+I6-I37</f>
        <v>-862423.05000000447</v>
      </c>
      <c r="J55" s="43">
        <f t="shared" si="4"/>
        <v>-1.2595416787033676E-2</v>
      </c>
      <c r="K55" s="33">
        <f t="shared" si="6"/>
        <v>18569484.317000009</v>
      </c>
      <c r="L55" s="101">
        <f t="shared" si="5"/>
        <v>-2153.1757896544987</v>
      </c>
      <c r="M55" s="72" t="s">
        <v>134</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row>
    <row r="56" spans="1:16382" ht="15" hidden="1" customHeight="1">
      <c r="A56" s="18"/>
      <c r="B56" s="19" t="s">
        <v>182</v>
      </c>
      <c r="C56" s="20">
        <v>0</v>
      </c>
      <c r="D56" s="40">
        <f t="shared" si="0"/>
        <v>0</v>
      </c>
      <c r="E56" s="20">
        <v>0</v>
      </c>
      <c r="F56" s="40">
        <f t="shared" si="1"/>
        <v>0</v>
      </c>
      <c r="G56" s="20">
        <f>+C56-E56</f>
        <v>0</v>
      </c>
      <c r="H56" s="91">
        <f t="shared" si="3"/>
        <v>0</v>
      </c>
      <c r="I56" s="20">
        <v>0</v>
      </c>
      <c r="J56" s="40">
        <f t="shared" si="4"/>
        <v>0</v>
      </c>
      <c r="K56" s="20">
        <f>+C56-I56</f>
        <v>0</v>
      </c>
      <c r="L56" s="91">
        <f t="shared" si="5"/>
        <v>0</v>
      </c>
      <c r="M56" s="73" t="s">
        <v>133</v>
      </c>
    </row>
    <row r="57" spans="1:16382" s="34" customFormat="1" ht="15" customHeight="1">
      <c r="A57" s="31"/>
      <c r="B57" s="32" t="s">
        <v>59</v>
      </c>
      <c r="C57" s="33">
        <f>+C55-C56</f>
        <v>17707061.267000005</v>
      </c>
      <c r="D57" s="43">
        <f t="shared" si="0"/>
        <v>0.25173530376741549</v>
      </c>
      <c r="E57" s="33">
        <f>+E55-E56</f>
        <v>-3845458.9956</v>
      </c>
      <c r="F57" s="43">
        <f t="shared" si="1"/>
        <v>-5.4669590497583173E-2</v>
      </c>
      <c r="G57" s="33">
        <f t="shared" si="2"/>
        <v>21552520.262600005</v>
      </c>
      <c r="H57" s="101">
        <f t="shared" si="3"/>
        <v>-560.46678139750134</v>
      </c>
      <c r="I57" s="33">
        <f>+I55-I56</f>
        <v>-862423.05000000447</v>
      </c>
      <c r="J57" s="43">
        <f t="shared" si="4"/>
        <v>-1.2595416787033676E-2</v>
      </c>
      <c r="K57" s="33">
        <f t="shared" si="6"/>
        <v>18569484.317000009</v>
      </c>
      <c r="L57" s="101">
        <f t="shared" si="5"/>
        <v>-2153.1757896544987</v>
      </c>
      <c r="M57" s="72" t="s">
        <v>137</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row>
    <row r="58" spans="1:16382" s="34" customFormat="1" ht="15" customHeight="1">
      <c r="A58" s="31"/>
      <c r="B58" s="32" t="s">
        <v>75</v>
      </c>
      <c r="C58" s="33">
        <f>+C57+C44</f>
        <v>18184183.967000004</v>
      </c>
      <c r="D58" s="43">
        <f t="shared" si="0"/>
        <v>0.25851839589138476</v>
      </c>
      <c r="E58" s="33">
        <f>+E57+E44</f>
        <v>-3052054.9481000002</v>
      </c>
      <c r="F58" s="43">
        <f t="shared" si="1"/>
        <v>-4.3390033382143874E-2</v>
      </c>
      <c r="G58" s="33">
        <f t="shared" si="2"/>
        <v>21236238.915100005</v>
      </c>
      <c r="H58" s="101">
        <f t="shared" si="3"/>
        <v>-695.80132979978714</v>
      </c>
      <c r="I58" s="33">
        <f>+I57+I44</f>
        <v>-497519.33000000444</v>
      </c>
      <c r="J58" s="43">
        <f t="shared" si="4"/>
        <v>-7.2661129835940377E-3</v>
      </c>
      <c r="K58" s="33">
        <f t="shared" si="6"/>
        <v>18681703.29700001</v>
      </c>
      <c r="L58" s="101">
        <f t="shared" si="5"/>
        <v>-3754.9703439663022</v>
      </c>
      <c r="M58" s="72" t="s">
        <v>136</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row>
    <row r="59" spans="1:16382" s="34" customFormat="1" ht="15" customHeight="1">
      <c r="A59" s="31"/>
      <c r="B59" s="32" t="s">
        <v>76</v>
      </c>
      <c r="C59" s="33">
        <f>+C6-(C37-C50)</f>
        <v>34032896.817000002</v>
      </c>
      <c r="D59" s="43">
        <f t="shared" si="0"/>
        <v>0.4838341884702872</v>
      </c>
      <c r="E59" s="33">
        <f>+E6-(E37-E50)</f>
        <v>14154541.0044</v>
      </c>
      <c r="F59" s="43">
        <f t="shared" si="1"/>
        <v>0.20123032420244524</v>
      </c>
      <c r="G59" s="33">
        <f t="shared" si="2"/>
        <v>19878355.812600002</v>
      </c>
      <c r="H59" s="101">
        <f t="shared" si="3"/>
        <v>140.4380107162834</v>
      </c>
      <c r="I59" s="33">
        <f>+I6-(I37-I50)</f>
        <v>11546869.509999998</v>
      </c>
      <c r="J59" s="43">
        <f t="shared" si="4"/>
        <v>0.16863838931941874</v>
      </c>
      <c r="K59" s="33">
        <f t="shared" si="6"/>
        <v>22486027.307000004</v>
      </c>
      <c r="L59" s="101">
        <f t="shared" si="5"/>
        <v>194.73700025384636</v>
      </c>
      <c r="M59" s="72" t="s">
        <v>135</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row>
    <row r="60" spans="1:16382" s="34" customFormat="1" ht="15" customHeight="1">
      <c r="A60" s="31"/>
      <c r="B60" s="32" t="s">
        <v>0</v>
      </c>
      <c r="C60" s="33">
        <f>+C61+C62</f>
        <v>2450930.06</v>
      </c>
      <c r="D60" s="43">
        <f t="shared" si="0"/>
        <v>3.4844044071651974E-2</v>
      </c>
      <c r="E60" s="33">
        <f>+E61+E62</f>
        <v>14016427.310000001</v>
      </c>
      <c r="F60" s="43">
        <f t="shared" si="1"/>
        <v>0.19926680850156386</v>
      </c>
      <c r="G60" s="33">
        <f t="shared" si="2"/>
        <v>-11565497.25</v>
      </c>
      <c r="H60" s="101">
        <f t="shared" si="3"/>
        <v>-82.513874571650746</v>
      </c>
      <c r="I60" s="33">
        <f>+I61+I62+I63</f>
        <v>2913617.17</v>
      </c>
      <c r="J60" s="43">
        <f t="shared" si="4"/>
        <v>4.2552460319801699E-2</v>
      </c>
      <c r="K60" s="33">
        <f t="shared" si="6"/>
        <v>-462687.10999999987</v>
      </c>
      <c r="L60" s="101">
        <f t="shared" si="5"/>
        <v>-15.880161428345787</v>
      </c>
      <c r="M60" s="72" t="s">
        <v>138</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row>
    <row r="61" spans="1:16382">
      <c r="A61" s="21">
        <v>4611</v>
      </c>
      <c r="B61" s="22" t="s">
        <v>52</v>
      </c>
      <c r="C61" s="23">
        <v>1851019.41</v>
      </c>
      <c r="D61" s="41">
        <f t="shared" si="0"/>
        <v>2.6315317173727606E-2</v>
      </c>
      <c r="E61" s="23">
        <v>11519427.310000001</v>
      </c>
      <c r="F61" s="41">
        <f t="shared" si="1"/>
        <v>0.16376780366789878</v>
      </c>
      <c r="G61" s="23">
        <f t="shared" si="2"/>
        <v>-9668407.9000000004</v>
      </c>
      <c r="H61" s="96">
        <f t="shared" si="3"/>
        <v>-83.9313243602559</v>
      </c>
      <c r="I61" s="23">
        <v>2059948.55</v>
      </c>
      <c r="J61" s="41">
        <f t="shared" si="4"/>
        <v>3.0084899223293653E-2</v>
      </c>
      <c r="K61" s="23">
        <f t="shared" si="6"/>
        <v>-208929.14000000013</v>
      </c>
      <c r="L61" s="96">
        <f t="shared" si="5"/>
        <v>-10.142444577074514</v>
      </c>
      <c r="M61" s="74" t="s">
        <v>139</v>
      </c>
    </row>
    <row r="62" spans="1:16382" ht="15" customHeight="1">
      <c r="A62" s="21">
        <v>4612</v>
      </c>
      <c r="B62" s="22" t="s">
        <v>53</v>
      </c>
      <c r="C62" s="23">
        <v>599910.65</v>
      </c>
      <c r="D62" s="41">
        <f t="shared" si="0"/>
        <v>8.5287268979243672E-3</v>
      </c>
      <c r="E62" s="23">
        <v>2497000</v>
      </c>
      <c r="F62" s="41">
        <f t="shared" si="1"/>
        <v>3.5499004833665054E-2</v>
      </c>
      <c r="G62" s="23">
        <f t="shared" si="2"/>
        <v>-1897089.35</v>
      </c>
      <c r="H62" s="96">
        <f t="shared" si="3"/>
        <v>-75.97474369243092</v>
      </c>
      <c r="I62" s="23">
        <v>853668.62</v>
      </c>
      <c r="J62" s="41">
        <f t="shared" si="4"/>
        <v>1.2467561096508048E-2</v>
      </c>
      <c r="K62" s="23">
        <f t="shared" si="6"/>
        <v>-253757.96999999997</v>
      </c>
      <c r="L62" s="96">
        <f t="shared" si="5"/>
        <v>-29.725582509990829</v>
      </c>
      <c r="M62" s="74" t="s">
        <v>140</v>
      </c>
    </row>
    <row r="63" spans="1:16382" ht="15" hidden="1" customHeight="1">
      <c r="A63" s="21">
        <v>463</v>
      </c>
      <c r="B63" s="22" t="s">
        <v>46</v>
      </c>
      <c r="C63" s="23"/>
      <c r="D63" s="41">
        <f t="shared" si="0"/>
        <v>0</v>
      </c>
      <c r="E63" s="23"/>
      <c r="F63" s="41">
        <f t="shared" si="1"/>
        <v>0</v>
      </c>
      <c r="G63" s="23"/>
      <c r="H63" s="96">
        <f t="shared" si="3"/>
        <v>0</v>
      </c>
      <c r="I63" s="23"/>
      <c r="J63" s="41">
        <f t="shared" si="4"/>
        <v>0</v>
      </c>
      <c r="K63" s="23"/>
      <c r="L63" s="96">
        <f t="shared" si="5"/>
        <v>0</v>
      </c>
      <c r="M63" s="74"/>
    </row>
    <row r="64" spans="1:16382" s="34" customFormat="1" ht="15" customHeight="1">
      <c r="A64" s="31">
        <v>4418</v>
      </c>
      <c r="B64" s="32" t="s">
        <v>63</v>
      </c>
      <c r="C64" s="33">
        <v>0</v>
      </c>
      <c r="D64" s="43">
        <f t="shared" si="0"/>
        <v>0</v>
      </c>
      <c r="E64" s="33">
        <v>0</v>
      </c>
      <c r="F64" s="43">
        <f t="shared" si="1"/>
        <v>0</v>
      </c>
      <c r="G64" s="33">
        <f t="shared" si="2"/>
        <v>0</v>
      </c>
      <c r="H64" s="101">
        <f t="shared" si="3"/>
        <v>0</v>
      </c>
      <c r="I64" s="33">
        <v>0</v>
      </c>
      <c r="J64" s="43">
        <f t="shared" si="4"/>
        <v>0</v>
      </c>
      <c r="K64" s="33">
        <f t="shared" si="6"/>
        <v>0</v>
      </c>
      <c r="L64" s="101">
        <f t="shared" si="5"/>
        <v>0</v>
      </c>
      <c r="M64" s="72" t="s">
        <v>141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row>
    <row r="65" spans="1:16382" s="34" customFormat="1" ht="15" customHeight="1">
      <c r="A65" s="31">
        <v>45</v>
      </c>
      <c r="B65" s="32" t="s">
        <v>44</v>
      </c>
      <c r="C65" s="33">
        <v>0</v>
      </c>
      <c r="D65" s="43">
        <f t="shared" si="0"/>
        <v>0</v>
      </c>
      <c r="E65" s="33">
        <v>0</v>
      </c>
      <c r="F65" s="43">
        <f t="shared" si="1"/>
        <v>0</v>
      </c>
      <c r="G65" s="33">
        <f t="shared" si="2"/>
        <v>0</v>
      </c>
      <c r="H65" s="101">
        <f t="shared" si="3"/>
        <v>0</v>
      </c>
      <c r="I65" s="33">
        <v>0</v>
      </c>
      <c r="J65" s="43">
        <f t="shared" si="4"/>
        <v>0</v>
      </c>
      <c r="K65" s="33">
        <f t="shared" si="6"/>
        <v>0</v>
      </c>
      <c r="L65" s="101">
        <f t="shared" si="5"/>
        <v>0</v>
      </c>
      <c r="M65" s="72" t="s">
        <v>129</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row>
    <row r="66" spans="1:16382" s="34" customFormat="1" ht="15" customHeight="1">
      <c r="A66" s="31"/>
      <c r="B66" s="32" t="s">
        <v>54</v>
      </c>
      <c r="C66" s="33">
        <f>+C57-C60-C64-C65</f>
        <v>15256131.207000004</v>
      </c>
      <c r="D66" s="43">
        <f t="shared" si="0"/>
        <v>0.21689125969576351</v>
      </c>
      <c r="E66" s="33">
        <f>+E57-E60-E64-E65</f>
        <v>-17861886.305600002</v>
      </c>
      <c r="F66" s="43">
        <f t="shared" si="1"/>
        <v>-0.25393639899914705</v>
      </c>
      <c r="G66" s="33">
        <f t="shared" ref="G66:G73" si="13">+C66-E66</f>
        <v>33118017.512600005</v>
      </c>
      <c r="H66" s="101">
        <f t="shared" si="3"/>
        <v>-185.41164659757658</v>
      </c>
      <c r="I66" s="33">
        <f>+I57-I60-I64-I65</f>
        <v>-3776040.2200000044</v>
      </c>
      <c r="J66" s="43">
        <f t="shared" si="4"/>
        <v>-5.5147877106835379E-2</v>
      </c>
      <c r="K66" s="33">
        <f t="shared" ref="K66:K73" si="14">+C66-I66</f>
        <v>19032171.427000009</v>
      </c>
      <c r="L66" s="101">
        <f t="shared" si="5"/>
        <v>-504.02459502933965</v>
      </c>
      <c r="M66" s="72" t="s">
        <v>142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row>
    <row r="67" spans="1:16382" s="34" customFormat="1" ht="15" customHeight="1">
      <c r="A67" s="31"/>
      <c r="B67" s="32" t="s">
        <v>48</v>
      </c>
      <c r="C67" s="33">
        <f>+SUM(C68:C73)+C56</f>
        <v>-15256131.207000006</v>
      </c>
      <c r="D67" s="43">
        <f t="shared" si="0"/>
        <v>-0.21689125969576351</v>
      </c>
      <c r="E67" s="33">
        <f>+SUM(E68:E73)+E56</f>
        <v>17861886.305600002</v>
      </c>
      <c r="F67" s="43">
        <f t="shared" si="1"/>
        <v>0.25393639899914705</v>
      </c>
      <c r="G67" s="33">
        <f t="shared" si="13"/>
        <v>-33118017.512600008</v>
      </c>
      <c r="H67" s="101">
        <f t="shared" si="3"/>
        <v>-185.41164659757661</v>
      </c>
      <c r="I67" s="33">
        <f>+SUM(I68:I73)+I56</f>
        <v>3776040.2200000044</v>
      </c>
      <c r="J67" s="43">
        <f t="shared" si="4"/>
        <v>5.5147877106835379E-2</v>
      </c>
      <c r="K67" s="33">
        <f t="shared" si="14"/>
        <v>-19032171.427000009</v>
      </c>
      <c r="L67" s="101">
        <f t="shared" si="5"/>
        <v>-504.02459502933976</v>
      </c>
      <c r="M67" s="72" t="s">
        <v>143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c r="WXZ67" s="1"/>
      <c r="WYA67" s="1"/>
      <c r="WYB67" s="1"/>
      <c r="WYC67" s="1"/>
      <c r="WYD67" s="1"/>
      <c r="WYE67" s="1"/>
      <c r="WYF67" s="1"/>
      <c r="WYG67" s="1"/>
      <c r="WYH67" s="1"/>
      <c r="WYI67" s="1"/>
      <c r="WYJ67" s="1"/>
      <c r="WYK67" s="1"/>
      <c r="WYL67" s="1"/>
      <c r="WYM67" s="1"/>
      <c r="WYN67" s="1"/>
      <c r="WYO67" s="1"/>
      <c r="WYP67" s="1"/>
      <c r="WYQ67" s="1"/>
      <c r="WYR67" s="1"/>
      <c r="WYS67" s="1"/>
      <c r="WYT67" s="1"/>
      <c r="WYU67" s="1"/>
      <c r="WYV67" s="1"/>
      <c r="WYW67" s="1"/>
      <c r="WYX67" s="1"/>
      <c r="WYY67" s="1"/>
      <c r="WYZ67" s="1"/>
      <c r="WZA67" s="1"/>
      <c r="WZB67" s="1"/>
      <c r="WZC67" s="1"/>
      <c r="WZD67" s="1"/>
      <c r="WZE67" s="1"/>
      <c r="WZF67" s="1"/>
      <c r="WZG67" s="1"/>
      <c r="WZH67" s="1"/>
      <c r="WZI67" s="1"/>
      <c r="WZJ67" s="1"/>
      <c r="WZK67" s="1"/>
      <c r="WZL67" s="1"/>
      <c r="WZM67" s="1"/>
      <c r="WZN67" s="1"/>
      <c r="WZO67" s="1"/>
      <c r="WZP67" s="1"/>
      <c r="WZQ67" s="1"/>
      <c r="WZR67" s="1"/>
      <c r="WZS67" s="1"/>
      <c r="WZT67" s="1"/>
      <c r="WZU67" s="1"/>
      <c r="WZV67" s="1"/>
      <c r="WZW67" s="1"/>
      <c r="WZX67" s="1"/>
      <c r="WZY67" s="1"/>
      <c r="WZZ67" s="1"/>
      <c r="XAA67" s="1"/>
      <c r="XAB67" s="1"/>
      <c r="XAC67" s="1"/>
      <c r="XAD67" s="1"/>
      <c r="XAE67" s="1"/>
      <c r="XAF67" s="1"/>
      <c r="XAG67" s="1"/>
      <c r="XAH67" s="1"/>
      <c r="XAI67" s="1"/>
      <c r="XAJ67" s="1"/>
      <c r="XAK67" s="1"/>
      <c r="XAL67" s="1"/>
      <c r="XAM67" s="1"/>
      <c r="XAN67" s="1"/>
      <c r="XAO67" s="1"/>
      <c r="XAP67" s="1"/>
      <c r="XAQ67" s="1"/>
      <c r="XAR67" s="1"/>
      <c r="XAS67" s="1"/>
      <c r="XAT67" s="1"/>
      <c r="XAU67" s="1"/>
      <c r="XAV67" s="1"/>
      <c r="XAW67" s="1"/>
      <c r="XAX67" s="1"/>
      <c r="XAY67" s="1"/>
      <c r="XAZ67" s="1"/>
      <c r="XBA67" s="1"/>
      <c r="XBB67" s="1"/>
      <c r="XBC67" s="1"/>
      <c r="XBD67" s="1"/>
      <c r="XBE67" s="1"/>
      <c r="XBF67" s="1"/>
      <c r="XBG67" s="1"/>
      <c r="XBH67" s="1"/>
      <c r="XBI67" s="1"/>
      <c r="XBJ67" s="1"/>
      <c r="XBK67" s="1"/>
      <c r="XBL67" s="1"/>
      <c r="XBM67" s="1"/>
      <c r="XBN67" s="1"/>
      <c r="XBO67" s="1"/>
      <c r="XBP67" s="1"/>
      <c r="XBQ67" s="1"/>
      <c r="XBR67" s="1"/>
      <c r="XBS67" s="1"/>
      <c r="XBT67" s="1"/>
      <c r="XBU67" s="1"/>
      <c r="XBV67" s="1"/>
      <c r="XBW67" s="1"/>
      <c r="XBX67" s="1"/>
      <c r="XBY67" s="1"/>
      <c r="XBZ67" s="1"/>
      <c r="XCA67" s="1"/>
      <c r="XCB67" s="1"/>
      <c r="XCC67" s="1"/>
      <c r="XCD67" s="1"/>
      <c r="XCE67" s="1"/>
      <c r="XCF67" s="1"/>
      <c r="XCG67" s="1"/>
      <c r="XCH67" s="1"/>
      <c r="XCI67" s="1"/>
      <c r="XCJ67" s="1"/>
      <c r="XCK67" s="1"/>
      <c r="XCL67" s="1"/>
      <c r="XCM67" s="1"/>
      <c r="XCN67" s="1"/>
      <c r="XCO67" s="1"/>
      <c r="XCP67" s="1"/>
      <c r="XCQ67" s="1"/>
      <c r="XCR67" s="1"/>
      <c r="XCS67" s="1"/>
      <c r="XCT67" s="1"/>
      <c r="XCU67" s="1"/>
      <c r="XCV67" s="1"/>
      <c r="XCW67" s="1"/>
      <c r="XCX67" s="1"/>
      <c r="XCY67" s="1"/>
      <c r="XCZ67" s="1"/>
      <c r="XDA67" s="1"/>
      <c r="XDB67" s="1"/>
      <c r="XDC67" s="1"/>
      <c r="XDD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c r="XEW67" s="1"/>
      <c r="XEX67" s="1"/>
      <c r="XEY67" s="1"/>
      <c r="XEZ67" s="1"/>
      <c r="XFA67" s="1"/>
      <c r="XFB67" s="1"/>
    </row>
    <row r="68" spans="1:16382">
      <c r="A68" s="21">
        <v>7511</v>
      </c>
      <c r="B68" s="22" t="s">
        <v>55</v>
      </c>
      <c r="C68" s="23">
        <v>735330</v>
      </c>
      <c r="D68" s="41">
        <f t="shared" si="0"/>
        <v>1.0453938015353995E-2</v>
      </c>
      <c r="E68" s="23">
        <v>1000000</v>
      </c>
      <c r="F68" s="41">
        <f t="shared" si="1"/>
        <v>1.4216661927779357E-2</v>
      </c>
      <c r="G68" s="23">
        <f t="shared" si="13"/>
        <v>-264670</v>
      </c>
      <c r="H68" s="96">
        <f t="shared" si="3"/>
        <v>-26.466999999999999</v>
      </c>
      <c r="I68" s="70">
        <v>1303604.3400000001</v>
      </c>
      <c r="J68" s="41">
        <f t="shared" si="4"/>
        <v>1.9038730455645719E-2</v>
      </c>
      <c r="K68" s="23">
        <f t="shared" si="14"/>
        <v>-568274.34000000008</v>
      </c>
      <c r="L68" s="96">
        <f t="shared" si="5"/>
        <v>-43.59254741358103</v>
      </c>
      <c r="M68" s="74" t="s">
        <v>144</v>
      </c>
    </row>
    <row r="69" spans="1:16382" ht="15" customHeight="1">
      <c r="A69" s="21">
        <v>7512</v>
      </c>
      <c r="B69" s="22" t="s">
        <v>49</v>
      </c>
      <c r="C69" s="23">
        <v>549856.73</v>
      </c>
      <c r="D69" s="41">
        <f t="shared" si="0"/>
        <v>7.8171272391242535E-3</v>
      </c>
      <c r="E69" s="23">
        <v>700000</v>
      </c>
      <c r="F69" s="41">
        <f t="shared" si="1"/>
        <v>9.9516633494455501E-3</v>
      </c>
      <c r="G69" s="23">
        <f t="shared" si="13"/>
        <v>-150143.27000000002</v>
      </c>
      <c r="H69" s="96">
        <f t="shared" si="3"/>
        <v>-21.449038571428574</v>
      </c>
      <c r="I69" s="70">
        <v>435784.99</v>
      </c>
      <c r="J69" s="41">
        <f t="shared" si="4"/>
        <v>6.364502408166473E-3</v>
      </c>
      <c r="K69" s="23">
        <f t="shared" si="14"/>
        <v>114071.73999999999</v>
      </c>
      <c r="L69" s="96">
        <f t="shared" si="5"/>
        <v>26.176151684343239</v>
      </c>
      <c r="M69" s="74" t="s">
        <v>145</v>
      </c>
    </row>
    <row r="70" spans="1:16382" ht="15" customHeight="1">
      <c r="A70" s="18">
        <v>72</v>
      </c>
      <c r="B70" s="19" t="s">
        <v>172</v>
      </c>
      <c r="C70" s="20">
        <v>463347.48</v>
      </c>
      <c r="D70" s="40">
        <f t="shared" si="0"/>
        <v>6.5872544782485066E-3</v>
      </c>
      <c r="E70" s="20">
        <v>2000000</v>
      </c>
      <c r="F70" s="40">
        <f t="shared" si="1"/>
        <v>2.8433323855558714E-2</v>
      </c>
      <c r="G70" s="20">
        <f t="shared" si="13"/>
        <v>-1536652.52</v>
      </c>
      <c r="H70" s="91">
        <f t="shared" si="3"/>
        <v>-76.832626000000005</v>
      </c>
      <c r="I70" s="69">
        <v>606014.68000000005</v>
      </c>
      <c r="J70" s="40">
        <f t="shared" si="4"/>
        <v>8.8506533697827322E-3</v>
      </c>
      <c r="K70" s="20">
        <f t="shared" si="14"/>
        <v>-142667.20000000007</v>
      </c>
      <c r="L70" s="91">
        <f t="shared" si="5"/>
        <v>-23.541871955973093</v>
      </c>
      <c r="M70" s="73" t="s">
        <v>146</v>
      </c>
    </row>
    <row r="71" spans="1:16382" ht="15" customHeight="1">
      <c r="A71" s="28">
        <v>73</v>
      </c>
      <c r="B71" s="19" t="s">
        <v>188</v>
      </c>
      <c r="C71" s="30">
        <v>45665.590000000004</v>
      </c>
      <c r="D71" s="40">
        <f t="shared" ref="D71:D73" si="15">IFERROR(C71/$C$2*100,0)</f>
        <v>6.4921225476258183E-4</v>
      </c>
      <c r="E71" s="30">
        <v>290000</v>
      </c>
      <c r="F71" s="40">
        <f t="shared" ref="F71:F73" si="16">IFERROR(E71/$E$2*100,0)</f>
        <v>4.1228319590560138E-3</v>
      </c>
      <c r="G71" s="20">
        <f t="shared" si="13"/>
        <v>-244334.41</v>
      </c>
      <c r="H71" s="91">
        <f t="shared" ref="H71:H73" si="17">IFERROR(C71/E71*100-100,0)</f>
        <v>-84.253244827586201</v>
      </c>
      <c r="I71" s="69">
        <v>54229.020000000004</v>
      </c>
      <c r="J71" s="40">
        <f t="shared" ref="J71:J73" si="18">IFERROR(I71/$I$2*100,0)</f>
        <v>7.9199774269992143E-4</v>
      </c>
      <c r="K71" s="20">
        <f t="shared" si="14"/>
        <v>-8563.43</v>
      </c>
      <c r="L71" s="91">
        <f t="shared" ref="L71:L73" si="19">IFERROR(C71/I71*100-100,0)</f>
        <v>-15.79123133702214</v>
      </c>
      <c r="M71" s="76" t="s">
        <v>108</v>
      </c>
    </row>
    <row r="72" spans="1:16382" ht="15" customHeight="1">
      <c r="A72" s="28"/>
      <c r="B72" s="29" t="s">
        <v>152</v>
      </c>
      <c r="C72" s="30">
        <v>3058734.0400000005</v>
      </c>
      <c r="D72" s="40">
        <f t="shared" si="15"/>
        <v>4.3484987773670748E-2</v>
      </c>
      <c r="E72" s="30">
        <v>2500000</v>
      </c>
      <c r="F72" s="40">
        <f t="shared" si="16"/>
        <v>3.5541654819448397E-2</v>
      </c>
      <c r="G72" s="20">
        <f t="shared" ref="G72" si="20">+C72-E72</f>
        <v>558734.0400000005</v>
      </c>
      <c r="H72" s="91">
        <f t="shared" si="17"/>
        <v>22.349361600000023</v>
      </c>
      <c r="I72" s="71">
        <v>2297414.9</v>
      </c>
      <c r="J72" s="40">
        <f t="shared" si="18"/>
        <v>3.3553020409462779E-2</v>
      </c>
      <c r="K72" s="20">
        <f t="shared" ref="K72" si="21">+C72-I72</f>
        <v>761319.1400000006</v>
      </c>
      <c r="L72" s="91">
        <f t="shared" si="19"/>
        <v>33.138077932723462</v>
      </c>
      <c r="M72" s="76" t="s">
        <v>153</v>
      </c>
    </row>
    <row r="73" spans="1:16382" ht="15" customHeight="1" thickBot="1">
      <c r="A73" s="24"/>
      <c r="B73" s="25" t="s">
        <v>50</v>
      </c>
      <c r="C73" s="26">
        <f>+-C66-(SUM(C68:C72)+C56)</f>
        <v>-20109065.047000006</v>
      </c>
      <c r="D73" s="42">
        <f t="shared" si="15"/>
        <v>-0.28588377945692356</v>
      </c>
      <c r="E73" s="26">
        <f>+-E66-SUM(E68:E72)</f>
        <v>11371886.305600002</v>
      </c>
      <c r="F73" s="42">
        <f t="shared" si="16"/>
        <v>0.16167026308785901</v>
      </c>
      <c r="G73" s="26">
        <f t="shared" si="13"/>
        <v>-31480951.352600008</v>
      </c>
      <c r="H73" s="97">
        <f t="shared" si="17"/>
        <v>-276.83139372486903</v>
      </c>
      <c r="I73" s="26">
        <f>+-I66-(SUM(I68:I72)+I56)</f>
        <v>-921007.70999999531</v>
      </c>
      <c r="J73" s="42">
        <f t="shared" si="18"/>
        <v>-1.3451027278922245E-2</v>
      </c>
      <c r="K73" s="26">
        <f t="shared" si="14"/>
        <v>-19188057.337000012</v>
      </c>
      <c r="L73" s="97">
        <f t="shared" si="19"/>
        <v>2083.3764070227066</v>
      </c>
      <c r="M73" s="77" t="s">
        <v>147</v>
      </c>
    </row>
    <row r="74" spans="1:16382" ht="13.5" customHeight="1"/>
    <row r="78" spans="1:16382">
      <c r="G78" s="86"/>
    </row>
    <row r="80" spans="1:16382">
      <c r="J80" s="87"/>
    </row>
  </sheetData>
  <sheetProtection algorithmName="SHA-512" hashValue="LaRGdlJnf8AvtO00uSD8mKK9zkQz4RjDd3EVrTbX9amgq8TXE1V5XX//SkIPj504opxqZ1AtZVjin4mXT6DHRg==" saltValue="aJP0yC9iSwDuUJjPv/8GmQ=="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C64"/>
  <sheetViews>
    <sheetView zoomScale="90" zoomScaleNormal="90" zoomScaleSheetLayoutView="90" workbookViewId="0">
      <pane ySplit="5" topLeftCell="A24" activePane="bottomLeft" state="frozen"/>
      <selection activeCell="G14" sqref="G14"/>
      <selection pane="bottomLeft" activeCell="F39" sqref="F39"/>
    </sheetView>
  </sheetViews>
  <sheetFormatPr defaultColWidth="9.140625" defaultRowHeight="13.5"/>
  <cols>
    <col min="1" max="1" width="12.7109375" style="4" customWidth="1"/>
    <col min="2" max="2" width="65.7109375" style="4" bestFit="1" customWidth="1"/>
    <col min="3" max="3" width="9.140625" style="6"/>
    <col min="4" max="4" width="9.140625" style="4"/>
    <col min="5" max="5" width="9.140625" style="6"/>
    <col min="6" max="6" width="10" style="7" customWidth="1"/>
    <col min="7" max="7" width="10.42578125" style="6" customWidth="1"/>
    <col min="8" max="8" width="11.5703125" style="98" customWidth="1"/>
    <col min="9" max="9" width="9.140625" style="6"/>
    <col min="10" max="10" width="9.5703125" style="7" customWidth="1"/>
    <col min="11" max="11" width="11.28515625" style="6" customWidth="1"/>
    <col min="12" max="12" width="11.7109375" style="98" customWidth="1"/>
    <col min="13" max="13" width="53.85546875" style="4" customWidth="1"/>
    <col min="14" max="14" width="9.140625" style="1"/>
    <col min="15" max="15" width="12.140625" style="1" bestFit="1" customWidth="1"/>
    <col min="16" max="17" width="23.85546875" style="1" bestFit="1" customWidth="1"/>
    <col min="18" max="18" width="10.42578125" style="1" bestFit="1" customWidth="1"/>
    <col min="19" max="16384" width="9.140625" style="1"/>
  </cols>
  <sheetData>
    <row r="1" spans="1:16357" ht="18.75" customHeight="1" thickBot="1">
      <c r="B1" s="107"/>
      <c r="M1" s="5"/>
    </row>
    <row r="2" spans="1:16357" ht="15.75" customHeight="1" thickBot="1">
      <c r="A2" s="8" t="s">
        <v>58</v>
      </c>
      <c r="B2" s="8"/>
      <c r="C2" s="114">
        <f>'Centralna država-ek klas'!C2:D2</f>
        <v>7034000000</v>
      </c>
      <c r="D2" s="115"/>
      <c r="E2" s="114">
        <f>'Centralna država-ek klas'!E2:F2</f>
        <v>7034000000</v>
      </c>
      <c r="F2" s="115"/>
      <c r="G2" s="9"/>
      <c r="H2" s="99"/>
      <c r="I2" s="114">
        <v>6847118000</v>
      </c>
      <c r="J2" s="115"/>
      <c r="K2" s="9"/>
      <c r="L2" s="99"/>
      <c r="M2" s="8" t="s">
        <v>78</v>
      </c>
    </row>
    <row r="3" spans="1:16357" ht="15" customHeight="1" thickBot="1">
      <c r="A3" s="8"/>
      <c r="B3" s="8"/>
      <c r="C3" s="11"/>
      <c r="D3" s="8"/>
      <c r="E3" s="11"/>
      <c r="F3" s="10"/>
      <c r="G3" s="11"/>
      <c r="H3" s="99"/>
      <c r="I3" s="11"/>
      <c r="J3" s="10"/>
      <c r="K3" s="11"/>
      <c r="L3" s="99"/>
      <c r="M3" s="8"/>
    </row>
    <row r="4" spans="1:16357" ht="15" customHeight="1">
      <c r="A4" s="120" t="s">
        <v>70</v>
      </c>
      <c r="B4" s="118" t="s">
        <v>71</v>
      </c>
      <c r="C4" s="124" t="s">
        <v>189</v>
      </c>
      <c r="D4" s="125"/>
      <c r="E4" s="122" t="s">
        <v>197</v>
      </c>
      <c r="F4" s="123"/>
      <c r="G4" s="122" t="s">
        <v>171</v>
      </c>
      <c r="H4" s="123"/>
      <c r="I4" s="122" t="s">
        <v>198</v>
      </c>
      <c r="J4" s="123"/>
      <c r="K4" s="122" t="s">
        <v>171</v>
      </c>
      <c r="L4" s="123"/>
      <c r="M4" s="116" t="s">
        <v>148</v>
      </c>
    </row>
    <row r="5" spans="1:16357" ht="24" customHeight="1">
      <c r="A5" s="121"/>
      <c r="B5" s="119"/>
      <c r="C5" s="12" t="s">
        <v>61</v>
      </c>
      <c r="D5" s="13" t="s">
        <v>56</v>
      </c>
      <c r="E5" s="12" t="s">
        <v>61</v>
      </c>
      <c r="F5" s="13" t="s">
        <v>56</v>
      </c>
      <c r="G5" s="12" t="s">
        <v>64</v>
      </c>
      <c r="H5" s="100" t="s">
        <v>62</v>
      </c>
      <c r="I5" s="12" t="s">
        <v>61</v>
      </c>
      <c r="J5" s="14" t="s">
        <v>56</v>
      </c>
      <c r="K5" s="12" t="s">
        <v>61</v>
      </c>
      <c r="L5" s="102" t="s">
        <v>62</v>
      </c>
      <c r="M5" s="117"/>
    </row>
    <row r="6" spans="1:16357" s="38" customFormat="1" ht="15" customHeight="1">
      <c r="A6" s="35"/>
      <c r="B6" s="36" t="s">
        <v>51</v>
      </c>
      <c r="C6" s="37">
        <f>+C7+C17+C22+C23+C24+C25+C26</f>
        <v>671765773.61000001</v>
      </c>
      <c r="D6" s="44">
        <f>IFERROR(C6/$C$2*100,0)</f>
        <v>9.5502668980665337</v>
      </c>
      <c r="E6" s="37">
        <f>+E7+E17+E22+E23+E24+E25+E26</f>
        <v>611779007.56247771</v>
      </c>
      <c r="F6" s="44">
        <f>IFERROR(E6/$E$2*100,0)</f>
        <v>8.6974553250281161</v>
      </c>
      <c r="G6" s="37">
        <f>+C6-E6</f>
        <v>59986766.047522306</v>
      </c>
      <c r="H6" s="103">
        <f>IFERROR(C6/E6*100-100,0)</f>
        <v>9.8052998396477733</v>
      </c>
      <c r="I6" s="37">
        <f>+I7+I17+I22+I23+I24+I25+I26</f>
        <v>606886275.17000008</v>
      </c>
      <c r="J6" s="44">
        <f>IFERROR(I6/$I$2*100,0)</f>
        <v>8.8633827424910763</v>
      </c>
      <c r="K6" s="37">
        <f>+C6-I6</f>
        <v>64879498.439999938</v>
      </c>
      <c r="L6" s="103">
        <f>IFERROR(C6/I6*100-100,0)</f>
        <v>10.690552924734703</v>
      </c>
      <c r="M6" s="81" t="s">
        <v>149</v>
      </c>
      <c r="N6" s="1"/>
      <c r="O6" s="1"/>
      <c r="P6" s="85"/>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463570399.19999999</v>
      </c>
      <c r="D7" s="40">
        <f t="shared" ref="D7:D63" si="0">IFERROR(C7/$C$2*100,0)</f>
        <v>6.5904236451521188</v>
      </c>
      <c r="E7" s="20">
        <f>+SUM(E8:E16)</f>
        <v>431553342.72421068</v>
      </c>
      <c r="F7" s="40">
        <f t="shared" ref="F7:F63" si="1">IFERROR(E7/$E$2*100,0)</f>
        <v>6.1352479773132025</v>
      </c>
      <c r="G7" s="20">
        <f t="shared" ref="G7:G55" si="2">+C7-E7</f>
        <v>32017056.475789309</v>
      </c>
      <c r="H7" s="91">
        <f t="shared" ref="H7:H63" si="3">IFERROR(C7/E7*100-100,0)</f>
        <v>7.4190264113537978</v>
      </c>
      <c r="I7" s="20">
        <f>+SUM(I8:I16)</f>
        <v>377770259.88</v>
      </c>
      <c r="J7" s="40">
        <f t="shared" ref="J7:J63" si="4">IFERROR(I7/$I$2*100,0)</f>
        <v>5.5172155625184205</v>
      </c>
      <c r="K7" s="20">
        <f t="shared" ref="K7:K55" si="5">+C7-I7</f>
        <v>85800139.319999993</v>
      </c>
      <c r="L7" s="91">
        <f t="shared" ref="L7:L63" si="6">IFERROR(C7/I7*100-100,0)</f>
        <v>22.712253565766318</v>
      </c>
      <c r="M7" s="73" t="s">
        <v>79</v>
      </c>
      <c r="Q7" s="85"/>
    </row>
    <row r="8" spans="1:16357" ht="15" customHeight="1">
      <c r="A8" s="21">
        <v>7111</v>
      </c>
      <c r="B8" s="22" t="s">
        <v>2</v>
      </c>
      <c r="C8" s="23">
        <f>+'Centralna država-ek klas'!C8+'Lokalna država-ek klas '!C8</f>
        <v>33659068.350000001</v>
      </c>
      <c r="D8" s="41">
        <f t="shared" si="0"/>
        <v>0.47851959553596818</v>
      </c>
      <c r="E8" s="23">
        <f>+'Centralna država-ek klas'!E8+'Lokalna država-ek klas '!E8</f>
        <v>31293597.06217264</v>
      </c>
      <c r="F8" s="41">
        <f t="shared" si="1"/>
        <v>0.44489048993705771</v>
      </c>
      <c r="G8" s="23">
        <f t="shared" si="2"/>
        <v>2365471.2878273614</v>
      </c>
      <c r="H8" s="96">
        <f t="shared" si="3"/>
        <v>7.5589625670956053</v>
      </c>
      <c r="I8" s="23">
        <f>+'Centralna država-ek klas'!I8+'Lokalna država-ek klas '!I8</f>
        <v>21781514.240000002</v>
      </c>
      <c r="J8" s="41">
        <f t="shared" si="4"/>
        <v>0.31811214937437915</v>
      </c>
      <c r="K8" s="23">
        <f t="shared" si="5"/>
        <v>11877554.109999999</v>
      </c>
      <c r="L8" s="96">
        <f t="shared" si="6"/>
        <v>54.530433371743385</v>
      </c>
      <c r="M8" s="74" t="s">
        <v>80</v>
      </c>
      <c r="P8" s="88"/>
      <c r="Q8" s="88"/>
      <c r="R8" s="88"/>
    </row>
    <row r="9" spans="1:16357" ht="15" customHeight="1">
      <c r="A9" s="21">
        <v>7112</v>
      </c>
      <c r="B9" s="22" t="s">
        <v>3</v>
      </c>
      <c r="C9" s="23">
        <f>+'Centralna država-ek klas'!C9</f>
        <v>78934015.350000009</v>
      </c>
      <c r="D9" s="41">
        <f t="shared" si="0"/>
        <v>1.1221782108330964</v>
      </c>
      <c r="E9" s="23">
        <f>+'Centralna država-ek klas'!E9</f>
        <v>46458251.597618058</v>
      </c>
      <c r="F9" s="41">
        <f t="shared" si="1"/>
        <v>0.66048125671905111</v>
      </c>
      <c r="G9" s="23">
        <f t="shared" si="2"/>
        <v>32475763.752381951</v>
      </c>
      <c r="H9" s="96">
        <f t="shared" si="3"/>
        <v>69.903112225702017</v>
      </c>
      <c r="I9" s="23">
        <f>+'Centralna država-ek klas'!I9</f>
        <v>42686712.359999999</v>
      </c>
      <c r="J9" s="41">
        <f t="shared" si="4"/>
        <v>0.62342597805383226</v>
      </c>
      <c r="K9" s="23">
        <f t="shared" si="5"/>
        <v>36247302.99000001</v>
      </c>
      <c r="L9" s="96">
        <f t="shared" si="6"/>
        <v>84.914721668670609</v>
      </c>
      <c r="M9" s="74" t="s">
        <v>81</v>
      </c>
    </row>
    <row r="10" spans="1:16357" ht="15" customHeight="1">
      <c r="A10" s="21">
        <v>71131</v>
      </c>
      <c r="B10" s="22" t="s">
        <v>66</v>
      </c>
      <c r="C10" s="23">
        <f>+'Lokalna država-ek klas '!C9</f>
        <v>7723478.8800000008</v>
      </c>
      <c r="D10" s="41">
        <f t="shared" si="0"/>
        <v>0.10980208814330397</v>
      </c>
      <c r="E10" s="23">
        <f>+'Lokalna država-ek klas '!E9</f>
        <v>8000000</v>
      </c>
      <c r="F10" s="41">
        <f t="shared" si="1"/>
        <v>0.11373329542223486</v>
      </c>
      <c r="G10" s="23">
        <f t="shared" si="2"/>
        <v>-276521.11999999918</v>
      </c>
      <c r="H10" s="96">
        <f t="shared" si="3"/>
        <v>-3.4565139999999843</v>
      </c>
      <c r="I10" s="23">
        <f>+'Lokalna država-ek klas '!I9</f>
        <v>9244808.6599999964</v>
      </c>
      <c r="J10" s="41">
        <f t="shared" si="4"/>
        <v>0.13501751627473044</v>
      </c>
      <c r="K10" s="23">
        <f t="shared" si="5"/>
        <v>-1521329.7799999956</v>
      </c>
      <c r="L10" s="96">
        <f t="shared" si="6"/>
        <v>-16.456043991287927</v>
      </c>
      <c r="M10" s="74" t="s">
        <v>150</v>
      </c>
    </row>
    <row r="11" spans="1:16357" ht="15" customHeight="1">
      <c r="A11" s="21">
        <v>71132</v>
      </c>
      <c r="B11" s="22" t="s">
        <v>4</v>
      </c>
      <c r="C11" s="23">
        <f>+'Centralna država-ek klas'!C10+'Lokalna država-ek klas '!C10</f>
        <v>4275828.63</v>
      </c>
      <c r="D11" s="41">
        <f t="shared" si="0"/>
        <v>6.0788010093829968E-2</v>
      </c>
      <c r="E11" s="23">
        <f>+'Centralna država-ek klas'!E10+'Lokalna država-ek klas '!E10</f>
        <v>4900000</v>
      </c>
      <c r="F11" s="41">
        <f t="shared" si="1"/>
        <v>6.9661643446118859E-2</v>
      </c>
      <c r="G11" s="23">
        <f t="shared" si="2"/>
        <v>-624171.37000000011</v>
      </c>
      <c r="H11" s="96">
        <f t="shared" si="3"/>
        <v>-12.73819122448981</v>
      </c>
      <c r="I11" s="23">
        <f>+'Centralna država-ek klas'!I10+'Lokalna država-ek klas '!I10</f>
        <v>6106793.4199999999</v>
      </c>
      <c r="J11" s="41">
        <f t="shared" si="4"/>
        <v>8.9187792878697283E-2</v>
      </c>
      <c r="K11" s="23">
        <f t="shared" si="5"/>
        <v>-1830964.79</v>
      </c>
      <c r="L11" s="96">
        <f t="shared" si="6"/>
        <v>-29.982425539457651</v>
      </c>
      <c r="M11" s="74" t="s">
        <v>82</v>
      </c>
    </row>
    <row r="12" spans="1:16357" ht="15" customHeight="1">
      <c r="A12" s="21">
        <v>7114</v>
      </c>
      <c r="B12" s="22" t="s">
        <v>5</v>
      </c>
      <c r="C12" s="23">
        <f>+'Centralna država-ek klas'!C11</f>
        <v>252353543.47999999</v>
      </c>
      <c r="D12" s="41">
        <f t="shared" si="0"/>
        <v>3.5876250139323287</v>
      </c>
      <c r="E12" s="23">
        <f>+'Centralna država-ek klas'!E11</f>
        <v>252152747.91851854</v>
      </c>
      <c r="F12" s="41">
        <f t="shared" si="1"/>
        <v>3.584770371318148</v>
      </c>
      <c r="G12" s="23">
        <f t="shared" si="2"/>
        <v>200795.56148144603</v>
      </c>
      <c r="H12" s="96">
        <f t="shared" si="3"/>
        <v>7.9632509714429034E-2</v>
      </c>
      <c r="I12" s="23">
        <f>+'Centralna država-ek klas'!I11</f>
        <v>221766123.17000002</v>
      </c>
      <c r="J12" s="41">
        <f t="shared" si="4"/>
        <v>3.2388243224375572</v>
      </c>
      <c r="K12" s="23">
        <f t="shared" si="5"/>
        <v>30587420.309999973</v>
      </c>
      <c r="L12" s="96">
        <f t="shared" si="6"/>
        <v>13.792647800652787</v>
      </c>
      <c r="M12" s="74" t="s">
        <v>83</v>
      </c>
    </row>
    <row r="13" spans="1:16357" ht="15" customHeight="1">
      <c r="A13" s="21">
        <v>7115</v>
      </c>
      <c r="B13" s="22" t="s">
        <v>6</v>
      </c>
      <c r="C13" s="23">
        <f>+'Centralna država-ek klas'!C12</f>
        <v>66917981.88000001</v>
      </c>
      <c r="D13" s="41">
        <f t="shared" si="0"/>
        <v>0.95135032527722507</v>
      </c>
      <c r="E13" s="23">
        <f>+'Centralna država-ek klas'!E12</f>
        <v>69005512.769063264</v>
      </c>
      <c r="F13" s="41">
        <f t="shared" si="1"/>
        <v>0.98102804619083406</v>
      </c>
      <c r="G13" s="23">
        <f t="shared" si="2"/>
        <v>-2087530.889063254</v>
      </c>
      <c r="H13" s="96">
        <f t="shared" si="3"/>
        <v>-3.0251653893935639</v>
      </c>
      <c r="I13" s="23">
        <f>+'Centralna država-ek klas'!I12</f>
        <v>58304564.960000001</v>
      </c>
      <c r="J13" s="41">
        <f t="shared" si="4"/>
        <v>0.85151979212275875</v>
      </c>
      <c r="K13" s="23">
        <f t="shared" si="5"/>
        <v>8613416.9200000092</v>
      </c>
      <c r="L13" s="96">
        <f t="shared" si="6"/>
        <v>14.773143279448647</v>
      </c>
      <c r="M13" s="74" t="s">
        <v>84</v>
      </c>
    </row>
    <row r="14" spans="1:16357" ht="15" customHeight="1">
      <c r="A14" s="21">
        <v>7116</v>
      </c>
      <c r="B14" s="22" t="s">
        <v>7</v>
      </c>
      <c r="C14" s="23">
        <f>+'Centralna država-ek klas'!C13</f>
        <v>11483332.48</v>
      </c>
      <c r="D14" s="41">
        <f t="shared" si="0"/>
        <v>0.16325465567244812</v>
      </c>
      <c r="E14" s="23">
        <f>+'Centralna država-ek klas'!E13</f>
        <v>11433900.715892974</v>
      </c>
      <c r="F14" s="41">
        <f t="shared" si="1"/>
        <v>0.16255190099364478</v>
      </c>
      <c r="G14" s="23">
        <f t="shared" si="2"/>
        <v>49431.76410702616</v>
      </c>
      <c r="H14" s="96">
        <f t="shared" si="3"/>
        <v>0.432326336700811</v>
      </c>
      <c r="I14" s="23">
        <f>+'Centralna država-ek klas'!I13</f>
        <v>11131991.879999999</v>
      </c>
      <c r="J14" s="41">
        <f t="shared" si="4"/>
        <v>0.16257923231350765</v>
      </c>
      <c r="K14" s="23">
        <f t="shared" si="5"/>
        <v>351340.60000000149</v>
      </c>
      <c r="L14" s="96">
        <f t="shared" si="6"/>
        <v>3.1561341742552713</v>
      </c>
      <c r="M14" s="74" t="s">
        <v>85</v>
      </c>
    </row>
    <row r="15" spans="1:16357" ht="15" customHeight="1">
      <c r="A15" s="21"/>
      <c r="B15" s="22" t="s">
        <v>159</v>
      </c>
      <c r="C15" s="23">
        <f>+'Lokalna država-ek klas '!C11</f>
        <v>4969573.0600000005</v>
      </c>
      <c r="D15" s="41">
        <f t="shared" si="0"/>
        <v>7.0650740119419964E-2</v>
      </c>
      <c r="E15" s="23">
        <f>+'Lokalna država-ek klas '!E11</f>
        <v>5282810.3291999996</v>
      </c>
      <c r="F15" s="41">
        <f t="shared" si="1"/>
        <v>7.5103928478817167E-2</v>
      </c>
      <c r="G15" s="23">
        <f t="shared" si="2"/>
        <v>-313237.26919999905</v>
      </c>
      <c r="H15" s="96">
        <f t="shared" si="3"/>
        <v>-5.9293680764691459</v>
      </c>
      <c r="I15" s="23">
        <f>+'Lokalna država-ek klas '!I11</f>
        <v>3843465.3500000006</v>
      </c>
      <c r="J15" s="41">
        <f t="shared" si="4"/>
        <v>5.6132599876327544E-2</v>
      </c>
      <c r="K15" s="23">
        <f t="shared" si="5"/>
        <v>1126107.71</v>
      </c>
      <c r="L15" s="96">
        <f t="shared" si="6"/>
        <v>29.299280921057345</v>
      </c>
      <c r="M15" s="74" t="s">
        <v>160</v>
      </c>
    </row>
    <row r="16" spans="1:16357" ht="15" customHeight="1">
      <c r="A16" s="21">
        <v>7118</v>
      </c>
      <c r="B16" s="22" t="s">
        <v>60</v>
      </c>
      <c r="C16" s="23">
        <f>+'Centralna država-ek klas'!C14</f>
        <v>3253577.09</v>
      </c>
      <c r="D16" s="41">
        <f t="shared" si="0"/>
        <v>4.625500554449815E-2</v>
      </c>
      <c r="E16" s="23">
        <f>+'Centralna država-ek klas'!E14</f>
        <v>3026522.3317451864</v>
      </c>
      <c r="F16" s="41">
        <f t="shared" si="1"/>
        <v>4.30270448072958E-2</v>
      </c>
      <c r="G16" s="23">
        <f t="shared" si="2"/>
        <v>227054.7582548135</v>
      </c>
      <c r="H16" s="96">
        <f t="shared" si="3"/>
        <v>7.5021669548985841</v>
      </c>
      <c r="I16" s="23">
        <f>+'Centralna država-ek klas'!I14</f>
        <v>2904285.84</v>
      </c>
      <c r="J16" s="41">
        <f t="shared" si="4"/>
        <v>4.241617918663005E-2</v>
      </c>
      <c r="K16" s="23">
        <f t="shared" si="5"/>
        <v>349291.25</v>
      </c>
      <c r="L16" s="96">
        <f t="shared" si="6"/>
        <v>12.026751815861218</v>
      </c>
      <c r="M16" s="74" t="s">
        <v>86</v>
      </c>
    </row>
    <row r="17" spans="1:16357" ht="15" customHeight="1">
      <c r="A17" s="18">
        <v>712</v>
      </c>
      <c r="B17" s="19" t="s">
        <v>8</v>
      </c>
      <c r="C17" s="20">
        <f>+SUM(C18:C21)</f>
        <v>114836678.37</v>
      </c>
      <c r="D17" s="40">
        <f t="shared" si="0"/>
        <v>1.6325942332954222</v>
      </c>
      <c r="E17" s="20">
        <f>+SUM(E18:E21)</f>
        <v>104833302.73665424</v>
      </c>
      <c r="F17" s="40">
        <f t="shared" si="1"/>
        <v>1.4903796237795597</v>
      </c>
      <c r="G17" s="20">
        <f t="shared" si="2"/>
        <v>10003375.633345768</v>
      </c>
      <c r="H17" s="91">
        <f t="shared" si="3"/>
        <v>9.5421735004139805</v>
      </c>
      <c r="I17" s="20">
        <f>+SUM(I18:I21)</f>
        <v>99782844.020000011</v>
      </c>
      <c r="J17" s="40">
        <f t="shared" si="4"/>
        <v>1.4572969827597539</v>
      </c>
      <c r="K17" s="20">
        <f t="shared" si="5"/>
        <v>15053834.349999994</v>
      </c>
      <c r="L17" s="91">
        <f t="shared" si="6"/>
        <v>15.086595794947158</v>
      </c>
      <c r="M17" s="73" t="s">
        <v>87</v>
      </c>
    </row>
    <row r="18" spans="1:16357" ht="15" customHeight="1">
      <c r="A18" s="21">
        <v>7121</v>
      </c>
      <c r="B18" s="22" t="s">
        <v>9</v>
      </c>
      <c r="C18" s="23">
        <f>+'Centralna država-ek klas'!C16</f>
        <v>105260618.40000001</v>
      </c>
      <c r="D18" s="41">
        <f t="shared" si="0"/>
        <v>1.4964546261017915</v>
      </c>
      <c r="E18" s="23">
        <f>+'Centralna država-ek klas'!E16</f>
        <v>96992507.786928236</v>
      </c>
      <c r="F18" s="41">
        <f t="shared" si="1"/>
        <v>1.3789096927342654</v>
      </c>
      <c r="G18" s="23">
        <f t="shared" si="2"/>
        <v>8268110.6130717695</v>
      </c>
      <c r="H18" s="96">
        <f t="shared" si="3"/>
        <v>8.5244837995477383</v>
      </c>
      <c r="I18" s="23">
        <f>+'Centralna država-ek klas'!I16</f>
        <v>91227855.520000011</v>
      </c>
      <c r="J18" s="41">
        <f t="shared" si="4"/>
        <v>1.3323540724725353</v>
      </c>
      <c r="K18" s="23">
        <f t="shared" si="5"/>
        <v>14032762.879999995</v>
      </c>
      <c r="L18" s="96">
        <f t="shared" si="6"/>
        <v>15.382103196455787</v>
      </c>
      <c r="M18" s="74" t="s">
        <v>88</v>
      </c>
    </row>
    <row r="19" spans="1:16357" ht="15" customHeight="1">
      <c r="A19" s="21">
        <v>7122</v>
      </c>
      <c r="B19" s="22" t="s">
        <v>10</v>
      </c>
      <c r="C19" s="23">
        <f>+'Centralna država-ek klas'!C17</f>
        <v>1184664.5899999999</v>
      </c>
      <c r="D19" s="41">
        <f t="shared" si="0"/>
        <v>1.684197597384134E-2</v>
      </c>
      <c r="E19" s="23">
        <f>+'Centralna država-ek klas'!E17</f>
        <v>584736.12543978193</v>
      </c>
      <c r="F19" s="41">
        <f t="shared" si="1"/>
        <v>8.3129958123369617E-3</v>
      </c>
      <c r="G19" s="23">
        <f t="shared" si="2"/>
        <v>599928.46456021792</v>
      </c>
      <c r="H19" s="96">
        <f t="shared" si="3"/>
        <v>102.59815298892465</v>
      </c>
      <c r="I19" s="23">
        <f>+'Centralna država-ek klas'!I17</f>
        <v>1370337.46</v>
      </c>
      <c r="J19" s="41">
        <f t="shared" si="4"/>
        <v>2.0013346637227515E-2</v>
      </c>
      <c r="K19" s="23">
        <f t="shared" si="5"/>
        <v>-185672.87000000011</v>
      </c>
      <c r="L19" s="96">
        <f t="shared" si="6"/>
        <v>-13.549426722962096</v>
      </c>
      <c r="M19" s="74" t="s">
        <v>89</v>
      </c>
    </row>
    <row r="20" spans="1:16357" ht="15" customHeight="1">
      <c r="A20" s="21">
        <v>7123</v>
      </c>
      <c r="B20" s="22" t="s">
        <v>11</v>
      </c>
      <c r="C20" s="23">
        <f>+'Centralna država-ek klas'!C18</f>
        <v>4910225.5500000007</v>
      </c>
      <c r="D20" s="41">
        <f t="shared" si="0"/>
        <v>6.9807016633494465E-2</v>
      </c>
      <c r="E20" s="23">
        <f>+'Centralna država-ek klas'!E18</f>
        <v>4122467.2931547426</v>
      </c>
      <c r="F20" s="41">
        <f t="shared" si="1"/>
        <v>5.8607723815108648E-2</v>
      </c>
      <c r="G20" s="23">
        <f t="shared" si="2"/>
        <v>787758.25684525818</v>
      </c>
      <c r="H20" s="96">
        <f t="shared" si="3"/>
        <v>19.108902529155586</v>
      </c>
      <c r="I20" s="23">
        <f>+'Centralna država-ek klas'!I18</f>
        <v>4160698.2199999997</v>
      </c>
      <c r="J20" s="41">
        <f t="shared" si="4"/>
        <v>6.0765685942611183E-2</v>
      </c>
      <c r="K20" s="23">
        <f t="shared" si="5"/>
        <v>749527.33000000101</v>
      </c>
      <c r="L20" s="96">
        <f t="shared" si="6"/>
        <v>18.014460322959948</v>
      </c>
      <c r="M20" s="74" t="s">
        <v>90</v>
      </c>
    </row>
    <row r="21" spans="1:16357" ht="15" customHeight="1">
      <c r="A21" s="21">
        <v>7124</v>
      </c>
      <c r="B21" s="22" t="s">
        <v>12</v>
      </c>
      <c r="C21" s="23">
        <f>+'Centralna država-ek klas'!C19</f>
        <v>3481169.83</v>
      </c>
      <c r="D21" s="41">
        <f t="shared" si="0"/>
        <v>4.949061458629514E-2</v>
      </c>
      <c r="E21" s="23">
        <f>+'Centralna država-ek klas'!E19</f>
        <v>3133591.5311314706</v>
      </c>
      <c r="F21" s="41">
        <f t="shared" si="1"/>
        <v>4.4549211417848601E-2</v>
      </c>
      <c r="G21" s="23">
        <f t="shared" si="2"/>
        <v>347578.2988685295</v>
      </c>
      <c r="H21" s="96">
        <f t="shared" si="3"/>
        <v>11.09201041091103</v>
      </c>
      <c r="I21" s="23">
        <f>+'Centralna država-ek klas'!I19</f>
        <v>3023952.8200000003</v>
      </c>
      <c r="J21" s="41">
        <f t="shared" si="4"/>
        <v>4.4163877707379957E-2</v>
      </c>
      <c r="K21" s="23">
        <f t="shared" si="5"/>
        <v>457217.00999999978</v>
      </c>
      <c r="L21" s="96">
        <f t="shared" si="6"/>
        <v>15.119846016645184</v>
      </c>
      <c r="M21" s="74" t="s">
        <v>91</v>
      </c>
    </row>
    <row r="22" spans="1:16357" ht="15" customHeight="1">
      <c r="A22" s="18">
        <v>713</v>
      </c>
      <c r="B22" s="19" t="s">
        <v>13</v>
      </c>
      <c r="C22" s="20">
        <f>+'Centralna država-ek klas'!C20+'Lokalna država-ek klas '!C12</f>
        <v>4040465.1900000004</v>
      </c>
      <c r="D22" s="40">
        <f t="shared" si="0"/>
        <v>5.7441927637190797E-2</v>
      </c>
      <c r="E22" s="20">
        <f>+'Centralna država-ek klas'!E20+'Lokalna država-ek klas '!E12</f>
        <v>4291650.5584288258</v>
      </c>
      <c r="F22" s="40">
        <f t="shared" si="1"/>
        <v>6.1012945101348109E-2</v>
      </c>
      <c r="G22" s="20">
        <f t="shared" si="2"/>
        <v>-251185.3684288254</v>
      </c>
      <c r="H22" s="91">
        <f t="shared" si="3"/>
        <v>-5.852884921758033</v>
      </c>
      <c r="I22" s="20">
        <f>+'Centralna država-ek klas'!I20+'Lokalna država-ek klas '!I12</f>
        <v>3873541.6799999992</v>
      </c>
      <c r="J22" s="40">
        <f t="shared" si="4"/>
        <v>5.6571855195134635E-2</v>
      </c>
      <c r="K22" s="20">
        <f t="shared" si="5"/>
        <v>166923.51000000117</v>
      </c>
      <c r="L22" s="91">
        <f t="shared" si="6"/>
        <v>4.3093252581188466</v>
      </c>
      <c r="M22" s="73" t="s">
        <v>92</v>
      </c>
    </row>
    <row r="23" spans="1:16357" ht="15" customHeight="1">
      <c r="A23" s="18">
        <v>714</v>
      </c>
      <c r="B23" s="19" t="s">
        <v>19</v>
      </c>
      <c r="C23" s="20">
        <f>+'Centralna država-ek klas'!C25+'Lokalna država-ek klas '!C19</f>
        <v>32569062.759999998</v>
      </c>
      <c r="D23" s="40">
        <f t="shared" si="0"/>
        <v>0.46302335456354848</v>
      </c>
      <c r="E23" s="20">
        <f>+'Centralna država-ek klas'!E25+'Lokalna država-ek klas '!E19</f>
        <v>30738683.134165067</v>
      </c>
      <c r="F23" s="40">
        <f t="shared" si="1"/>
        <v>0.43700146622355801</v>
      </c>
      <c r="G23" s="20">
        <f t="shared" si="2"/>
        <v>1830379.6258349307</v>
      </c>
      <c r="H23" s="91">
        <f t="shared" si="3"/>
        <v>5.9546455449827675</v>
      </c>
      <c r="I23" s="20">
        <f>+'Centralna država-ek klas'!I25+'Lokalna država-ek klas '!I19</f>
        <v>34199657.879999995</v>
      </c>
      <c r="J23" s="40">
        <f t="shared" si="4"/>
        <v>0.49947522271414035</v>
      </c>
      <c r="K23" s="20">
        <f t="shared" si="5"/>
        <v>-1630595.1199999973</v>
      </c>
      <c r="L23" s="91">
        <f t="shared" si="6"/>
        <v>-4.7678696837302823</v>
      </c>
      <c r="M23" s="73" t="s">
        <v>97</v>
      </c>
    </row>
    <row r="24" spans="1:16357" ht="15" customHeight="1">
      <c r="A24" s="18">
        <v>715</v>
      </c>
      <c r="B24" s="19" t="s">
        <v>26</v>
      </c>
      <c r="C24" s="20">
        <f>+'Centralna država-ek klas'!C32+'Lokalna država-ek klas '!C30</f>
        <v>29183791.82</v>
      </c>
      <c r="D24" s="40">
        <f t="shared" si="0"/>
        <v>0.41489610207563266</v>
      </c>
      <c r="E24" s="20">
        <f>+'Centralna država-ek klas'!E32+'Lokalna država-ek klas '!E30</f>
        <v>17549854.956518896</v>
      </c>
      <c r="F24" s="40">
        <f t="shared" si="1"/>
        <v>0.24950035479839203</v>
      </c>
      <c r="G24" s="20">
        <f t="shared" si="2"/>
        <v>11633936.863481104</v>
      </c>
      <c r="H24" s="91">
        <f t="shared" si="3"/>
        <v>66.290786404247029</v>
      </c>
      <c r="I24" s="20">
        <f>+'Centralna država-ek klas'!I32+'Lokalna država-ek klas '!I30</f>
        <v>42429244.50999999</v>
      </c>
      <c r="J24" s="40">
        <f t="shared" si="4"/>
        <v>0.61966574126515694</v>
      </c>
      <c r="K24" s="20">
        <f t="shared" si="5"/>
        <v>-13245452.68999999</v>
      </c>
      <c r="L24" s="91">
        <f t="shared" si="6"/>
        <v>-31.217743429012074</v>
      </c>
      <c r="M24" s="73" t="s">
        <v>104</v>
      </c>
    </row>
    <row r="25" spans="1:16357" ht="15" customHeight="1">
      <c r="A25" s="18">
        <v>73</v>
      </c>
      <c r="B25" s="19" t="s">
        <v>187</v>
      </c>
      <c r="C25" s="20">
        <f>+'Centralna država-ek klas'!C37+'Lokalna država-ek klas '!C35</f>
        <v>0</v>
      </c>
      <c r="D25" s="40">
        <f t="shared" si="0"/>
        <v>0</v>
      </c>
      <c r="E25" s="20">
        <f>+'Centralna država-ek klas'!E37+'Lokalna država-ek klas '!E35</f>
        <v>0</v>
      </c>
      <c r="F25" s="40">
        <f t="shared" si="1"/>
        <v>0</v>
      </c>
      <c r="G25" s="20">
        <f t="shared" si="2"/>
        <v>0</v>
      </c>
      <c r="H25" s="91">
        <f t="shared" si="3"/>
        <v>0</v>
      </c>
      <c r="I25" s="20">
        <f>+'Centralna država-ek klas'!I37+'Lokalna država-ek klas '!I35</f>
        <v>0</v>
      </c>
      <c r="J25" s="40">
        <f t="shared" si="4"/>
        <v>0</v>
      </c>
      <c r="K25" s="20">
        <f t="shared" si="5"/>
        <v>0</v>
      </c>
      <c r="L25" s="91">
        <f t="shared" si="6"/>
        <v>0</v>
      </c>
      <c r="M25" s="73" t="s">
        <v>108</v>
      </c>
    </row>
    <row r="26" spans="1:16357" ht="15" customHeight="1">
      <c r="A26" s="18">
        <v>74</v>
      </c>
      <c r="B26" s="19" t="s">
        <v>183</v>
      </c>
      <c r="C26" s="20">
        <f>+'Centralna država-ek klas'!C38+'Lokalna država-ek klas '!C36</f>
        <v>27565376.270000003</v>
      </c>
      <c r="D26" s="40">
        <f t="shared" si="0"/>
        <v>0.39188763534262161</v>
      </c>
      <c r="E26" s="20">
        <f>+'Centralna država-ek klas'!E38+'Lokalna država-ek klas '!E36</f>
        <v>22812173.452500001</v>
      </c>
      <c r="F26" s="40">
        <f t="shared" si="1"/>
        <v>0.32431295781205577</v>
      </c>
      <c r="G26" s="20">
        <f t="shared" si="2"/>
        <v>4753202.8175000027</v>
      </c>
      <c r="H26" s="91">
        <f t="shared" si="3"/>
        <v>20.836255814892965</v>
      </c>
      <c r="I26" s="20">
        <f>+'Centralna država-ek klas'!I38+'Lokalna država-ek klas '!I36</f>
        <v>48830727.199999996</v>
      </c>
      <c r="J26" s="40">
        <f t="shared" si="4"/>
        <v>0.71315737803846813</v>
      </c>
      <c r="K26" s="20">
        <f t="shared" si="5"/>
        <v>-21265350.929999992</v>
      </c>
      <c r="L26" s="91">
        <f t="shared" si="6"/>
        <v>-43.549117839064245</v>
      </c>
      <c r="M26" s="73" t="s">
        <v>109</v>
      </c>
    </row>
    <row r="27" spans="1:16357" s="38" customFormat="1" ht="15" customHeight="1">
      <c r="A27" s="35"/>
      <c r="B27" s="36" t="s">
        <v>72</v>
      </c>
      <c r="C27" s="37">
        <f>+C28+C38+C39+C40+C41+C42+C43+C44</f>
        <v>658889376.01299989</v>
      </c>
      <c r="D27" s="44">
        <f t="shared" si="0"/>
        <v>9.3672075065823126</v>
      </c>
      <c r="E27" s="37">
        <f>+E28+E38+E39+E40+E41+E42+E43+E44</f>
        <v>738287458.2183001</v>
      </c>
      <c r="F27" s="44">
        <f t="shared" si="1"/>
        <v>10.4959831990091</v>
      </c>
      <c r="G27" s="37">
        <f>+C27-E27</f>
        <v>-79398082.205300212</v>
      </c>
      <c r="H27" s="103">
        <f t="shared" si="3"/>
        <v>-10.754358796356982</v>
      </c>
      <c r="I27" s="37">
        <f>+I28+I38+I39+I40+I41+I42+I43+I44</f>
        <v>544546671.25</v>
      </c>
      <c r="J27" s="44">
        <f t="shared" si="4"/>
        <v>7.9529324783069315</v>
      </c>
      <c r="K27" s="37">
        <f t="shared" si="5"/>
        <v>114342704.76299989</v>
      </c>
      <c r="L27" s="103">
        <f t="shared" si="6"/>
        <v>20.997778666156862</v>
      </c>
      <c r="M27" s="81" t="s">
        <v>110</v>
      </c>
      <c r="N27" s="1"/>
      <c r="O27" s="1"/>
      <c r="P27" s="85"/>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69</v>
      </c>
      <c r="C28" s="20">
        <f>+SUM(C29:C37)</f>
        <v>257052325.04999995</v>
      </c>
      <c r="D28" s="40">
        <f t="shared" si="0"/>
        <v>3.654426002985498</v>
      </c>
      <c r="E28" s="20">
        <f>+SUM(E29:E37)</f>
        <v>302910497.15829998</v>
      </c>
      <c r="F28" s="40">
        <f t="shared" si="1"/>
        <v>4.3063761324751209</v>
      </c>
      <c r="G28" s="20">
        <f t="shared" si="2"/>
        <v>-45858172.10830003</v>
      </c>
      <c r="H28" s="91">
        <f t="shared" si="3"/>
        <v>-15.139182213396424</v>
      </c>
      <c r="I28" s="20">
        <f>+SUM(I29:I37)</f>
        <v>229032922.81000003</v>
      </c>
      <c r="J28" s="40">
        <f t="shared" si="4"/>
        <v>3.3449536404951692</v>
      </c>
      <c r="K28" s="20">
        <f t="shared" si="5"/>
        <v>28019402.23999992</v>
      </c>
      <c r="L28" s="91">
        <f t="shared" si="6"/>
        <v>12.233788005772482</v>
      </c>
      <c r="M28" s="73" t="s">
        <v>111</v>
      </c>
    </row>
    <row r="29" spans="1:16357" ht="15" customHeight="1">
      <c r="A29" s="21">
        <v>411</v>
      </c>
      <c r="B29" s="22" t="s">
        <v>30</v>
      </c>
      <c r="C29" s="23">
        <f>+'Centralna država-ek klas'!C41+'Lokalna država-ek klas '!C39</f>
        <v>181246732.41999996</v>
      </c>
      <c r="D29" s="41">
        <f t="shared" si="0"/>
        <v>2.5767235203298258</v>
      </c>
      <c r="E29" s="23">
        <f>+'Centralna država-ek klas'!E41+'Lokalna država-ek klas '!E39</f>
        <v>187290384.69679999</v>
      </c>
      <c r="F29" s="41">
        <f t="shared" si="1"/>
        <v>2.6626440815581462</v>
      </c>
      <c r="G29" s="23">
        <f t="shared" si="2"/>
        <v>-6043652.2768000364</v>
      </c>
      <c r="H29" s="96">
        <f t="shared" si="3"/>
        <v>-3.2268887089873601</v>
      </c>
      <c r="I29" s="23">
        <f>+'Centralna država-ek klas'!I41+'Lokalna država-ek klas '!I39</f>
        <v>165299672.50999999</v>
      </c>
      <c r="J29" s="41">
        <f t="shared" si="4"/>
        <v>2.4141496102447775</v>
      </c>
      <c r="K29" s="23">
        <f t="shared" si="5"/>
        <v>15947059.909999967</v>
      </c>
      <c r="L29" s="96">
        <f t="shared" si="6"/>
        <v>9.6473632813974319</v>
      </c>
      <c r="M29" s="74" t="s">
        <v>112</v>
      </c>
    </row>
    <row r="30" spans="1:16357" ht="15" customHeight="1">
      <c r="A30" s="21">
        <v>412</v>
      </c>
      <c r="B30" s="22" t="s">
        <v>31</v>
      </c>
      <c r="C30" s="23">
        <f>+'Centralna država-ek klas'!C42+'Lokalna država-ek klas '!C40</f>
        <v>5170962.4899999993</v>
      </c>
      <c r="D30" s="41">
        <f t="shared" si="0"/>
        <v>7.3513825561558124E-2</v>
      </c>
      <c r="E30" s="23">
        <f>+'Centralna država-ek klas'!E42+'Lokalna država-ek klas '!E40</f>
        <v>7193779.5800000019</v>
      </c>
      <c r="F30" s="41">
        <f t="shared" si="1"/>
        <v>0.1022715322718226</v>
      </c>
      <c r="G30" s="23">
        <f t="shared" si="2"/>
        <v>-2022817.0900000026</v>
      </c>
      <c r="H30" s="96">
        <f t="shared" si="3"/>
        <v>-28.118975115998794</v>
      </c>
      <c r="I30" s="23">
        <f>+'Centralna država-ek klas'!I42+'Lokalna država-ek klas '!I40</f>
        <v>4376475.12</v>
      </c>
      <c r="J30" s="41">
        <f t="shared" si="4"/>
        <v>6.3917039548610083E-2</v>
      </c>
      <c r="K30" s="23">
        <f t="shared" si="5"/>
        <v>794487.36999999918</v>
      </c>
      <c r="L30" s="96">
        <f t="shared" si="6"/>
        <v>18.15359046300253</v>
      </c>
      <c r="M30" s="74" t="s">
        <v>113</v>
      </c>
    </row>
    <row r="31" spans="1:16357" ht="15" customHeight="1">
      <c r="A31" s="21">
        <v>413</v>
      </c>
      <c r="B31" s="22" t="s">
        <v>73</v>
      </c>
      <c r="C31" s="23">
        <f>+'Centralna država-ek klas'!C43+'Lokalna država-ek klas '!C41</f>
        <v>8851810.8499999996</v>
      </c>
      <c r="D31" s="41">
        <f t="shared" si="0"/>
        <v>0.12584320230309923</v>
      </c>
      <c r="E31" s="23">
        <f>+'Centralna država-ek klas'!E43+'Lokalna država-ek klas '!E41</f>
        <v>14605560.129999999</v>
      </c>
      <c r="F31" s="41">
        <f t="shared" si="1"/>
        <v>0.2076423106340631</v>
      </c>
      <c r="G31" s="23">
        <f t="shared" si="2"/>
        <v>-5753749.2799999993</v>
      </c>
      <c r="H31" s="96">
        <f t="shared" si="3"/>
        <v>-39.39423910337905</v>
      </c>
      <c r="I31" s="23">
        <f>+'Centralna država-ek klas'!I43+'Lokalna država-ek klas '!I41</f>
        <v>10063213.420000002</v>
      </c>
      <c r="J31" s="41">
        <f t="shared" si="4"/>
        <v>0.14697005981202604</v>
      </c>
      <c r="K31" s="23">
        <f t="shared" si="5"/>
        <v>-1211402.5700000022</v>
      </c>
      <c r="L31" s="96">
        <f t="shared" si="6"/>
        <v>-12.037929828581554</v>
      </c>
      <c r="M31" s="74" t="s">
        <v>114</v>
      </c>
    </row>
    <row r="32" spans="1:16357" ht="15" customHeight="1">
      <c r="A32" s="21">
        <v>414</v>
      </c>
      <c r="B32" s="22" t="s">
        <v>74</v>
      </c>
      <c r="C32" s="23">
        <f>+'Centralna država-ek klas'!C44+'Lokalna država-ek klas '!C42</f>
        <v>12892479.700000001</v>
      </c>
      <c r="D32" s="41">
        <f t="shared" si="0"/>
        <v>0.18328802530565824</v>
      </c>
      <c r="E32" s="23">
        <f>+'Centralna država-ek klas'!E44+'Lokalna država-ek klas '!E42</f>
        <v>18268074.790000003</v>
      </c>
      <c r="F32" s="41">
        <f t="shared" si="1"/>
        <v>0.25971104336081896</v>
      </c>
      <c r="G32" s="23">
        <f t="shared" si="2"/>
        <v>-5375595.0900000017</v>
      </c>
      <c r="H32" s="96">
        <f t="shared" si="3"/>
        <v>-29.426171897120852</v>
      </c>
      <c r="I32" s="23">
        <f>+'Centralna država-ek klas'!I44+'Lokalna država-ek klas '!I42</f>
        <v>13288076.629999999</v>
      </c>
      <c r="J32" s="41">
        <f t="shared" si="4"/>
        <v>0.19406817043316615</v>
      </c>
      <c r="K32" s="23">
        <f t="shared" si="5"/>
        <v>-395596.92999999784</v>
      </c>
      <c r="L32" s="96">
        <f t="shared" si="6"/>
        <v>-2.9770819435739355</v>
      </c>
      <c r="M32" s="74" t="s">
        <v>115</v>
      </c>
    </row>
    <row r="33" spans="1:16357" ht="15.75" customHeight="1">
      <c r="A33" s="21">
        <v>415</v>
      </c>
      <c r="B33" s="22" t="s">
        <v>32</v>
      </c>
      <c r="C33" s="23">
        <f>+'Centralna država-ek klas'!C45+'Lokalna država-ek klas '!C43</f>
        <v>3990592.3099999996</v>
      </c>
      <c r="D33" s="41">
        <f t="shared" si="0"/>
        <v>5.6732901762866078E-2</v>
      </c>
      <c r="E33" s="23">
        <f>+'Centralna država-ek klas'!E45+'Lokalna država-ek klas '!E43</f>
        <v>9783895.8739999998</v>
      </c>
      <c r="F33" s="41">
        <f t="shared" si="1"/>
        <v>0.13909433997725335</v>
      </c>
      <c r="G33" s="23">
        <f t="shared" si="2"/>
        <v>-5793303.5640000002</v>
      </c>
      <c r="H33" s="96">
        <f t="shared" si="3"/>
        <v>-59.212645336867169</v>
      </c>
      <c r="I33" s="23">
        <f>+'Centralna država-ek klas'!I45+'Lokalna država-ek klas '!I43</f>
        <v>5110962.8100000005</v>
      </c>
      <c r="J33" s="41">
        <f t="shared" si="4"/>
        <v>7.4644000731402621E-2</v>
      </c>
      <c r="K33" s="23">
        <f t="shared" si="5"/>
        <v>-1120370.5000000009</v>
      </c>
      <c r="L33" s="96">
        <f t="shared" si="6"/>
        <v>-21.920928436573789</v>
      </c>
      <c r="M33" s="74" t="s">
        <v>116</v>
      </c>
    </row>
    <row r="34" spans="1:16357" ht="15" customHeight="1">
      <c r="A34" s="21">
        <v>416</v>
      </c>
      <c r="B34" s="22" t="s">
        <v>33</v>
      </c>
      <c r="C34" s="23">
        <f>+'Centralna država-ek klas'!C46+'Lokalna država-ek klas '!C44</f>
        <v>15823492.819999997</v>
      </c>
      <c r="D34" s="41">
        <f t="shared" si="0"/>
        <v>0.22495724793858396</v>
      </c>
      <c r="E34" s="23">
        <f>+'Centralna država-ek klas'!E46+'Lokalna država-ek klas '!E44</f>
        <v>19513043.267499998</v>
      </c>
      <c r="F34" s="41">
        <f t="shared" si="1"/>
        <v>0.27741033931617853</v>
      </c>
      <c r="G34" s="23">
        <f t="shared" si="2"/>
        <v>-3689550.4475000016</v>
      </c>
      <c r="H34" s="96">
        <f t="shared" si="3"/>
        <v>-18.90812415531893</v>
      </c>
      <c r="I34" s="23">
        <f>+'Centralna država-ek klas'!I46+'Lokalna država-ek klas '!I44</f>
        <v>8498499.0800000001</v>
      </c>
      <c r="J34" s="41">
        <f t="shared" si="4"/>
        <v>0.1241179001150557</v>
      </c>
      <c r="K34" s="23">
        <f t="shared" si="5"/>
        <v>7324993.7399999965</v>
      </c>
      <c r="L34" s="96">
        <f t="shared" si="6"/>
        <v>86.191616555425895</v>
      </c>
      <c r="M34" s="74" t="s">
        <v>117</v>
      </c>
    </row>
    <row r="35" spans="1:16357" ht="15" customHeight="1">
      <c r="A35" s="21">
        <v>417</v>
      </c>
      <c r="B35" s="22" t="s">
        <v>34</v>
      </c>
      <c r="C35" s="23">
        <f>+'Centralna država-ek klas'!C47+'Lokalna država-ek klas '!C45</f>
        <v>2402374.1100000003</v>
      </c>
      <c r="D35" s="41">
        <f t="shared" si="0"/>
        <v>3.4153740545919825E-2</v>
      </c>
      <c r="E35" s="23">
        <f>+'Centralna država-ek klas'!E47+'Lokalna država-ek klas '!E45</f>
        <v>3675365.4999999995</v>
      </c>
      <c r="F35" s="41">
        <f t="shared" si="1"/>
        <v>5.2251428774523732E-2</v>
      </c>
      <c r="G35" s="23">
        <f t="shared" si="2"/>
        <v>-1272991.3899999992</v>
      </c>
      <c r="H35" s="96">
        <f t="shared" si="3"/>
        <v>-34.635776768324106</v>
      </c>
      <c r="I35" s="23">
        <f>+'Centralna država-ek klas'!I47+'Lokalna država-ek klas '!I45</f>
        <v>1934147.5899999999</v>
      </c>
      <c r="J35" s="41">
        <f t="shared" si="4"/>
        <v>2.8247615858234078E-2</v>
      </c>
      <c r="K35" s="23">
        <f t="shared" si="5"/>
        <v>468226.52000000048</v>
      </c>
      <c r="L35" s="96">
        <f t="shared" si="6"/>
        <v>24.208417311111234</v>
      </c>
      <c r="M35" s="74" t="s">
        <v>118</v>
      </c>
    </row>
    <row r="36" spans="1:16357" ht="15" customHeight="1">
      <c r="A36" s="21">
        <v>418</v>
      </c>
      <c r="B36" s="22" t="s">
        <v>35</v>
      </c>
      <c r="C36" s="23">
        <f>+'Centralna država-ek klas'!C48+'Lokalna država-ek klas '!C46</f>
        <v>11334516.629999984</v>
      </c>
      <c r="D36" s="41">
        <f t="shared" si="0"/>
        <v>0.16113899104350277</v>
      </c>
      <c r="E36" s="23">
        <f>+'Centralna država-ek klas'!E48+'Lokalna država-ek klas '!E46</f>
        <v>14182863.010000002</v>
      </c>
      <c r="F36" s="41">
        <f t="shared" si="1"/>
        <v>0.20163296858117719</v>
      </c>
      <c r="G36" s="23">
        <f t="shared" si="2"/>
        <v>-2848346.3800000176</v>
      </c>
      <c r="H36" s="96">
        <f t="shared" si="3"/>
        <v>-20.083014113523589</v>
      </c>
      <c r="I36" s="23">
        <f>+'Centralna država-ek klas'!I48+'Lokalna država-ek klas '!I46</f>
        <v>9800834.6799999978</v>
      </c>
      <c r="J36" s="41">
        <f t="shared" si="4"/>
        <v>0.14313810102294131</v>
      </c>
      <c r="K36" s="23">
        <f t="shared" si="5"/>
        <v>1533681.9499999862</v>
      </c>
      <c r="L36" s="96">
        <f t="shared" si="6"/>
        <v>15.648483012673225</v>
      </c>
      <c r="M36" s="74" t="s">
        <v>119</v>
      </c>
    </row>
    <row r="37" spans="1:16357" ht="15" customHeight="1">
      <c r="A37" s="21">
        <v>419</v>
      </c>
      <c r="B37" s="22" t="s">
        <v>36</v>
      </c>
      <c r="C37" s="23">
        <f>+'Centralna država-ek klas'!C49+'Lokalna država-ek klas '!C47</f>
        <v>15339363.719999999</v>
      </c>
      <c r="D37" s="41">
        <f t="shared" si="0"/>
        <v>0.21807454819448391</v>
      </c>
      <c r="E37" s="23">
        <f>+'Centralna država-ek klas'!E49+'Lokalna država-ek klas '!E47</f>
        <v>28397530.310000002</v>
      </c>
      <c r="F37" s="41">
        <f t="shared" si="1"/>
        <v>0.40371808800113734</v>
      </c>
      <c r="G37" s="23">
        <f t="shared" si="2"/>
        <v>-13058166.590000004</v>
      </c>
      <c r="H37" s="96">
        <f t="shared" si="3"/>
        <v>-45.983458587599976</v>
      </c>
      <c r="I37" s="23">
        <f>+'Centralna država-ek klas'!I49+'Lokalna država-ek klas '!I47</f>
        <v>10661040.969999999</v>
      </c>
      <c r="J37" s="41">
        <f t="shared" si="4"/>
        <v>0.15570114272895544</v>
      </c>
      <c r="K37" s="23">
        <f t="shared" si="5"/>
        <v>4678322.75</v>
      </c>
      <c r="L37" s="96">
        <f t="shared" si="6"/>
        <v>43.882419767119615</v>
      </c>
      <c r="M37" s="74" t="s">
        <v>120</v>
      </c>
    </row>
    <row r="38" spans="1:16357" ht="15" customHeight="1">
      <c r="A38" s="18">
        <v>42</v>
      </c>
      <c r="B38" s="19" t="s">
        <v>37</v>
      </c>
      <c r="C38" s="20">
        <f>+'Centralna država-ek klas'!C50+'Lokalna država-ek klas '!C48</f>
        <v>234101630.38000003</v>
      </c>
      <c r="D38" s="40">
        <f t="shared" si="0"/>
        <v>3.3281437358544217</v>
      </c>
      <c r="E38" s="20">
        <f>+'Centralna država-ek klas'!E50+'Lokalna država-ek klas '!E48</f>
        <v>243789876.76000002</v>
      </c>
      <c r="F38" s="40">
        <f t="shared" si="1"/>
        <v>3.4658782593119137</v>
      </c>
      <c r="G38" s="20">
        <f t="shared" si="2"/>
        <v>-9688246.3799999952</v>
      </c>
      <c r="H38" s="91">
        <f t="shared" si="3"/>
        <v>-3.9740150447418472</v>
      </c>
      <c r="I38" s="20">
        <f>+'Centralna država-ek klas'!I50+'Lokalna država-ek klas '!I48</f>
        <v>193040090.87</v>
      </c>
      <c r="J38" s="40">
        <f t="shared" si="4"/>
        <v>2.8192896758899146</v>
      </c>
      <c r="K38" s="20">
        <f t="shared" si="5"/>
        <v>41061539.51000002</v>
      </c>
      <c r="L38" s="91">
        <f t="shared" si="6"/>
        <v>21.270990562086041</v>
      </c>
      <c r="M38" s="73" t="s">
        <v>121</v>
      </c>
    </row>
    <row r="39" spans="1:16357" ht="15" customHeight="1">
      <c r="A39" s="18">
        <v>43</v>
      </c>
      <c r="B39" s="19" t="s">
        <v>43</v>
      </c>
      <c r="C39" s="20">
        <f>+'Centralna država-ek klas'!C56+'Lokalna država-ek klas '!C49</f>
        <v>98344247.623000011</v>
      </c>
      <c r="D39" s="40">
        <f t="shared" si="0"/>
        <v>1.3981269209980098</v>
      </c>
      <c r="E39" s="20">
        <f>+'Centralna država-ek klas'!E56+'Lokalna država-ek klas '!E49</f>
        <v>117294909.66</v>
      </c>
      <c r="F39" s="40">
        <f t="shared" si="1"/>
        <v>1.667542076485641</v>
      </c>
      <c r="G39" s="20">
        <f t="shared" si="2"/>
        <v>-18950662.036999986</v>
      </c>
      <c r="H39" s="91">
        <f t="shared" si="3"/>
        <v>-16.156423234334568</v>
      </c>
      <c r="I39" s="20">
        <f>+'Centralna država-ek klas'!I56+'Lokalna država-ek klas '!I49</f>
        <v>73401409.719999999</v>
      </c>
      <c r="J39" s="40">
        <f t="shared" si="4"/>
        <v>1.0720044509237316</v>
      </c>
      <c r="K39" s="20">
        <f t="shared" si="5"/>
        <v>24942837.903000012</v>
      </c>
      <c r="L39" s="91">
        <f t="shared" si="6"/>
        <v>33.981415340860593</v>
      </c>
      <c r="M39" s="73" t="s">
        <v>127</v>
      </c>
    </row>
    <row r="40" spans="1:16357" ht="15" customHeight="1">
      <c r="A40" s="18">
        <v>44</v>
      </c>
      <c r="B40" s="19" t="s">
        <v>65</v>
      </c>
      <c r="C40" s="20">
        <f>+'Centralna država-ek klas'!C57+'Lokalna država-ek klas '!C50</f>
        <v>44897073.390000001</v>
      </c>
      <c r="D40" s="40">
        <f t="shared" si="0"/>
        <v>0.63828651393232871</v>
      </c>
      <c r="E40" s="20">
        <f>+'Centralna država-ek klas'!E57+'Lokalna država-ek klas '!E50</f>
        <v>52922637.730000004</v>
      </c>
      <c r="F40" s="40">
        <f t="shared" si="1"/>
        <v>0.75238324893375041</v>
      </c>
      <c r="G40" s="20">
        <f t="shared" si="2"/>
        <v>-8025564.3400000036</v>
      </c>
      <c r="H40" s="91">
        <f t="shared" si="3"/>
        <v>-15.164709629449533</v>
      </c>
      <c r="I40" s="20">
        <f>+'Centralna država-ek klas'!I57+'Lokalna država-ek klas '!I50</f>
        <v>27376713.960000001</v>
      </c>
      <c r="J40" s="40">
        <f t="shared" si="4"/>
        <v>0.39982827753224059</v>
      </c>
      <c r="K40" s="20">
        <f t="shared" si="5"/>
        <v>17520359.43</v>
      </c>
      <c r="L40" s="91">
        <f t="shared" si="6"/>
        <v>63.997306088666903</v>
      </c>
      <c r="M40" s="73" t="s">
        <v>128</v>
      </c>
      <c r="O40" s="89"/>
    </row>
    <row r="41" spans="1:16357" ht="15" customHeight="1">
      <c r="A41" s="18">
        <v>45</v>
      </c>
      <c r="B41" s="19" t="s">
        <v>44</v>
      </c>
      <c r="C41" s="20">
        <f>+'Centralna država-ek klas'!C58+'Lokalna država-ek klas '!C51</f>
        <v>184396.15</v>
      </c>
      <c r="D41" s="40">
        <f t="shared" si="0"/>
        <v>2.6214977253340914E-3</v>
      </c>
      <c r="E41" s="20">
        <f>+'Centralna država-ek klas'!E58+'Lokalna država-ek klas '!E51</f>
        <v>0</v>
      </c>
      <c r="F41" s="40">
        <f t="shared" si="1"/>
        <v>0</v>
      </c>
      <c r="G41" s="20">
        <f t="shared" si="2"/>
        <v>184396.15</v>
      </c>
      <c r="H41" s="91">
        <f t="shared" si="3"/>
        <v>0</v>
      </c>
      <c r="I41" s="20">
        <f>+'Centralna država-ek klas'!I58+'Lokalna država-ek klas '!I51</f>
        <v>0</v>
      </c>
      <c r="J41" s="40">
        <f t="shared" si="4"/>
        <v>0</v>
      </c>
      <c r="K41" s="20">
        <f t="shared" si="5"/>
        <v>184396.15</v>
      </c>
      <c r="L41" s="91">
        <f t="shared" si="6"/>
        <v>0</v>
      </c>
      <c r="M41" s="73" t="s">
        <v>129</v>
      </c>
    </row>
    <row r="42" spans="1:16357" ht="15" customHeight="1">
      <c r="A42" s="18">
        <v>462</v>
      </c>
      <c r="B42" s="19" t="s">
        <v>45</v>
      </c>
      <c r="C42" s="20">
        <f>+'Centralna država-ek klas'!C59+'Lokalna država-ek klas '!C52</f>
        <v>2301161.16</v>
      </c>
      <c r="D42" s="40">
        <f t="shared" si="0"/>
        <v>3.2714830253056583E-2</v>
      </c>
      <c r="E42" s="20">
        <f>+'Centralna država-ek klas'!E59+'Lokalna država-ek klas '!E52</f>
        <v>2</v>
      </c>
      <c r="F42" s="40">
        <f t="shared" si="1"/>
        <v>2.8433323855558715E-8</v>
      </c>
      <c r="G42" s="20">
        <f t="shared" si="2"/>
        <v>2301159.16</v>
      </c>
      <c r="H42" s="106">
        <f t="shared" si="3"/>
        <v>115057958</v>
      </c>
      <c r="I42" s="20">
        <f>+'Centralna država-ek klas'!I59+'Lokalna država-ek klas '!I52</f>
        <v>1168915.48</v>
      </c>
      <c r="J42" s="40">
        <f t="shared" si="4"/>
        <v>1.7071642112783801E-2</v>
      </c>
      <c r="K42" s="20">
        <f t="shared" si="5"/>
        <v>1132245.6800000002</v>
      </c>
      <c r="L42" s="91">
        <f t="shared" si="6"/>
        <v>96.862921175447184</v>
      </c>
      <c r="M42" s="73" t="s">
        <v>130</v>
      </c>
    </row>
    <row r="43" spans="1:16357" ht="15" customHeight="1">
      <c r="A43" s="18">
        <v>463</v>
      </c>
      <c r="B43" s="19" t="s">
        <v>46</v>
      </c>
      <c r="C43" s="20">
        <f>+'Centralna država-ek klas'!C60+'Lokalna država-ek klas '!C53</f>
        <v>20719491.960000001</v>
      </c>
      <c r="D43" s="40">
        <f t="shared" si="0"/>
        <v>0.2945620125106625</v>
      </c>
      <c r="E43" s="20">
        <f>+'Centralna država-ek klas'!E60+'Lokalna država-ek klas '!E53</f>
        <v>14782320.200000001</v>
      </c>
      <c r="F43" s="40">
        <f t="shared" si="1"/>
        <v>0.21015524879158376</v>
      </c>
      <c r="G43" s="20">
        <f t="shared" si="2"/>
        <v>5937171.7599999998</v>
      </c>
      <c r="H43" s="91">
        <f t="shared" si="3"/>
        <v>40.164004565399694</v>
      </c>
      <c r="I43" s="20">
        <f>+'Centralna država-ek klas'!I60+'Lokalna država-ek klas '!I53</f>
        <v>18003013.620000001</v>
      </c>
      <c r="J43" s="40">
        <f t="shared" si="4"/>
        <v>0.26292833890112599</v>
      </c>
      <c r="K43" s="20">
        <f t="shared" si="5"/>
        <v>2716478.34</v>
      </c>
      <c r="L43" s="91">
        <f t="shared" si="6"/>
        <v>15.089020079294912</v>
      </c>
      <c r="M43" s="73" t="s">
        <v>131</v>
      </c>
    </row>
    <row r="44" spans="1:16357" ht="15" customHeight="1">
      <c r="A44" s="18">
        <v>47</v>
      </c>
      <c r="B44" s="19" t="s">
        <v>47</v>
      </c>
      <c r="C44" s="20">
        <f>+'Centralna država-ek klas'!C61+'Lokalna država-ek klas '!C54</f>
        <v>1289050.2999999998</v>
      </c>
      <c r="D44" s="40">
        <f t="shared" si="0"/>
        <v>1.8325992323002558E-2</v>
      </c>
      <c r="E44" s="20">
        <f>+'Centralna država-ek klas'!E61+'Lokalna država-ek klas '!E54</f>
        <v>6587214.71</v>
      </c>
      <c r="F44" s="40">
        <f t="shared" si="1"/>
        <v>9.364820457776514E-2</v>
      </c>
      <c r="G44" s="20">
        <f t="shared" si="2"/>
        <v>-5298164.41</v>
      </c>
      <c r="H44" s="91">
        <f t="shared" si="3"/>
        <v>-80.431026514998791</v>
      </c>
      <c r="I44" s="20">
        <f>+'Centralna država-ek klas'!I61+'Lokalna država-ek klas '!I54</f>
        <v>2523604.79</v>
      </c>
      <c r="J44" s="40">
        <f t="shared" si="4"/>
        <v>3.6856452451965928E-2</v>
      </c>
      <c r="K44" s="20">
        <f t="shared" si="5"/>
        <v>-1234554.4900000002</v>
      </c>
      <c r="L44" s="91">
        <f t="shared" si="6"/>
        <v>-48.920278440270359</v>
      </c>
      <c r="M44" s="73" t="s">
        <v>132</v>
      </c>
      <c r="Q44" s="105"/>
    </row>
    <row r="45" spans="1:16357" s="38" customFormat="1" ht="15" customHeight="1">
      <c r="A45" s="35"/>
      <c r="B45" s="36" t="s">
        <v>77</v>
      </c>
      <c r="C45" s="37">
        <f>+C6-C27</f>
        <v>12876397.597000122</v>
      </c>
      <c r="D45" s="44">
        <f t="shared" si="0"/>
        <v>0.18305939148422123</v>
      </c>
      <c r="E45" s="37">
        <f>+E6-E27</f>
        <v>-126508450.6558224</v>
      </c>
      <c r="F45" s="44">
        <f t="shared" si="1"/>
        <v>-1.7985278739809838</v>
      </c>
      <c r="G45" s="37">
        <f>C45-E45</f>
        <v>139384848.25282252</v>
      </c>
      <c r="H45" s="103">
        <f t="shared" si="3"/>
        <v>-110.17829048593087</v>
      </c>
      <c r="I45" s="37">
        <f>+I6-I27</f>
        <v>62339603.920000076</v>
      </c>
      <c r="J45" s="44">
        <f t="shared" si="4"/>
        <v>0.91045026418414399</v>
      </c>
      <c r="K45" s="37">
        <f t="shared" si="5"/>
        <v>-49463206.322999954</v>
      </c>
      <c r="L45" s="103">
        <f t="shared" si="6"/>
        <v>-79.344755520865505</v>
      </c>
      <c r="M45" s="81" t="s">
        <v>134</v>
      </c>
      <c r="N45" s="1"/>
      <c r="O45" s="1"/>
      <c r="P45" s="105"/>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57</v>
      </c>
      <c r="C46" s="20">
        <f>+'Centralna država-ek klas'!C63+'Lokalna država-ek klas '!C56</f>
        <v>0</v>
      </c>
      <c r="D46" s="40">
        <f t="shared" si="0"/>
        <v>0</v>
      </c>
      <c r="E46" s="20">
        <f>+'Centralna država-ek klas'!E63+'Lokalna država-ek klas '!E56</f>
        <v>0</v>
      </c>
      <c r="F46" s="40">
        <f t="shared" si="1"/>
        <v>0</v>
      </c>
      <c r="G46" s="20">
        <f t="shared" si="2"/>
        <v>0</v>
      </c>
      <c r="H46" s="91">
        <f t="shared" si="3"/>
        <v>0</v>
      </c>
      <c r="I46" s="20">
        <f>+'Centralna država-ek klas'!I63+'Lokalna država-ek klas '!I56</f>
        <v>0</v>
      </c>
      <c r="J46" s="40">
        <f t="shared" si="4"/>
        <v>0</v>
      </c>
      <c r="K46" s="20">
        <f t="shared" si="5"/>
        <v>0</v>
      </c>
      <c r="L46" s="91">
        <f t="shared" si="6"/>
        <v>0</v>
      </c>
      <c r="M46" s="73" t="s">
        <v>133</v>
      </c>
    </row>
    <row r="47" spans="1:16357" s="38" customFormat="1" ht="15" hidden="1" customHeight="1">
      <c r="A47" s="35"/>
      <c r="B47" s="36" t="s">
        <v>59</v>
      </c>
      <c r="C47" s="37">
        <f>+C45-C46</f>
        <v>12876397.597000122</v>
      </c>
      <c r="D47" s="44">
        <f t="shared" si="0"/>
        <v>0.18305939148422123</v>
      </c>
      <c r="E47" s="37">
        <f>+E45-E46</f>
        <v>-126508450.6558224</v>
      </c>
      <c r="F47" s="44">
        <f t="shared" si="1"/>
        <v>-1.7985278739809838</v>
      </c>
      <c r="G47" s="37">
        <f t="shared" si="2"/>
        <v>139384848.25282252</v>
      </c>
      <c r="H47" s="103">
        <f t="shared" si="3"/>
        <v>-110.17829048593087</v>
      </c>
      <c r="I47" s="37">
        <f>+I45-I46</f>
        <v>62339603.920000076</v>
      </c>
      <c r="J47" s="44">
        <f t="shared" si="4"/>
        <v>0.91045026418414399</v>
      </c>
      <c r="K47" s="37">
        <f t="shared" si="5"/>
        <v>-49463206.322999954</v>
      </c>
      <c r="L47" s="103">
        <f t="shared" si="6"/>
        <v>-79.344755520865505</v>
      </c>
      <c r="M47" s="81" t="s">
        <v>137</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75</v>
      </c>
      <c r="C48" s="37">
        <f>+C47+C34</f>
        <v>28699890.417000119</v>
      </c>
      <c r="D48" s="44">
        <f t="shared" si="0"/>
        <v>0.40801663942280519</v>
      </c>
      <c r="E48" s="37">
        <f>+E47+E34</f>
        <v>-106995407.3883224</v>
      </c>
      <c r="F48" s="44">
        <f t="shared" si="1"/>
        <v>-1.5211175346648054</v>
      </c>
      <c r="G48" s="37">
        <f>+C48-E48</f>
        <v>135695297.80532253</v>
      </c>
      <c r="H48" s="103">
        <f t="shared" si="3"/>
        <v>-126.82347879927083</v>
      </c>
      <c r="I48" s="37">
        <f>+I47+I34</f>
        <v>70838103.000000075</v>
      </c>
      <c r="J48" s="44">
        <f t="shared" si="4"/>
        <v>1.0345681642991997</v>
      </c>
      <c r="K48" s="37">
        <f t="shared" si="5"/>
        <v>-42138212.58299996</v>
      </c>
      <c r="L48" s="103">
        <f t="shared" si="6"/>
        <v>-59.485235767818217</v>
      </c>
      <c r="M48" s="81" t="s">
        <v>136</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76</v>
      </c>
      <c r="C49" s="37">
        <f>+C6-(C27-C40)</f>
        <v>57773470.987000108</v>
      </c>
      <c r="D49" s="44">
        <f t="shared" si="0"/>
        <v>0.82134590541654973</v>
      </c>
      <c r="E49" s="37">
        <f>+E6-(E27-E40)</f>
        <v>-73585812.925822377</v>
      </c>
      <c r="F49" s="44">
        <f t="shared" si="1"/>
        <v>-1.046144625047233</v>
      </c>
      <c r="G49" s="37">
        <f t="shared" si="2"/>
        <v>131359283.91282248</v>
      </c>
      <c r="H49" s="103">
        <f t="shared" si="3"/>
        <v>-178.51169768993137</v>
      </c>
      <c r="I49" s="37">
        <f>+I6-(I27-I40)</f>
        <v>89716317.880000055</v>
      </c>
      <c r="J49" s="44">
        <f t="shared" si="4"/>
        <v>1.3102785417163842</v>
      </c>
      <c r="K49" s="37">
        <f t="shared" si="5"/>
        <v>-31942846.892999947</v>
      </c>
      <c r="L49" s="103">
        <f t="shared" si="6"/>
        <v>-35.60427762508607</v>
      </c>
      <c r="M49" s="81" t="s">
        <v>135</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103758231.59</v>
      </c>
      <c r="D50" s="44">
        <f t="shared" si="0"/>
        <v>1.4750957007392664</v>
      </c>
      <c r="E50" s="37">
        <f>+E51+E52+E53</f>
        <v>117432988.45999999</v>
      </c>
      <c r="F50" s="44">
        <f t="shared" si="1"/>
        <v>1.6695050961046347</v>
      </c>
      <c r="G50" s="37">
        <f t="shared" si="2"/>
        <v>-13674756.86999999</v>
      </c>
      <c r="H50" s="103">
        <f t="shared" si="3"/>
        <v>-11.644732071736286</v>
      </c>
      <c r="I50" s="37">
        <f>+I51+I52+I53</f>
        <v>46698456.389999993</v>
      </c>
      <c r="J50" s="44">
        <f t="shared" si="4"/>
        <v>0.68201623500573516</v>
      </c>
      <c r="K50" s="37">
        <f t="shared" si="5"/>
        <v>57059775.20000001</v>
      </c>
      <c r="L50" s="103">
        <f t="shared" si="6"/>
        <v>122.18771156688337</v>
      </c>
      <c r="M50" s="81" t="s">
        <v>138</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52</v>
      </c>
      <c r="C51" s="23">
        <f>+'Centralna država-ek klas'!C68+'Lokalna država-ek klas '!C61</f>
        <v>30777677.660000004</v>
      </c>
      <c r="D51" s="41">
        <f t="shared" si="0"/>
        <v>0.43755583821438726</v>
      </c>
      <c r="E51" s="23">
        <f>+'Centralna država-ek klas'!E68+'Lokalna država-ek klas '!E61</f>
        <v>40453008.359999999</v>
      </c>
      <c r="F51" s="41">
        <f t="shared" si="1"/>
        <v>0.575106743815752</v>
      </c>
      <c r="G51" s="23">
        <f t="shared" si="2"/>
        <v>-9675330.6999999955</v>
      </c>
      <c r="H51" s="96">
        <f t="shared" si="3"/>
        <v>-23.91745655575761</v>
      </c>
      <c r="I51" s="23">
        <f>+'Centralna država-ek klas'!I68+'Lokalna država-ek klas '!I61</f>
        <v>7680942.2599999998</v>
      </c>
      <c r="J51" s="41">
        <f t="shared" si="4"/>
        <v>0.11217774047416738</v>
      </c>
      <c r="K51" s="23">
        <f t="shared" si="5"/>
        <v>23096735.400000006</v>
      </c>
      <c r="L51" s="96">
        <f t="shared" si="6"/>
        <v>300.70184904631742</v>
      </c>
      <c r="M51" s="74" t="s">
        <v>139</v>
      </c>
    </row>
    <row r="52" spans="1:16357" ht="15" customHeight="1">
      <c r="A52" s="21">
        <v>4612</v>
      </c>
      <c r="B52" s="22" t="s">
        <v>53</v>
      </c>
      <c r="C52" s="23">
        <f>+'Centralna država-ek klas'!C69+'Lokalna država-ek klas '!C62</f>
        <v>72980553.930000007</v>
      </c>
      <c r="D52" s="41">
        <f t="shared" si="0"/>
        <v>1.0375398625248793</v>
      </c>
      <c r="E52" s="23">
        <f>+'Centralna država-ek klas'!E69+'Lokalna država-ek klas '!E62</f>
        <v>76979980.099999994</v>
      </c>
      <c r="F52" s="41">
        <f t="shared" si="1"/>
        <v>1.0943983522888825</v>
      </c>
      <c r="G52" s="23">
        <f t="shared" si="2"/>
        <v>-3999426.1699999869</v>
      </c>
      <c r="H52" s="96">
        <f t="shared" si="3"/>
        <v>-5.1954107610895335</v>
      </c>
      <c r="I52" s="23">
        <f>+'Centralna država-ek klas'!I69+'Lokalna država-ek klas '!I62</f>
        <v>39017514.129999995</v>
      </c>
      <c r="J52" s="41">
        <f t="shared" si="4"/>
        <v>0.56983849453156776</v>
      </c>
      <c r="K52" s="23">
        <f t="shared" si="5"/>
        <v>33963039.800000012</v>
      </c>
      <c r="L52" s="96">
        <f t="shared" si="6"/>
        <v>87.045626963421341</v>
      </c>
      <c r="M52" s="74" t="s">
        <v>140</v>
      </c>
    </row>
    <row r="53" spans="1:16357" ht="15" hidden="1" customHeight="1">
      <c r="A53" s="18">
        <v>463</v>
      </c>
      <c r="B53" s="19" t="s">
        <v>46</v>
      </c>
      <c r="C53" s="20">
        <v>0</v>
      </c>
      <c r="D53" s="40">
        <f t="shared" si="0"/>
        <v>0</v>
      </c>
      <c r="E53" s="20">
        <v>0</v>
      </c>
      <c r="F53" s="40">
        <f t="shared" si="1"/>
        <v>0</v>
      </c>
      <c r="G53" s="20">
        <f t="shared" ref="G53" si="7">+C53-E53</f>
        <v>0</v>
      </c>
      <c r="H53" s="91">
        <f t="shared" si="3"/>
        <v>0</v>
      </c>
      <c r="I53" s="20">
        <f>+'Lokalna država-ek klas '!I63</f>
        <v>0</v>
      </c>
      <c r="J53" s="40">
        <f t="shared" si="4"/>
        <v>0</v>
      </c>
      <c r="K53" s="20">
        <f t="shared" ref="K53" si="8">+C53-I53</f>
        <v>0</v>
      </c>
      <c r="L53" s="91">
        <f t="shared" si="6"/>
        <v>0</v>
      </c>
      <c r="M53" s="73" t="s">
        <v>131</v>
      </c>
    </row>
    <row r="54" spans="1:16357" s="38" customFormat="1" ht="15" customHeight="1">
      <c r="A54" s="35">
        <v>4418</v>
      </c>
      <c r="B54" s="36" t="s">
        <v>63</v>
      </c>
      <c r="C54" s="37">
        <f>+'Centralna država-ek klas'!C70+'Lokalna država-ek klas '!C64</f>
        <v>1410390.76</v>
      </c>
      <c r="D54" s="44">
        <f t="shared" si="0"/>
        <v>2.0051048620983794E-2</v>
      </c>
      <c r="E54" s="37">
        <f>+'Centralna država-ek klas'!E70+'Lokalna država-ek klas '!E64</f>
        <v>0.48</v>
      </c>
      <c r="F54" s="44">
        <f t="shared" si="1"/>
        <v>6.8239977253340909E-9</v>
      </c>
      <c r="G54" s="37">
        <f t="shared" si="2"/>
        <v>1410390.28</v>
      </c>
      <c r="H54" s="103">
        <f t="shared" si="3"/>
        <v>293831308.33333337</v>
      </c>
      <c r="I54" s="37">
        <f>+'Centralna država-ek klas'!I70+'Lokalna država-ek klas '!I64</f>
        <v>496372.98</v>
      </c>
      <c r="J54" s="44">
        <f t="shared" si="4"/>
        <v>7.2493709032033617E-3</v>
      </c>
      <c r="K54" s="37">
        <f t="shared" si="5"/>
        <v>914017.78</v>
      </c>
      <c r="L54" s="103">
        <f t="shared" si="6"/>
        <v>184.13930991973012</v>
      </c>
      <c r="M54" s="81" t="s">
        <v>141</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v>45</v>
      </c>
      <c r="B55" s="36" t="s">
        <v>44</v>
      </c>
      <c r="C55" s="37">
        <f>+'Centralna država-ek klas'!C71+'Lokalna država-ek klas '!C65</f>
        <v>2139703.0499999998</v>
      </c>
      <c r="D55" s="44">
        <f t="shared" si="0"/>
        <v>3.0419434887688369E-2</v>
      </c>
      <c r="E55" s="37">
        <f>+'Centralna država-ek klas'!E71+'Lokalna država-ek klas '!E65</f>
        <v>1111656.46</v>
      </c>
      <c r="F55" s="44">
        <f t="shared" si="1"/>
        <v>1.5804044071651976E-2</v>
      </c>
      <c r="G55" s="37">
        <f t="shared" si="2"/>
        <v>1028046.5899999999</v>
      </c>
      <c r="H55" s="103">
        <f t="shared" si="3"/>
        <v>92.47880320868191</v>
      </c>
      <c r="I55" s="37">
        <f>+'Centralna država-ek klas'!I71+'Lokalna država-ek klas '!I65</f>
        <v>1724269.03</v>
      </c>
      <c r="J55" s="44">
        <f t="shared" si="4"/>
        <v>2.5182405648624721E-2</v>
      </c>
      <c r="K55" s="37">
        <f t="shared" si="5"/>
        <v>415434.01999999979</v>
      </c>
      <c r="L55" s="103">
        <f t="shared" si="6"/>
        <v>24.093341164980501</v>
      </c>
      <c r="M55" s="81" t="s">
        <v>129</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54</v>
      </c>
      <c r="C56" s="37">
        <f>+C47-C50-C54-C55</f>
        <v>-94431927.802999884</v>
      </c>
      <c r="D56" s="44">
        <f t="shared" si="0"/>
        <v>-1.3425067927637175</v>
      </c>
      <c r="E56" s="37">
        <f>+E47-E50-E54-E55</f>
        <v>-245053096.05582237</v>
      </c>
      <c r="F56" s="44">
        <f t="shared" si="1"/>
        <v>-3.4838370209812677</v>
      </c>
      <c r="G56" s="37">
        <f t="shared" ref="G56:G63" si="9">+C56-E56</f>
        <v>150621168.25282249</v>
      </c>
      <c r="H56" s="103">
        <f t="shared" si="3"/>
        <v>-61.464707313271987</v>
      </c>
      <c r="I56" s="37">
        <f>+I47-I50-I54-I55</f>
        <v>13420505.520000083</v>
      </c>
      <c r="J56" s="44">
        <f t="shared" si="4"/>
        <v>0.19600225262658075</v>
      </c>
      <c r="K56" s="37">
        <f t="shared" ref="K56:K63" si="10">+C56-I56</f>
        <v>-107852433.32299997</v>
      </c>
      <c r="L56" s="103">
        <f t="shared" si="6"/>
        <v>-803.63912642688069</v>
      </c>
      <c r="M56" s="81" t="s">
        <v>142</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s="38" customFormat="1" ht="15" customHeight="1">
      <c r="A57" s="35"/>
      <c r="B57" s="36" t="s">
        <v>48</v>
      </c>
      <c r="C57" s="37">
        <f>+SUM(C58:C63)+C46</f>
        <v>94431927.802999854</v>
      </c>
      <c r="D57" s="44">
        <f t="shared" si="0"/>
        <v>1.3425067927637171</v>
      </c>
      <c r="E57" s="37">
        <f>+SUM(E58:E63)+E46</f>
        <v>245053096.05582237</v>
      </c>
      <c r="F57" s="44">
        <f t="shared" si="1"/>
        <v>3.4838370209812677</v>
      </c>
      <c r="G57" s="37">
        <f t="shared" si="9"/>
        <v>-150621168.25282252</v>
      </c>
      <c r="H57" s="103">
        <f t="shared" si="3"/>
        <v>-61.464707313272001</v>
      </c>
      <c r="I57" s="37">
        <f>+SUM(I58:I63)+I46</f>
        <v>-13420505.520000085</v>
      </c>
      <c r="J57" s="44">
        <f t="shared" si="4"/>
        <v>-0.1960022526265808</v>
      </c>
      <c r="K57" s="37">
        <f t="shared" si="10"/>
        <v>107852433.32299994</v>
      </c>
      <c r="L57" s="103">
        <f t="shared" si="6"/>
        <v>-803.63912642688035</v>
      </c>
      <c r="M57" s="81" t="s">
        <v>143</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row>
    <row r="58" spans="1:16357">
      <c r="A58" s="21">
        <v>7511</v>
      </c>
      <c r="B58" s="22" t="s">
        <v>55</v>
      </c>
      <c r="C58" s="23">
        <f>+'Centralna država-ek klas'!C74+'Lokalna država-ek klas '!C68</f>
        <v>735330</v>
      </c>
      <c r="D58" s="41">
        <f t="shared" si="0"/>
        <v>1.0453938015353995E-2</v>
      </c>
      <c r="E58" s="23">
        <f>+'Centralna država-ek klas'!E74+'Lokalna država-ek klas '!E68</f>
        <v>1000000</v>
      </c>
      <c r="F58" s="41">
        <f t="shared" si="1"/>
        <v>1.4216661927779357E-2</v>
      </c>
      <c r="G58" s="23">
        <f t="shared" si="9"/>
        <v>-264670</v>
      </c>
      <c r="H58" s="96">
        <f t="shared" si="3"/>
        <v>-26.466999999999999</v>
      </c>
      <c r="I58" s="23">
        <f>+'Centralna država-ek klas'!I74+'Lokalna država-ek klas '!I68</f>
        <v>1303604.3400000001</v>
      </c>
      <c r="J58" s="41">
        <f t="shared" si="4"/>
        <v>1.9038730455645719E-2</v>
      </c>
      <c r="K58" s="23">
        <f t="shared" si="10"/>
        <v>-568274.34000000008</v>
      </c>
      <c r="L58" s="96">
        <f t="shared" si="6"/>
        <v>-43.59254741358103</v>
      </c>
      <c r="M58" s="74" t="s">
        <v>144</v>
      </c>
    </row>
    <row r="59" spans="1:16357" ht="15" customHeight="1">
      <c r="A59" s="21">
        <v>7512</v>
      </c>
      <c r="B59" s="22" t="s">
        <v>49</v>
      </c>
      <c r="C59" s="23">
        <f>+'Centralna država-ek klas'!C75+'Lokalna država-ek klas '!C69</f>
        <v>696049621.25999999</v>
      </c>
      <c r="D59" s="41">
        <f t="shared" si="0"/>
        <v>9.895502150412284</v>
      </c>
      <c r="E59" s="23">
        <f>+'Centralna država-ek klas'!E75+'Lokalna država-ek klas '!E69</f>
        <v>687700000</v>
      </c>
      <c r="F59" s="41">
        <f t="shared" si="1"/>
        <v>9.7767984077338639</v>
      </c>
      <c r="G59" s="23">
        <f t="shared" si="9"/>
        <v>8349621.2599999905</v>
      </c>
      <c r="H59" s="96">
        <f t="shared" si="3"/>
        <v>1.2141371615530119</v>
      </c>
      <c r="I59" s="23">
        <f>+'Centralna država-ek klas'!I75+'Lokalna država-ek klas '!I69</f>
        <v>103806898.68999998</v>
      </c>
      <c r="J59" s="41">
        <f t="shared" si="4"/>
        <v>1.516067032728222</v>
      </c>
      <c r="K59" s="23">
        <f t="shared" si="10"/>
        <v>592242722.57000005</v>
      </c>
      <c r="L59" s="96">
        <f t="shared" si="6"/>
        <v>570.52347198871905</v>
      </c>
      <c r="M59" s="74" t="s">
        <v>145</v>
      </c>
    </row>
    <row r="60" spans="1:16357" ht="15" customHeight="1">
      <c r="A60" s="18">
        <v>72</v>
      </c>
      <c r="B60" s="19" t="s">
        <v>172</v>
      </c>
      <c r="C60" s="20">
        <f>+'Centralna država-ek klas'!C76+'Lokalna država-ek klas '!C70</f>
        <v>740321.17999999993</v>
      </c>
      <c r="D60" s="40">
        <f t="shared" si="0"/>
        <v>1.0524895934034688E-2</v>
      </c>
      <c r="E60" s="20">
        <f>+'Centralna država-ek klas'!E76+'Lokalna država-ek klas '!E70</f>
        <v>3500000</v>
      </c>
      <c r="F60" s="40">
        <f t="shared" si="1"/>
        <v>4.9758316747227749E-2</v>
      </c>
      <c r="G60" s="20">
        <f t="shared" si="9"/>
        <v>-2759678.8200000003</v>
      </c>
      <c r="H60" s="91">
        <f t="shared" si="3"/>
        <v>-78.847966285714293</v>
      </c>
      <c r="I60" s="20">
        <f>+'Centralna država-ek klas'!I76+'Lokalna država-ek klas '!I70</f>
        <v>1515482.9300000002</v>
      </c>
      <c r="J60" s="40">
        <f t="shared" si="4"/>
        <v>2.2133150472943511E-2</v>
      </c>
      <c r="K60" s="20">
        <f t="shared" si="10"/>
        <v>-775161.75000000023</v>
      </c>
      <c r="L60" s="91">
        <f t="shared" si="6"/>
        <v>-51.14948737825771</v>
      </c>
      <c r="M60" s="73" t="s">
        <v>146</v>
      </c>
    </row>
    <row r="61" spans="1:16357" ht="15" customHeight="1">
      <c r="A61" s="28">
        <v>73</v>
      </c>
      <c r="B61" s="19" t="s">
        <v>187</v>
      </c>
      <c r="C61" s="20">
        <f>+'Centralna država-ek klas'!C77+'Lokalna država-ek klas '!C71</f>
        <v>2587873.59</v>
      </c>
      <c r="D61" s="40">
        <f t="shared" si="0"/>
        <v>3.6790923940858686E-2</v>
      </c>
      <c r="E61" s="20">
        <f>+'Centralna država-ek klas'!E77+'Lokalna država-ek klas '!E71</f>
        <v>1120642.9589314796</v>
      </c>
      <c r="F61" s="40">
        <f t="shared" si="1"/>
        <v>1.5931802088875173E-2</v>
      </c>
      <c r="G61" s="20">
        <f t="shared" si="9"/>
        <v>1467230.6310685202</v>
      </c>
      <c r="H61" s="91">
        <f t="shared" si="3"/>
        <v>130.92757326271948</v>
      </c>
      <c r="I61" s="20">
        <f>+'Centralna država-ek klas'!I77+'Lokalna država-ek klas '!I71</f>
        <v>3310487.2199999997</v>
      </c>
      <c r="J61" s="40">
        <f t="shared" si="4"/>
        <v>4.8348622296271217E-2</v>
      </c>
      <c r="K61" s="20">
        <f t="shared" si="10"/>
        <v>-722613.62999999989</v>
      </c>
      <c r="L61" s="91">
        <f t="shared" si="6"/>
        <v>-21.828014487849316</v>
      </c>
      <c r="M61" s="73" t="s">
        <v>108</v>
      </c>
    </row>
    <row r="62" spans="1:16357" ht="15" customHeight="1">
      <c r="A62" s="28"/>
      <c r="B62" s="29" t="s">
        <v>152</v>
      </c>
      <c r="C62" s="30">
        <f>+'Lokalna država-ek klas '!C72</f>
        <v>3058734.0400000005</v>
      </c>
      <c r="D62" s="40">
        <f t="shared" si="0"/>
        <v>4.3484987773670748E-2</v>
      </c>
      <c r="E62" s="30">
        <f>+'Lokalna država-ek klas '!E72</f>
        <v>2500000</v>
      </c>
      <c r="F62" s="40">
        <f t="shared" si="1"/>
        <v>3.5541654819448397E-2</v>
      </c>
      <c r="G62" s="20">
        <f t="shared" si="9"/>
        <v>558734.0400000005</v>
      </c>
      <c r="H62" s="91">
        <f t="shared" si="3"/>
        <v>22.349361600000023</v>
      </c>
      <c r="I62" s="30">
        <f>+'Lokalna država-ek klas '!I72</f>
        <v>2297414.9</v>
      </c>
      <c r="J62" s="40">
        <f t="shared" si="4"/>
        <v>3.3553020409462779E-2</v>
      </c>
      <c r="K62" s="20">
        <f t="shared" si="10"/>
        <v>761319.1400000006</v>
      </c>
      <c r="L62" s="91">
        <f t="shared" si="6"/>
        <v>33.138077932723462</v>
      </c>
      <c r="M62" s="76" t="s">
        <v>153</v>
      </c>
    </row>
    <row r="63" spans="1:16357" ht="15" customHeight="1" thickBot="1">
      <c r="A63" s="24"/>
      <c r="B63" s="25" t="s">
        <v>50</v>
      </c>
      <c r="C63" s="26">
        <f>+-C56-(SUM(C58:C62)+C46)</f>
        <v>-608739952.26700008</v>
      </c>
      <c r="D63" s="42">
        <f t="shared" si="0"/>
        <v>-8.6542501033124832</v>
      </c>
      <c r="E63" s="26">
        <f>+-E56-(SUM(E58:E62)+E46)</f>
        <v>-450767546.90310907</v>
      </c>
      <c r="F63" s="42">
        <f t="shared" si="1"/>
        <v>-6.4084098223359272</v>
      </c>
      <c r="G63" s="26">
        <f t="shared" si="9"/>
        <v>-157972405.36389101</v>
      </c>
      <c r="H63" s="97">
        <f t="shared" si="3"/>
        <v>35.045203775028341</v>
      </c>
      <c r="I63" s="26">
        <f>+-I56-(SUM(I58:I62)+I46)</f>
        <v>-125654393.60000008</v>
      </c>
      <c r="J63" s="42">
        <f t="shared" si="4"/>
        <v>-1.8351428089891264</v>
      </c>
      <c r="K63" s="26">
        <f t="shared" si="10"/>
        <v>-483085558.667</v>
      </c>
      <c r="L63" s="97">
        <f t="shared" si="6"/>
        <v>384.45576380307295</v>
      </c>
      <c r="M63" s="77" t="s">
        <v>147</v>
      </c>
    </row>
    <row r="64" spans="1:16357" ht="13.5" customHeight="1"/>
  </sheetData>
  <sheetProtection algorithmName="SHA-512" hashValue="xs2wxP+syp3hWx+GlNSayTz+XKe8f2nZrK3GuBH4sI6+/jRtMgFQM8OVAsk4ohk+8neJ/6jTlRmIovVwt9z5sQ==" saltValue="yFfFC8wFJ1UDA3BkTI1uxw=="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18"/>
      <c r="C4" s="118" t="s">
        <v>174</v>
      </c>
      <c r="D4" s="130" t="s">
        <v>175</v>
      </c>
    </row>
    <row r="5" spans="2:4">
      <c r="B5" s="119"/>
      <c r="C5" s="119"/>
      <c r="D5" s="131"/>
    </row>
    <row r="6" spans="2:4" ht="13.5">
      <c r="B6" s="22" t="s">
        <v>178</v>
      </c>
      <c r="C6" s="23">
        <v>51122438.960000001</v>
      </c>
      <c r="D6" s="23">
        <v>50118940.61699906</v>
      </c>
    </row>
    <row r="7" spans="2:4" ht="13.5">
      <c r="B7" s="22" t="s">
        <v>177</v>
      </c>
      <c r="C7" s="23">
        <v>59697131.339999996</v>
      </c>
      <c r="D7" s="23">
        <v>57763326.64507816</v>
      </c>
    </row>
    <row r="8" spans="2:4" ht="13.5">
      <c r="B8" s="22" t="s">
        <v>176</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Bojan Paunovic</cp:lastModifiedBy>
  <cp:lastPrinted>2024-05-20T05:39:06Z</cp:lastPrinted>
  <dcterms:created xsi:type="dcterms:W3CDTF">2008-03-17T08:49:23Z</dcterms:created>
  <dcterms:modified xsi:type="dcterms:W3CDTF">2024-06-11T12:25:33Z</dcterms:modified>
</cp:coreProperties>
</file>