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trlProps/ctrlProp20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drawings/drawing7.xml" ContentType="application/vnd.openxmlformats-officedocument.drawing+xml"/>
  <Override PartName="/xl/ctrlProps/ctrlProp1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0640" windowHeight="9000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25725"/>
</workbook>
</file>

<file path=xl/calcChain.xml><?xml version="1.0" encoding="utf-8"?>
<calcChain xmlns="http://schemas.openxmlformats.org/spreadsheetml/2006/main">
  <c r="R63" i="11"/>
  <c r="R64"/>
  <c r="R65"/>
  <c r="G63" i="13" l="1"/>
  <c r="A159" i="16" l="1"/>
  <c r="A158"/>
  <c r="A157"/>
  <c r="A156"/>
  <c r="A155"/>
  <c r="A154"/>
  <c r="G153"/>
  <c r="A153"/>
  <c r="M153" s="1"/>
  <c r="I152"/>
  <c r="G152"/>
  <c r="A152"/>
  <c r="M152" s="1"/>
  <c r="M151"/>
  <c r="I151"/>
  <c r="G151"/>
  <c r="A151"/>
  <c r="A150"/>
  <c r="A149"/>
  <c r="A148"/>
  <c r="S147"/>
  <c r="T147" s="1"/>
  <c r="G147"/>
  <c r="R146"/>
  <c r="Q146"/>
  <c r="P146"/>
  <c r="O146"/>
  <c r="N146"/>
  <c r="M146"/>
  <c r="L146"/>
  <c r="K146"/>
  <c r="J146"/>
  <c r="I146"/>
  <c r="H146"/>
  <c r="G146"/>
  <c r="A146"/>
  <c r="R145"/>
  <c r="Q145"/>
  <c r="P145"/>
  <c r="O145"/>
  <c r="N145"/>
  <c r="M145"/>
  <c r="L145"/>
  <c r="K145"/>
  <c r="J145"/>
  <c r="I145"/>
  <c r="H145"/>
  <c r="G145"/>
  <c r="A145"/>
  <c r="R144"/>
  <c r="Q144"/>
  <c r="P144"/>
  <c r="O144"/>
  <c r="N144"/>
  <c r="M144"/>
  <c r="L144"/>
  <c r="K144"/>
  <c r="J144"/>
  <c r="I144"/>
  <c r="H144"/>
  <c r="G144"/>
  <c r="A144"/>
  <c r="R143"/>
  <c r="P143"/>
  <c r="O143"/>
  <c r="N143"/>
  <c r="L143"/>
  <c r="K143"/>
  <c r="J143"/>
  <c r="H143"/>
  <c r="G143"/>
  <c r="A143"/>
  <c r="Q143" s="1"/>
  <c r="R142"/>
  <c r="P142"/>
  <c r="O142"/>
  <c r="N142"/>
  <c r="L142"/>
  <c r="K142"/>
  <c r="J142"/>
  <c r="H142"/>
  <c r="G142"/>
  <c r="A142"/>
  <c r="Q142" s="1"/>
  <c r="R141"/>
  <c r="Q141"/>
  <c r="P141"/>
  <c r="O141"/>
  <c r="N141"/>
  <c r="M141"/>
  <c r="L141"/>
  <c r="K141"/>
  <c r="J141"/>
  <c r="I141"/>
  <c r="H141"/>
  <c r="G141"/>
  <c r="A141"/>
  <c r="R140"/>
  <c r="Q140"/>
  <c r="P140"/>
  <c r="O140"/>
  <c r="N140"/>
  <c r="M140"/>
  <c r="L140"/>
  <c r="K140"/>
  <c r="J140"/>
  <c r="I140"/>
  <c r="H140"/>
  <c r="G140"/>
  <c r="A140"/>
  <c r="R139"/>
  <c r="Q139"/>
  <c r="P139"/>
  <c r="O139"/>
  <c r="N139"/>
  <c r="M139"/>
  <c r="L139"/>
  <c r="K139"/>
  <c r="J139"/>
  <c r="I139"/>
  <c r="H139"/>
  <c r="G139"/>
  <c r="A139"/>
  <c r="R138"/>
  <c r="Q138"/>
  <c r="P138"/>
  <c r="O138"/>
  <c r="N138"/>
  <c r="M138"/>
  <c r="L138"/>
  <c r="K138"/>
  <c r="J138"/>
  <c r="I138"/>
  <c r="H138"/>
  <c r="G138"/>
  <c r="A138"/>
  <c r="R137"/>
  <c r="Q137"/>
  <c r="P137"/>
  <c r="O137"/>
  <c r="N137"/>
  <c r="M137"/>
  <c r="L137"/>
  <c r="K137"/>
  <c r="J137"/>
  <c r="I137"/>
  <c r="H137"/>
  <c r="G137"/>
  <c r="A137"/>
  <c r="A136"/>
  <c r="R135"/>
  <c r="Q135"/>
  <c r="P135"/>
  <c r="O135"/>
  <c r="N135"/>
  <c r="M135"/>
  <c r="L135"/>
  <c r="K135"/>
  <c r="J135"/>
  <c r="I135"/>
  <c r="H135"/>
  <c r="G135"/>
  <c r="A135"/>
  <c r="R134"/>
  <c r="Q134"/>
  <c r="P134"/>
  <c r="O134"/>
  <c r="N134"/>
  <c r="M134"/>
  <c r="L134"/>
  <c r="K134"/>
  <c r="J134"/>
  <c r="I134"/>
  <c r="H134"/>
  <c r="G134"/>
  <c r="A134"/>
  <c r="R133"/>
  <c r="Q133"/>
  <c r="P133"/>
  <c r="O133"/>
  <c r="N133"/>
  <c r="M133"/>
  <c r="L133"/>
  <c r="K133"/>
  <c r="J133"/>
  <c r="I133"/>
  <c r="H133"/>
  <c r="G133"/>
  <c r="A133"/>
  <c r="R132"/>
  <c r="Q132"/>
  <c r="P132"/>
  <c r="O132"/>
  <c r="N132"/>
  <c r="M132"/>
  <c r="L132"/>
  <c r="K132"/>
  <c r="J132"/>
  <c r="I132"/>
  <c r="H132"/>
  <c r="G132"/>
  <c r="A132"/>
  <c r="R131"/>
  <c r="Q131"/>
  <c r="P131"/>
  <c r="O131"/>
  <c r="N131"/>
  <c r="M131"/>
  <c r="L131"/>
  <c r="K131"/>
  <c r="J131"/>
  <c r="I131"/>
  <c r="H131"/>
  <c r="G131"/>
  <c r="A131"/>
  <c r="R130"/>
  <c r="Q130"/>
  <c r="P130"/>
  <c r="O130"/>
  <c r="N130"/>
  <c r="M130"/>
  <c r="L130"/>
  <c r="K130"/>
  <c r="J130"/>
  <c r="I130"/>
  <c r="H130"/>
  <c r="G130"/>
  <c r="A130"/>
  <c r="R129"/>
  <c r="Q129"/>
  <c r="P129"/>
  <c r="O129"/>
  <c r="N129"/>
  <c r="M129"/>
  <c r="L129"/>
  <c r="K129"/>
  <c r="J129"/>
  <c r="I129"/>
  <c r="H129"/>
  <c r="G129"/>
  <c r="A129"/>
  <c r="R128"/>
  <c r="Q128"/>
  <c r="P128"/>
  <c r="O128"/>
  <c r="N128"/>
  <c r="M128"/>
  <c r="L128"/>
  <c r="K128"/>
  <c r="J128"/>
  <c r="I128"/>
  <c r="H128"/>
  <c r="G128"/>
  <c r="A128"/>
  <c r="R127"/>
  <c r="Q127"/>
  <c r="P127"/>
  <c r="O127"/>
  <c r="N127"/>
  <c r="M127"/>
  <c r="L127"/>
  <c r="K127"/>
  <c r="J127"/>
  <c r="I127"/>
  <c r="H127"/>
  <c r="G127"/>
  <c r="A127"/>
  <c r="R126"/>
  <c r="Q126"/>
  <c r="P126"/>
  <c r="O126"/>
  <c r="N126"/>
  <c r="M126"/>
  <c r="L126"/>
  <c r="K126"/>
  <c r="J126"/>
  <c r="I126"/>
  <c r="H126"/>
  <c r="G126"/>
  <c r="A126"/>
  <c r="A125"/>
  <c r="A124"/>
  <c r="A123"/>
  <c r="R122"/>
  <c r="Q122"/>
  <c r="P122"/>
  <c r="O122"/>
  <c r="N122"/>
  <c r="M122"/>
  <c r="L122"/>
  <c r="K122"/>
  <c r="J122"/>
  <c r="I122"/>
  <c r="H122"/>
  <c r="G122"/>
  <c r="A122"/>
  <c r="R121"/>
  <c r="Q121"/>
  <c r="P121"/>
  <c r="O121"/>
  <c r="N121"/>
  <c r="M121"/>
  <c r="L121"/>
  <c r="K121"/>
  <c r="J121"/>
  <c r="I121"/>
  <c r="H121"/>
  <c r="G121"/>
  <c r="A121"/>
  <c r="R120"/>
  <c r="Q120"/>
  <c r="P120"/>
  <c r="O120"/>
  <c r="N120"/>
  <c r="M120"/>
  <c r="L120"/>
  <c r="K120"/>
  <c r="J120"/>
  <c r="I120"/>
  <c r="H120"/>
  <c r="G120"/>
  <c r="A120"/>
  <c r="R119"/>
  <c r="Q119"/>
  <c r="P119"/>
  <c r="O119"/>
  <c r="N119"/>
  <c r="M119"/>
  <c r="L119"/>
  <c r="K119"/>
  <c r="J119"/>
  <c r="I119"/>
  <c r="H119"/>
  <c r="G119"/>
  <c r="A119"/>
  <c r="R118"/>
  <c r="Q118"/>
  <c r="P118"/>
  <c r="O118"/>
  <c r="N118"/>
  <c r="M118"/>
  <c r="L118"/>
  <c r="K118"/>
  <c r="J118"/>
  <c r="I118"/>
  <c r="H118"/>
  <c r="G118"/>
  <c r="A118"/>
  <c r="R117"/>
  <c r="Q117"/>
  <c r="P117"/>
  <c r="O117"/>
  <c r="N117"/>
  <c r="M117"/>
  <c r="L117"/>
  <c r="K117"/>
  <c r="J117"/>
  <c r="I117"/>
  <c r="H117"/>
  <c r="G117"/>
  <c r="A117"/>
  <c r="R116"/>
  <c r="Q116"/>
  <c r="P116"/>
  <c r="O116"/>
  <c r="N116"/>
  <c r="M116"/>
  <c r="L116"/>
  <c r="K116"/>
  <c r="J116"/>
  <c r="I116"/>
  <c r="H116"/>
  <c r="G116"/>
  <c r="A116"/>
  <c r="R115"/>
  <c r="Q115"/>
  <c r="P115"/>
  <c r="O115"/>
  <c r="N115"/>
  <c r="M115"/>
  <c r="L115"/>
  <c r="K115"/>
  <c r="J115"/>
  <c r="I115"/>
  <c r="H115"/>
  <c r="G115"/>
  <c r="A115"/>
  <c r="R114"/>
  <c r="Q114"/>
  <c r="P114"/>
  <c r="O114"/>
  <c r="N114"/>
  <c r="M114"/>
  <c r="L114"/>
  <c r="K114"/>
  <c r="J114"/>
  <c r="I114"/>
  <c r="H114"/>
  <c r="G114"/>
  <c r="A114"/>
  <c r="A113"/>
  <c r="R112"/>
  <c r="Q112"/>
  <c r="P112"/>
  <c r="O112"/>
  <c r="N112"/>
  <c r="M112"/>
  <c r="L112"/>
  <c r="K112"/>
  <c r="J112"/>
  <c r="I112"/>
  <c r="H112"/>
  <c r="G112"/>
  <c r="A112"/>
  <c r="R111"/>
  <c r="Q111"/>
  <c r="P111"/>
  <c r="O111"/>
  <c r="N111"/>
  <c r="M111"/>
  <c r="L111"/>
  <c r="K111"/>
  <c r="J111"/>
  <c r="I111"/>
  <c r="H111"/>
  <c r="G111"/>
  <c r="A111"/>
  <c r="R110"/>
  <c r="Q110"/>
  <c r="P110"/>
  <c r="O110"/>
  <c r="N110"/>
  <c r="M110"/>
  <c r="L110"/>
  <c r="K110"/>
  <c r="J110"/>
  <c r="I110"/>
  <c r="H110"/>
  <c r="G110"/>
  <c r="A110"/>
  <c r="R109"/>
  <c r="Q109"/>
  <c r="P109"/>
  <c r="O109"/>
  <c r="N109"/>
  <c r="M109"/>
  <c r="L109"/>
  <c r="K109"/>
  <c r="J109"/>
  <c r="I109"/>
  <c r="H109"/>
  <c r="G109"/>
  <c r="A109"/>
  <c r="R108"/>
  <c r="Q108"/>
  <c r="P108"/>
  <c r="O108"/>
  <c r="N108"/>
  <c r="M108"/>
  <c r="L108"/>
  <c r="K108"/>
  <c r="J108"/>
  <c r="I108"/>
  <c r="H108"/>
  <c r="G108"/>
  <c r="A108"/>
  <c r="R107"/>
  <c r="Q107"/>
  <c r="P107"/>
  <c r="O107"/>
  <c r="N107"/>
  <c r="M107"/>
  <c r="L107"/>
  <c r="K107"/>
  <c r="J107"/>
  <c r="I107"/>
  <c r="H107"/>
  <c r="G107"/>
  <c r="A107"/>
  <c r="R106"/>
  <c r="Q106"/>
  <c r="P106"/>
  <c r="O106"/>
  <c r="N106"/>
  <c r="M106"/>
  <c r="L106"/>
  <c r="K106"/>
  <c r="J106"/>
  <c r="I106"/>
  <c r="H106"/>
  <c r="G106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59" i="11"/>
  <c r="R58"/>
  <c r="R54"/>
  <c r="R53"/>
  <c r="R52"/>
  <c r="R51"/>
  <c r="R50"/>
  <c r="R49"/>
  <c r="R48"/>
  <c r="R47"/>
  <c r="R46"/>
  <c r="R45"/>
  <c r="R44"/>
  <c r="R43"/>
  <c r="R41"/>
  <c r="R40"/>
  <c r="R39"/>
  <c r="R38"/>
  <c r="R37"/>
  <c r="R36"/>
  <c r="R35"/>
  <c r="R34"/>
  <c r="R33"/>
  <c r="R32"/>
  <c r="R28"/>
  <c r="R27"/>
  <c r="R26"/>
  <c r="R25"/>
  <c r="R24"/>
  <c r="R23"/>
  <c r="R22"/>
  <c r="R21"/>
  <c r="R20"/>
  <c r="R19" i="16"/>
  <c r="Q19"/>
  <c r="P19"/>
  <c r="O19"/>
  <c r="N19"/>
  <c r="M19"/>
  <c r="L19"/>
  <c r="K19"/>
  <c r="J19"/>
  <c r="R19" i="11" s="1"/>
  <c r="I19" i="16"/>
  <c r="H19"/>
  <c r="G19"/>
  <c r="R18" i="11"/>
  <c r="R17"/>
  <c r="R16"/>
  <c r="R15"/>
  <c r="R14"/>
  <c r="R13"/>
  <c r="R12"/>
  <c r="R5" i="16"/>
  <c r="Q5"/>
  <c r="P5"/>
  <c r="O5"/>
  <c r="N5"/>
  <c r="M5"/>
  <c r="L5"/>
  <c r="K5"/>
  <c r="J5"/>
  <c r="I5"/>
  <c r="H5"/>
  <c r="G5"/>
  <c r="K13" i="11" l="1"/>
  <c r="K17"/>
  <c r="K21"/>
  <c r="K25"/>
  <c r="K33"/>
  <c r="K37"/>
  <c r="K41"/>
  <c r="K45"/>
  <c r="K49"/>
  <c r="K53"/>
  <c r="Q57" i="16"/>
  <c r="G136"/>
  <c r="K136"/>
  <c r="O136"/>
  <c r="I136"/>
  <c r="M136"/>
  <c r="Q136"/>
  <c r="K63" i="11"/>
  <c r="K64"/>
  <c r="K65"/>
  <c r="K14"/>
  <c r="K18"/>
  <c r="K22"/>
  <c r="K26"/>
  <c r="K34"/>
  <c r="K38"/>
  <c r="K46"/>
  <c r="K50"/>
  <c r="K54"/>
  <c r="K58"/>
  <c r="K15"/>
  <c r="K19"/>
  <c r="K23"/>
  <c r="K27"/>
  <c r="K35"/>
  <c r="K39"/>
  <c r="K43"/>
  <c r="K47"/>
  <c r="K51"/>
  <c r="K59"/>
  <c r="K12"/>
  <c r="K16"/>
  <c r="K20"/>
  <c r="K24"/>
  <c r="K28"/>
  <c r="K32"/>
  <c r="K36"/>
  <c r="K40"/>
  <c r="K44"/>
  <c r="K48"/>
  <c r="K52"/>
  <c r="R105" i="16"/>
  <c r="M31"/>
  <c r="I57"/>
  <c r="M57"/>
  <c r="G150"/>
  <c r="N136"/>
  <c r="H57"/>
  <c r="L57"/>
  <c r="P57"/>
  <c r="N42"/>
  <c r="J57"/>
  <c r="R57" i="11" s="1"/>
  <c r="N57" i="16"/>
  <c r="R57"/>
  <c r="I105"/>
  <c r="M105"/>
  <c r="I113"/>
  <c r="M113"/>
  <c r="Q113"/>
  <c r="K113"/>
  <c r="G125"/>
  <c r="M150"/>
  <c r="H11"/>
  <c r="I42"/>
  <c r="Q42"/>
  <c r="H105"/>
  <c r="L105"/>
  <c r="P105"/>
  <c r="J105"/>
  <c r="K125"/>
  <c r="O125"/>
  <c r="I125"/>
  <c r="Q125"/>
  <c r="H136"/>
  <c r="L136"/>
  <c r="P136"/>
  <c r="S46"/>
  <c r="T46" s="1"/>
  <c r="S54"/>
  <c r="T54" s="1"/>
  <c r="K11"/>
  <c r="K10" s="1"/>
  <c r="P11"/>
  <c r="P10" s="1"/>
  <c r="S20"/>
  <c r="T20" s="1"/>
  <c r="S24"/>
  <c r="T24" s="1"/>
  <c r="S28"/>
  <c r="T28" s="1"/>
  <c r="Q105"/>
  <c r="G11"/>
  <c r="O11"/>
  <c r="O10" s="1"/>
  <c r="N105"/>
  <c r="M125"/>
  <c r="L11"/>
  <c r="L10" s="1"/>
  <c r="S33"/>
  <c r="T33" s="1"/>
  <c r="I31"/>
  <c r="Q31"/>
  <c r="S37"/>
  <c r="T37" s="1"/>
  <c r="J113"/>
  <c r="N113"/>
  <c r="N104" s="1"/>
  <c r="R113"/>
  <c r="S13"/>
  <c r="T13" s="1"/>
  <c r="S17"/>
  <c r="T17" s="1"/>
  <c r="S21"/>
  <c r="T21" s="1"/>
  <c r="S25"/>
  <c r="T25" s="1"/>
  <c r="S34"/>
  <c r="T34" s="1"/>
  <c r="G42"/>
  <c r="K42"/>
  <c r="O42"/>
  <c r="M42"/>
  <c r="S47"/>
  <c r="T47" s="1"/>
  <c r="S51"/>
  <c r="T51" s="1"/>
  <c r="S107"/>
  <c r="T107" s="1"/>
  <c r="S109"/>
  <c r="T109" s="1"/>
  <c r="S111"/>
  <c r="T111" s="1"/>
  <c r="S137"/>
  <c r="T137" s="1"/>
  <c r="S141"/>
  <c r="T141" s="1"/>
  <c r="I11"/>
  <c r="Q11"/>
  <c r="Q10" s="1"/>
  <c r="S14"/>
  <c r="T14" s="1"/>
  <c r="S18"/>
  <c r="T18" s="1"/>
  <c r="S22"/>
  <c r="T22" s="1"/>
  <c r="S26"/>
  <c r="T26" s="1"/>
  <c r="J31"/>
  <c r="R31" i="11" s="1"/>
  <c r="N31" i="16"/>
  <c r="R31"/>
  <c r="H31"/>
  <c r="L31"/>
  <c r="P31"/>
  <c r="S35"/>
  <c r="T35" s="1"/>
  <c r="S39"/>
  <c r="T39" s="1"/>
  <c r="S44"/>
  <c r="T44" s="1"/>
  <c r="S52"/>
  <c r="T52" s="1"/>
  <c r="H113"/>
  <c r="L113"/>
  <c r="P113"/>
  <c r="S129"/>
  <c r="T129" s="1"/>
  <c r="S133"/>
  <c r="T133" s="1"/>
  <c r="J136"/>
  <c r="R136"/>
  <c r="S16"/>
  <c r="T16" s="1"/>
  <c r="M11"/>
  <c r="M10" s="1"/>
  <c r="J11"/>
  <c r="N11"/>
  <c r="N10" s="1"/>
  <c r="R11"/>
  <c r="R10" s="1"/>
  <c r="S15"/>
  <c r="T15" s="1"/>
  <c r="S19"/>
  <c r="T19" s="1"/>
  <c r="S23"/>
  <c r="T23" s="1"/>
  <c r="S27"/>
  <c r="T27" s="1"/>
  <c r="G31"/>
  <c r="K31"/>
  <c r="O31"/>
  <c r="O29" s="1"/>
  <c r="O30" s="1"/>
  <c r="S36"/>
  <c r="T36" s="1"/>
  <c r="S40"/>
  <c r="T40" s="1"/>
  <c r="H42"/>
  <c r="L42"/>
  <c r="P42"/>
  <c r="S45"/>
  <c r="T45" s="1"/>
  <c r="J42"/>
  <c r="R42" i="11" s="1"/>
  <c r="R42" i="16"/>
  <c r="S53"/>
  <c r="T53" s="1"/>
  <c r="G57"/>
  <c r="K57"/>
  <c r="O57"/>
  <c r="G105"/>
  <c r="K105"/>
  <c r="O105"/>
  <c r="S108"/>
  <c r="T108" s="1"/>
  <c r="S110"/>
  <c r="T110" s="1"/>
  <c r="S112"/>
  <c r="T112" s="1"/>
  <c r="S114"/>
  <c r="T114" s="1"/>
  <c r="O113"/>
  <c r="S118"/>
  <c r="T118" s="1"/>
  <c r="S122"/>
  <c r="T122" s="1"/>
  <c r="J125"/>
  <c r="J123" s="1"/>
  <c r="N125"/>
  <c r="R125"/>
  <c r="P156"/>
  <c r="L156"/>
  <c r="H156"/>
  <c r="O156"/>
  <c r="K156"/>
  <c r="G156"/>
  <c r="R156"/>
  <c r="N156"/>
  <c r="J156"/>
  <c r="Q156"/>
  <c r="M156"/>
  <c r="I156"/>
  <c r="S32"/>
  <c r="T32" s="1"/>
  <c r="S49"/>
  <c r="T49" s="1"/>
  <c r="S64"/>
  <c r="T64" s="1"/>
  <c r="S106"/>
  <c r="T106" s="1"/>
  <c r="P157"/>
  <c r="L157"/>
  <c r="H157"/>
  <c r="O157"/>
  <c r="K157"/>
  <c r="G157"/>
  <c r="R157"/>
  <c r="N157"/>
  <c r="J157"/>
  <c r="Q157"/>
  <c r="M157"/>
  <c r="I157"/>
  <c r="S12"/>
  <c r="T12" s="1"/>
  <c r="S41"/>
  <c r="T41" s="1"/>
  <c r="S50"/>
  <c r="T50" s="1"/>
  <c r="S58"/>
  <c r="T58" s="1"/>
  <c r="S62"/>
  <c r="T62" s="1"/>
  <c r="G113"/>
  <c r="H125"/>
  <c r="L125"/>
  <c r="P125"/>
  <c r="P158"/>
  <c r="L158"/>
  <c r="H158"/>
  <c r="O158"/>
  <c r="K158"/>
  <c r="G158"/>
  <c r="R158"/>
  <c r="N158"/>
  <c r="J158"/>
  <c r="Q158"/>
  <c r="M158"/>
  <c r="I158"/>
  <c r="S38"/>
  <c r="T38" s="1"/>
  <c r="S43"/>
  <c r="T43" s="1"/>
  <c r="S48"/>
  <c r="T48" s="1"/>
  <c r="S59"/>
  <c r="T59" s="1"/>
  <c r="S63"/>
  <c r="T63" s="1"/>
  <c r="S117"/>
  <c r="T117" s="1"/>
  <c r="S121"/>
  <c r="T121" s="1"/>
  <c r="S128"/>
  <c r="T128" s="1"/>
  <c r="S132"/>
  <c r="T132" s="1"/>
  <c r="S140"/>
  <c r="T140" s="1"/>
  <c r="S146"/>
  <c r="T146" s="1"/>
  <c r="P151"/>
  <c r="L151"/>
  <c r="H151"/>
  <c r="O151"/>
  <c r="K151"/>
  <c r="R151"/>
  <c r="N151"/>
  <c r="J151"/>
  <c r="Q151"/>
  <c r="I153"/>
  <c r="I150" s="1"/>
  <c r="S116"/>
  <c r="T116" s="1"/>
  <c r="S120"/>
  <c r="T120" s="1"/>
  <c r="S127"/>
  <c r="T127" s="1"/>
  <c r="S131"/>
  <c r="T131" s="1"/>
  <c r="S135"/>
  <c r="T135" s="1"/>
  <c r="S139"/>
  <c r="T139" s="1"/>
  <c r="S145"/>
  <c r="T145" s="1"/>
  <c r="P152"/>
  <c r="L152"/>
  <c r="H152"/>
  <c r="O152"/>
  <c r="K152"/>
  <c r="R152"/>
  <c r="N152"/>
  <c r="J152"/>
  <c r="Q152"/>
  <c r="S115"/>
  <c r="T115" s="1"/>
  <c r="S119"/>
  <c r="T119" s="1"/>
  <c r="S126"/>
  <c r="T126" s="1"/>
  <c r="S130"/>
  <c r="T130" s="1"/>
  <c r="S134"/>
  <c r="T134" s="1"/>
  <c r="S138"/>
  <c r="T138" s="1"/>
  <c r="S144"/>
  <c r="T144" s="1"/>
  <c r="P153"/>
  <c r="L153"/>
  <c r="H153"/>
  <c r="O153"/>
  <c r="K153"/>
  <c r="R153"/>
  <c r="N153"/>
  <c r="J153"/>
  <c r="Q153"/>
  <c r="I142"/>
  <c r="M142"/>
  <c r="I143"/>
  <c r="M143"/>
  <c r="O123" l="1"/>
  <c r="O124" s="1"/>
  <c r="G29"/>
  <c r="L104"/>
  <c r="J10"/>
  <c r="R10" i="11" s="1"/>
  <c r="R11"/>
  <c r="K29" i="16"/>
  <c r="K30" s="1"/>
  <c r="Q123"/>
  <c r="Q124" s="1"/>
  <c r="S113"/>
  <c r="T113" s="1"/>
  <c r="L123"/>
  <c r="L124" s="1"/>
  <c r="I10"/>
  <c r="N29"/>
  <c r="N30" s="1"/>
  <c r="M29"/>
  <c r="M30" s="1"/>
  <c r="J104"/>
  <c r="J148" s="1"/>
  <c r="J149" s="1"/>
  <c r="K123"/>
  <c r="K124" s="1"/>
  <c r="H104"/>
  <c r="N123"/>
  <c r="N124" s="1"/>
  <c r="H123"/>
  <c r="H124" s="1"/>
  <c r="K57" i="11"/>
  <c r="K31"/>
  <c r="G123" i="16"/>
  <c r="G124" s="1"/>
  <c r="R104"/>
  <c r="I29"/>
  <c r="H10"/>
  <c r="K42" i="11"/>
  <c r="I123" i="16"/>
  <c r="I124" s="1"/>
  <c r="G10"/>
  <c r="K11" i="11"/>
  <c r="Q104" i="16"/>
  <c r="M104"/>
  <c r="S57"/>
  <c r="T57" s="1"/>
  <c r="S42"/>
  <c r="T42" s="1"/>
  <c r="S136"/>
  <c r="T136" s="1"/>
  <c r="P104"/>
  <c r="P123"/>
  <c r="P124" s="1"/>
  <c r="K104"/>
  <c r="N148"/>
  <c r="N149" s="1"/>
  <c r="R123"/>
  <c r="R124" s="1"/>
  <c r="S105"/>
  <c r="T105" s="1"/>
  <c r="Q29"/>
  <c r="Q30" s="1"/>
  <c r="S31"/>
  <c r="T31" s="1"/>
  <c r="I104"/>
  <c r="J124"/>
  <c r="S11"/>
  <c r="T11" s="1"/>
  <c r="S152"/>
  <c r="T152" s="1"/>
  <c r="S143"/>
  <c r="T143" s="1"/>
  <c r="P29"/>
  <c r="L29"/>
  <c r="J29"/>
  <c r="S153"/>
  <c r="T153" s="1"/>
  <c r="O104"/>
  <c r="H29"/>
  <c r="R29"/>
  <c r="R30" s="1"/>
  <c r="K55"/>
  <c r="O55"/>
  <c r="N150"/>
  <c r="H150"/>
  <c r="M123"/>
  <c r="S142"/>
  <c r="T142" s="1"/>
  <c r="Q150"/>
  <c r="R150"/>
  <c r="L150"/>
  <c r="S157"/>
  <c r="T157" s="1"/>
  <c r="S156"/>
  <c r="T156" s="1"/>
  <c r="S125"/>
  <c r="T125" s="1"/>
  <c r="G104"/>
  <c r="K150"/>
  <c r="P150"/>
  <c r="S151"/>
  <c r="T151" s="1"/>
  <c r="J150"/>
  <c r="O150"/>
  <c r="S158"/>
  <c r="T158" s="1"/>
  <c r="G30"/>
  <c r="L148" l="1"/>
  <c r="L149" s="1"/>
  <c r="O148"/>
  <c r="O149" s="1"/>
  <c r="J30"/>
  <c r="R30" i="11" s="1"/>
  <c r="R29"/>
  <c r="Q148" i="16"/>
  <c r="Q149" s="1"/>
  <c r="K148"/>
  <c r="K149" s="1"/>
  <c r="S10"/>
  <c r="T10" s="1"/>
  <c r="H148"/>
  <c r="H149" s="1"/>
  <c r="M55"/>
  <c r="M56" s="1"/>
  <c r="K10" i="11"/>
  <c r="I30" i="16"/>
  <c r="N55"/>
  <c r="N56" s="1"/>
  <c r="N154"/>
  <c r="N159" s="1"/>
  <c r="N155" s="1"/>
  <c r="I55"/>
  <c r="I148"/>
  <c r="I154" s="1"/>
  <c r="I159" s="1"/>
  <c r="I155" s="1"/>
  <c r="J154"/>
  <c r="J159" s="1"/>
  <c r="J155" s="1"/>
  <c r="Q154"/>
  <c r="Q159" s="1"/>
  <c r="Q155" s="1"/>
  <c r="R148"/>
  <c r="R149" s="1"/>
  <c r="K29" i="11"/>
  <c r="O154" i="16"/>
  <c r="O159" s="1"/>
  <c r="O155" s="1"/>
  <c r="G55"/>
  <c r="G60" s="1"/>
  <c r="K154"/>
  <c r="K159" s="1"/>
  <c r="K155" s="1"/>
  <c r="S123"/>
  <c r="T123" s="1"/>
  <c r="Q55"/>
  <c r="P148"/>
  <c r="P149" s="1"/>
  <c r="S29"/>
  <c r="T29" s="1"/>
  <c r="R55"/>
  <c r="H30"/>
  <c r="H55"/>
  <c r="O56"/>
  <c r="O60"/>
  <c r="O65" s="1"/>
  <c r="O61" s="1"/>
  <c r="J55"/>
  <c r="R55" i="11" s="1"/>
  <c r="L30" i="16"/>
  <c r="L55"/>
  <c r="K60"/>
  <c r="K65" s="1"/>
  <c r="K61" s="1"/>
  <c r="K56"/>
  <c r="P30"/>
  <c r="P55"/>
  <c r="G148"/>
  <c r="S104"/>
  <c r="T104" s="1"/>
  <c r="L154"/>
  <c r="L159" s="1"/>
  <c r="L155" s="1"/>
  <c r="M124"/>
  <c r="S124" s="1"/>
  <c r="T124" s="1"/>
  <c r="M148"/>
  <c r="S150"/>
  <c r="T150" s="1"/>
  <c r="I149" l="1"/>
  <c r="N60"/>
  <c r="N65" s="1"/>
  <c r="N61" s="1"/>
  <c r="H154"/>
  <c r="H159" s="1"/>
  <c r="H155" s="1"/>
  <c r="M60"/>
  <c r="M65" s="1"/>
  <c r="M61" s="1"/>
  <c r="I56"/>
  <c r="R154"/>
  <c r="R159" s="1"/>
  <c r="R155" s="1"/>
  <c r="I60"/>
  <c r="K55" i="11"/>
  <c r="K30"/>
  <c r="G56" i="16"/>
  <c r="Q60"/>
  <c r="Q65" s="1"/>
  <c r="Q61" s="1"/>
  <c r="Q56"/>
  <c r="P154"/>
  <c r="P159" s="1"/>
  <c r="P155" s="1"/>
  <c r="S30"/>
  <c r="T30" s="1"/>
  <c r="S55"/>
  <c r="T55" s="1"/>
  <c r="H60"/>
  <c r="H56"/>
  <c r="J60"/>
  <c r="R61" i="11" s="1"/>
  <c r="J56" i="16"/>
  <c r="R56" i="11" s="1"/>
  <c r="R60" i="16"/>
  <c r="R65" s="1"/>
  <c r="R61" s="1"/>
  <c r="R56"/>
  <c r="P60"/>
  <c r="P65" s="1"/>
  <c r="P61" s="1"/>
  <c r="P56"/>
  <c r="L56"/>
  <c r="L60"/>
  <c r="L65" s="1"/>
  <c r="L61" s="1"/>
  <c r="G154"/>
  <c r="G149"/>
  <c r="S148"/>
  <c r="T148" s="1"/>
  <c r="G65"/>
  <c r="M154"/>
  <c r="M159" s="1"/>
  <c r="M155" s="1"/>
  <c r="M149"/>
  <c r="J65" l="1"/>
  <c r="R66" i="11" s="1"/>
  <c r="I65" i="16"/>
  <c r="K61" i="11"/>
  <c r="K56"/>
  <c r="H65" i="16"/>
  <c r="S56"/>
  <c r="T56" s="1"/>
  <c r="S60"/>
  <c r="T60" s="1"/>
  <c r="G159"/>
  <c r="S154"/>
  <c r="T154" s="1"/>
  <c r="G61"/>
  <c r="S149"/>
  <c r="T149" s="1"/>
  <c r="J61" l="1"/>
  <c r="R62" i="11" s="1"/>
  <c r="I61" i="16"/>
  <c r="S65"/>
  <c r="T65" s="1"/>
  <c r="K66" i="11"/>
  <c r="H61" i="16"/>
  <c r="S159"/>
  <c r="T159" s="1"/>
  <c r="G155"/>
  <c r="S155" s="1"/>
  <c r="T155" s="1"/>
  <c r="K62" i="11" l="1"/>
  <c r="S61" i="16"/>
  <c r="T61" s="1"/>
  <c r="H152" i="13"/>
  <c r="I152"/>
  <c r="J152"/>
  <c r="K152"/>
  <c r="L152"/>
  <c r="M152"/>
  <c r="N152"/>
  <c r="O152"/>
  <c r="P152"/>
  <c r="Q152"/>
  <c r="R152"/>
  <c r="H153" l="1"/>
  <c r="I153"/>
  <c r="J153"/>
  <c r="K153"/>
  <c r="L153"/>
  <c r="M153"/>
  <c r="N153"/>
  <c r="O153"/>
  <c r="P153"/>
  <c r="Q153"/>
  <c r="R153"/>
  <c r="G153"/>
  <c r="FF400" i="6"/>
  <c r="H132" i="13" l="1"/>
  <c r="I132"/>
  <c r="J132"/>
  <c r="K132"/>
  <c r="L132"/>
  <c r="M132"/>
  <c r="N132"/>
  <c r="O132"/>
  <c r="P132"/>
  <c r="Q132"/>
  <c r="R132"/>
  <c r="H133"/>
  <c r="I133"/>
  <c r="J133"/>
  <c r="K133"/>
  <c r="L133"/>
  <c r="M133"/>
  <c r="N133"/>
  <c r="O133"/>
  <c r="P133"/>
  <c r="Q133"/>
  <c r="R133"/>
  <c r="H134"/>
  <c r="I134"/>
  <c r="J134"/>
  <c r="K134"/>
  <c r="L134"/>
  <c r="M134"/>
  <c r="N134"/>
  <c r="O134"/>
  <c r="P134"/>
  <c r="Q134"/>
  <c r="R134"/>
  <c r="G134"/>
  <c r="G133"/>
  <c r="G132"/>
  <c r="H144" l="1"/>
  <c r="I144"/>
  <c r="J144"/>
  <c r="K144"/>
  <c r="L144"/>
  <c r="M144"/>
  <c r="N144"/>
  <c r="O144"/>
  <c r="P144"/>
  <c r="Q144"/>
  <c r="R144"/>
  <c r="H145"/>
  <c r="I145"/>
  <c r="J145"/>
  <c r="K145"/>
  <c r="L145"/>
  <c r="M145"/>
  <c r="N145"/>
  <c r="O145"/>
  <c r="P145"/>
  <c r="Q145"/>
  <c r="R145"/>
  <c r="H146"/>
  <c r="I146"/>
  <c r="J146"/>
  <c r="K146"/>
  <c r="L146"/>
  <c r="M146"/>
  <c r="N146"/>
  <c r="O146"/>
  <c r="P146"/>
  <c r="Q146"/>
  <c r="R146"/>
  <c r="H147"/>
  <c r="I147"/>
  <c r="J147"/>
  <c r="K147"/>
  <c r="L147"/>
  <c r="M147"/>
  <c r="N147"/>
  <c r="O147"/>
  <c r="P147"/>
  <c r="Q147"/>
  <c r="R147"/>
  <c r="H137"/>
  <c r="I137"/>
  <c r="J137"/>
  <c r="K137"/>
  <c r="L137"/>
  <c r="M137"/>
  <c r="N137"/>
  <c r="O137"/>
  <c r="P137"/>
  <c r="Q137"/>
  <c r="R137"/>
  <c r="H138"/>
  <c r="I138"/>
  <c r="J138"/>
  <c r="K138"/>
  <c r="L138"/>
  <c r="M138"/>
  <c r="N138"/>
  <c r="O138"/>
  <c r="P138"/>
  <c r="Q138"/>
  <c r="R138"/>
  <c r="H139"/>
  <c r="I139"/>
  <c r="J139"/>
  <c r="K139"/>
  <c r="L139"/>
  <c r="M139"/>
  <c r="N139"/>
  <c r="O139"/>
  <c r="P139"/>
  <c r="Q139"/>
  <c r="R139"/>
  <c r="H140"/>
  <c r="I140"/>
  <c r="J140"/>
  <c r="K140"/>
  <c r="L140"/>
  <c r="M140"/>
  <c r="N140"/>
  <c r="O140"/>
  <c r="P140"/>
  <c r="Q140"/>
  <c r="R140"/>
  <c r="H141"/>
  <c r="I141"/>
  <c r="J141"/>
  <c r="K141"/>
  <c r="L141"/>
  <c r="M141"/>
  <c r="N141"/>
  <c r="O141"/>
  <c r="P141"/>
  <c r="Q141"/>
  <c r="R141"/>
  <c r="G138"/>
  <c r="G139"/>
  <c r="G140"/>
  <c r="H126"/>
  <c r="I126"/>
  <c r="J126"/>
  <c r="K126"/>
  <c r="L126"/>
  <c r="M126"/>
  <c r="N126"/>
  <c r="O126"/>
  <c r="P126"/>
  <c r="Q126"/>
  <c r="R126"/>
  <c r="H127"/>
  <c r="I127"/>
  <c r="J127"/>
  <c r="K127"/>
  <c r="L127"/>
  <c r="M127"/>
  <c r="N127"/>
  <c r="O127"/>
  <c r="P127"/>
  <c r="Q127"/>
  <c r="R127"/>
  <c r="H128"/>
  <c r="I128"/>
  <c r="J128"/>
  <c r="K128"/>
  <c r="L128"/>
  <c r="M128"/>
  <c r="N128"/>
  <c r="O128"/>
  <c r="P128"/>
  <c r="Q128"/>
  <c r="R128"/>
  <c r="H129"/>
  <c r="I129"/>
  <c r="J129"/>
  <c r="K129"/>
  <c r="L129"/>
  <c r="M129"/>
  <c r="N129"/>
  <c r="O129"/>
  <c r="P129"/>
  <c r="Q129"/>
  <c r="R129"/>
  <c r="H130"/>
  <c r="I130"/>
  <c r="J130"/>
  <c r="K130"/>
  <c r="L130"/>
  <c r="M130"/>
  <c r="N130"/>
  <c r="O130"/>
  <c r="P130"/>
  <c r="Q130"/>
  <c r="R130"/>
  <c r="H131"/>
  <c r="I131"/>
  <c r="J131"/>
  <c r="K131"/>
  <c r="L131"/>
  <c r="M131"/>
  <c r="N131"/>
  <c r="O131"/>
  <c r="P131"/>
  <c r="Q131"/>
  <c r="R131"/>
  <c r="H135"/>
  <c r="I135"/>
  <c r="J135"/>
  <c r="K135"/>
  <c r="L135"/>
  <c r="M135"/>
  <c r="N135"/>
  <c r="O135"/>
  <c r="P135"/>
  <c r="Q135"/>
  <c r="R135"/>
  <c r="G145"/>
  <c r="G135"/>
  <c r="G141"/>
  <c r="G131"/>
  <c r="G130"/>
  <c r="G129"/>
  <c r="G128"/>
  <c r="G127"/>
  <c r="H112"/>
  <c r="I112"/>
  <c r="J112"/>
  <c r="K112"/>
  <c r="L112"/>
  <c r="M112"/>
  <c r="N112"/>
  <c r="O112"/>
  <c r="P112"/>
  <c r="Q112"/>
  <c r="R112"/>
  <c r="G112"/>
  <c r="O136" l="1"/>
  <c r="K136"/>
  <c r="P136"/>
  <c r="H136"/>
  <c r="Q136"/>
  <c r="M136"/>
  <c r="I136"/>
  <c r="L136"/>
  <c r="R136"/>
  <c r="N136"/>
  <c r="J136"/>
  <c r="FF328" i="6"/>
  <c r="EU401" l="1"/>
  <c r="EV401"/>
  <c r="EW401"/>
  <c r="EX401"/>
  <c r="EY401"/>
  <c r="EZ401"/>
  <c r="FA401"/>
  <c r="FB401"/>
  <c r="FC401"/>
  <c r="FD401"/>
  <c r="FE401"/>
  <c r="ET401"/>
  <c r="FF401" s="1"/>
  <c r="FF403"/>
  <c r="FF402"/>
  <c r="FF375"/>
  <c r="FF386"/>
  <c r="FF357"/>
  <c r="FF368"/>
  <c r="FF358"/>
  <c r="FF353" l="1"/>
  <c r="FF351"/>
  <c r="FF343"/>
  <c r="FF337"/>
  <c r="FF329"/>
  <c r="FF376"/>
  <c r="FF318"/>
  <c r="FF314"/>
  <c r="FF310"/>
  <c r="FF307"/>
  <c r="FF303"/>
  <c r="FF293"/>
  <c r="FF286"/>
  <c r="FF278"/>
  <c r="FF272"/>
  <c r="H151" i="13" l="1"/>
  <c r="I151"/>
  <c r="J151"/>
  <c r="K151"/>
  <c r="L151"/>
  <c r="M151"/>
  <c r="N151"/>
  <c r="O151"/>
  <c r="P151"/>
  <c r="Q151"/>
  <c r="R151"/>
  <c r="G152"/>
  <c r="G151"/>
  <c r="G146"/>
  <c r="G147"/>
  <c r="H53" i="11" s="1"/>
  <c r="G144" i="13"/>
  <c r="H142"/>
  <c r="I142"/>
  <c r="J142"/>
  <c r="K142"/>
  <c r="L142"/>
  <c r="M142"/>
  <c r="N142"/>
  <c r="O142"/>
  <c r="P142"/>
  <c r="Q142"/>
  <c r="R142"/>
  <c r="H143"/>
  <c r="I143"/>
  <c r="J143"/>
  <c r="K143"/>
  <c r="L143"/>
  <c r="M143"/>
  <c r="N143"/>
  <c r="O143"/>
  <c r="P143"/>
  <c r="Q143"/>
  <c r="R143"/>
  <c r="G143"/>
  <c r="G142"/>
  <c r="G137"/>
  <c r="G126"/>
  <c r="H118"/>
  <c r="I118"/>
  <c r="J118"/>
  <c r="K118"/>
  <c r="L118"/>
  <c r="M118"/>
  <c r="N118"/>
  <c r="O118"/>
  <c r="P118"/>
  <c r="Q118"/>
  <c r="R118"/>
  <c r="H119"/>
  <c r="I119"/>
  <c r="J119"/>
  <c r="K119"/>
  <c r="L119"/>
  <c r="M119"/>
  <c r="N119"/>
  <c r="O119"/>
  <c r="P119"/>
  <c r="Q119"/>
  <c r="R119"/>
  <c r="H120"/>
  <c r="I120"/>
  <c r="J120"/>
  <c r="K120"/>
  <c r="L120"/>
  <c r="M120"/>
  <c r="N120"/>
  <c r="O120"/>
  <c r="P120"/>
  <c r="Q120"/>
  <c r="R120"/>
  <c r="H121"/>
  <c r="I121"/>
  <c r="J121"/>
  <c r="K121"/>
  <c r="L121"/>
  <c r="M121"/>
  <c r="N121"/>
  <c r="O121"/>
  <c r="P121"/>
  <c r="Q121"/>
  <c r="R121"/>
  <c r="H122"/>
  <c r="I122"/>
  <c r="J122"/>
  <c r="K122"/>
  <c r="L122"/>
  <c r="M122"/>
  <c r="N122"/>
  <c r="O122"/>
  <c r="P122"/>
  <c r="Q122"/>
  <c r="R122"/>
  <c r="G122"/>
  <c r="G121"/>
  <c r="G120"/>
  <c r="G119"/>
  <c r="G118"/>
  <c r="H114"/>
  <c r="I114"/>
  <c r="J114"/>
  <c r="K114"/>
  <c r="L114"/>
  <c r="M114"/>
  <c r="N114"/>
  <c r="O114"/>
  <c r="P114"/>
  <c r="Q114"/>
  <c r="R114"/>
  <c r="H115"/>
  <c r="I115"/>
  <c r="J115"/>
  <c r="K115"/>
  <c r="L115"/>
  <c r="M115"/>
  <c r="N115"/>
  <c r="O115"/>
  <c r="P115"/>
  <c r="Q115"/>
  <c r="R115"/>
  <c r="H116"/>
  <c r="I116"/>
  <c r="J116"/>
  <c r="K116"/>
  <c r="L116"/>
  <c r="M116"/>
  <c r="N116"/>
  <c r="O116"/>
  <c r="P116"/>
  <c r="Q116"/>
  <c r="R116"/>
  <c r="H117"/>
  <c r="I117"/>
  <c r="J117"/>
  <c r="K117"/>
  <c r="L117"/>
  <c r="M117"/>
  <c r="N117"/>
  <c r="O117"/>
  <c r="P117"/>
  <c r="Q117"/>
  <c r="R117"/>
  <c r="G115"/>
  <c r="G116"/>
  <c r="G117"/>
  <c r="G114"/>
  <c r="H106"/>
  <c r="I106"/>
  <c r="J106"/>
  <c r="K106"/>
  <c r="L106"/>
  <c r="M106"/>
  <c r="N106"/>
  <c r="O106"/>
  <c r="P106"/>
  <c r="Q106"/>
  <c r="R106"/>
  <c r="H107"/>
  <c r="I107"/>
  <c r="J107"/>
  <c r="K107"/>
  <c r="L107"/>
  <c r="M107"/>
  <c r="N107"/>
  <c r="O107"/>
  <c r="P107"/>
  <c r="Q107"/>
  <c r="R107"/>
  <c r="H108"/>
  <c r="I108"/>
  <c r="J108"/>
  <c r="K108"/>
  <c r="L108"/>
  <c r="M108"/>
  <c r="N108"/>
  <c r="O108"/>
  <c r="P108"/>
  <c r="Q108"/>
  <c r="R108"/>
  <c r="H109"/>
  <c r="I109"/>
  <c r="J109"/>
  <c r="K109"/>
  <c r="L109"/>
  <c r="M109"/>
  <c r="N109"/>
  <c r="O109"/>
  <c r="P109"/>
  <c r="Q109"/>
  <c r="R109"/>
  <c r="H110"/>
  <c r="I110"/>
  <c r="J110"/>
  <c r="K110"/>
  <c r="L110"/>
  <c r="M110"/>
  <c r="N110"/>
  <c r="O110"/>
  <c r="P110"/>
  <c r="Q110"/>
  <c r="R110"/>
  <c r="H111"/>
  <c r="I111"/>
  <c r="J111"/>
  <c r="K111"/>
  <c r="L111"/>
  <c r="M111"/>
  <c r="N111"/>
  <c r="O111"/>
  <c r="P111"/>
  <c r="Q111"/>
  <c r="R111"/>
  <c r="G107"/>
  <c r="G108"/>
  <c r="G109"/>
  <c r="G110"/>
  <c r="G111"/>
  <c r="G106"/>
  <c r="L25"/>
  <c r="M60" i="11" l="1"/>
  <c r="L60"/>
  <c r="O60" l="1"/>
  <c r="EE394" i="6" l="1"/>
  <c r="EH394"/>
  <c r="EH393" s="1"/>
  <c r="EI394"/>
  <c r="EI393" s="1"/>
  <c r="EJ394"/>
  <c r="EJ393" s="1"/>
  <c r="EK394"/>
  <c r="EK393" s="1"/>
  <c r="EL394"/>
  <c r="EL393" s="1"/>
  <c r="EM394"/>
  <c r="EM393" s="1"/>
  <c r="EN394"/>
  <c r="EN393" s="1"/>
  <c r="EO394"/>
  <c r="EO393" s="1"/>
  <c r="EP394"/>
  <c r="EP393" s="1"/>
  <c r="EQ394"/>
  <c r="EQ393" s="1"/>
  <c r="ER394"/>
  <c r="ER393" s="1"/>
  <c r="ES394"/>
  <c r="ES393" s="1"/>
  <c r="DV394"/>
  <c r="DW394"/>
  <c r="DX394"/>
  <c r="DY394"/>
  <c r="DZ394"/>
  <c r="EA394"/>
  <c r="EB394"/>
  <c r="EC394"/>
  <c r="ED394"/>
  <c r="EF394"/>
  <c r="EG394"/>
  <c r="EH267"/>
  <c r="EI267"/>
  <c r="EJ267"/>
  <c r="EK267"/>
  <c r="EL267"/>
  <c r="EM267"/>
  <c r="EN267"/>
  <c r="EO267"/>
  <c r="EP267"/>
  <c r="EQ267"/>
  <c r="ER267"/>
  <c r="ES267"/>
  <c r="EG267" l="1"/>
  <c r="EH251"/>
  <c r="EI251"/>
  <c r="EJ251"/>
  <c r="EK251"/>
  <c r="EL251"/>
  <c r="EM251"/>
  <c r="EN251"/>
  <c r="EO251"/>
  <c r="EP251"/>
  <c r="EQ251"/>
  <c r="ER251"/>
  <c r="ES251"/>
  <c r="EH241"/>
  <c r="EI241"/>
  <c r="EJ241"/>
  <c r="EK241"/>
  <c r="EL241"/>
  <c r="EM241"/>
  <c r="EN241"/>
  <c r="EO241"/>
  <c r="EP241"/>
  <c r="EQ241"/>
  <c r="ER241"/>
  <c r="ES241"/>
  <c r="EH234"/>
  <c r="EI234"/>
  <c r="EJ234"/>
  <c r="EK234"/>
  <c r="EL234"/>
  <c r="EM234"/>
  <c r="EN234"/>
  <c r="EO234"/>
  <c r="EP234"/>
  <c r="EQ234"/>
  <c r="ER234"/>
  <c r="ES234"/>
  <c r="EH229"/>
  <c r="EI229"/>
  <c r="EJ229"/>
  <c r="EK229"/>
  <c r="EL229"/>
  <c r="EM229"/>
  <c r="EN229"/>
  <c r="EO229"/>
  <c r="EP229"/>
  <c r="EQ229"/>
  <c r="ER229"/>
  <c r="ES229"/>
  <c r="EH220"/>
  <c r="EH219" s="1"/>
  <c r="EH218" s="1"/>
  <c r="EI220"/>
  <c r="EI219" s="1"/>
  <c r="EI218" s="1"/>
  <c r="EJ220"/>
  <c r="EJ219" s="1"/>
  <c r="EJ218" s="1"/>
  <c r="EK220"/>
  <c r="EK219" s="1"/>
  <c r="EK218" s="1"/>
  <c r="EL220"/>
  <c r="EL219" s="1"/>
  <c r="EL218" s="1"/>
  <c r="EM220"/>
  <c r="EM219" s="1"/>
  <c r="EM218" s="1"/>
  <c r="EN220"/>
  <c r="EN219" s="1"/>
  <c r="EN218" s="1"/>
  <c r="EO220"/>
  <c r="EO219" s="1"/>
  <c r="EO218" s="1"/>
  <c r="EP220"/>
  <c r="EP219" s="1"/>
  <c r="EP218" s="1"/>
  <c r="EQ220"/>
  <c r="EQ219" s="1"/>
  <c r="EQ218" s="1"/>
  <c r="ER220"/>
  <c r="ER219" s="1"/>
  <c r="ER218" s="1"/>
  <c r="ES220"/>
  <c r="ES219" s="1"/>
  <c r="ES218" s="1"/>
  <c r="G17" i="2" l="1"/>
  <c r="G16"/>
  <c r="G11"/>
  <c r="A159" i="13"/>
  <c r="A158"/>
  <c r="A157"/>
  <c r="A156"/>
  <c r="A155"/>
  <c r="A154"/>
  <c r="A153"/>
  <c r="A152"/>
  <c r="A151"/>
  <c r="A150"/>
  <c r="A149"/>
  <c r="A148"/>
  <c r="S147"/>
  <c r="T147" s="1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I113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N65" i="11" s="1"/>
  <c r="I64" i="13"/>
  <c r="H64"/>
  <c r="G64"/>
  <c r="R63"/>
  <c r="Q63"/>
  <c r="P63"/>
  <c r="O63"/>
  <c r="N63"/>
  <c r="M63"/>
  <c r="L63"/>
  <c r="K63"/>
  <c r="J63"/>
  <c r="N64" i="11" s="1"/>
  <c r="I63" i="13"/>
  <c r="H63"/>
  <c r="R62"/>
  <c r="Q62"/>
  <c r="P62"/>
  <c r="O62"/>
  <c r="N62"/>
  <c r="M62"/>
  <c r="L62"/>
  <c r="K62"/>
  <c r="J62"/>
  <c r="N63" i="11" s="1"/>
  <c r="I62" i="13"/>
  <c r="H62"/>
  <c r="G62"/>
  <c r="R59"/>
  <c r="Q59"/>
  <c r="P59"/>
  <c r="O59"/>
  <c r="N59"/>
  <c r="M59"/>
  <c r="L59"/>
  <c r="K59"/>
  <c r="J59"/>
  <c r="N59" i="11" s="1"/>
  <c r="I59" i="13"/>
  <c r="H59"/>
  <c r="G59"/>
  <c r="R58"/>
  <c r="Q58"/>
  <c r="P58"/>
  <c r="O58"/>
  <c r="N58"/>
  <c r="M58"/>
  <c r="L58"/>
  <c r="K58"/>
  <c r="J58"/>
  <c r="N58" i="11" s="1"/>
  <c r="I58" i="13"/>
  <c r="H58"/>
  <c r="G58"/>
  <c r="R54"/>
  <c r="Q54"/>
  <c r="P54"/>
  <c r="O54"/>
  <c r="N54"/>
  <c r="M54"/>
  <c r="L54"/>
  <c r="K54"/>
  <c r="J54"/>
  <c r="N54" i="11" s="1"/>
  <c r="I54" i="13"/>
  <c r="H54"/>
  <c r="G54"/>
  <c r="R53"/>
  <c r="Q53"/>
  <c r="P53"/>
  <c r="O53"/>
  <c r="N53"/>
  <c r="M53"/>
  <c r="L53"/>
  <c r="K53"/>
  <c r="J53"/>
  <c r="N53" i="11" s="1"/>
  <c r="I53" i="13"/>
  <c r="H53"/>
  <c r="G53"/>
  <c r="R52"/>
  <c r="Q52"/>
  <c r="P52"/>
  <c r="O52"/>
  <c r="N52"/>
  <c r="M52"/>
  <c r="L52"/>
  <c r="K52"/>
  <c r="J52"/>
  <c r="N52" i="11" s="1"/>
  <c r="I52" i="13"/>
  <c r="H52"/>
  <c r="G52"/>
  <c r="R51"/>
  <c r="Q51"/>
  <c r="P51"/>
  <c r="O51"/>
  <c r="N51"/>
  <c r="M51"/>
  <c r="L51"/>
  <c r="K51"/>
  <c r="J51"/>
  <c r="N51" i="11" s="1"/>
  <c r="I51" i="13"/>
  <c r="H51"/>
  <c r="G51"/>
  <c r="R50"/>
  <c r="Q50"/>
  <c r="P50"/>
  <c r="O50"/>
  <c r="N50"/>
  <c r="M50"/>
  <c r="L50"/>
  <c r="K50"/>
  <c r="J50"/>
  <c r="N50" i="11" s="1"/>
  <c r="I50" i="13"/>
  <c r="H50"/>
  <c r="G50"/>
  <c r="R49"/>
  <c r="Q49"/>
  <c r="P49"/>
  <c r="O49"/>
  <c r="N49"/>
  <c r="M49"/>
  <c r="L49"/>
  <c r="K49"/>
  <c r="J49"/>
  <c r="N49" i="11" s="1"/>
  <c r="I49" i="13"/>
  <c r="H49"/>
  <c r="G49"/>
  <c r="R48"/>
  <c r="Q48"/>
  <c r="P48"/>
  <c r="O48"/>
  <c r="N48"/>
  <c r="M48"/>
  <c r="L48"/>
  <c r="K48"/>
  <c r="J48"/>
  <c r="N48" i="11" s="1"/>
  <c r="I48" i="13"/>
  <c r="H48"/>
  <c r="G48"/>
  <c r="R47"/>
  <c r="Q47"/>
  <c r="P47"/>
  <c r="O47"/>
  <c r="N47"/>
  <c r="M47"/>
  <c r="L47"/>
  <c r="K47"/>
  <c r="J47"/>
  <c r="N47" i="11" s="1"/>
  <c r="I47" i="13"/>
  <c r="H47"/>
  <c r="G47"/>
  <c r="R46"/>
  <c r="Q46"/>
  <c r="P46"/>
  <c r="O46"/>
  <c r="N46"/>
  <c r="M46"/>
  <c r="L46"/>
  <c r="K46"/>
  <c r="J46"/>
  <c r="N46" i="11" s="1"/>
  <c r="I46" i="13"/>
  <c r="H46"/>
  <c r="G46"/>
  <c r="R45"/>
  <c r="Q45"/>
  <c r="P45"/>
  <c r="O45"/>
  <c r="N45"/>
  <c r="M45"/>
  <c r="L45"/>
  <c r="K45"/>
  <c r="J45"/>
  <c r="N45" i="11" s="1"/>
  <c r="I45" i="13"/>
  <c r="H45"/>
  <c r="G45"/>
  <c r="R44"/>
  <c r="Q44"/>
  <c r="P44"/>
  <c r="O44"/>
  <c r="N44"/>
  <c r="M44"/>
  <c r="L44"/>
  <c r="K44"/>
  <c r="J44"/>
  <c r="N44" i="11" s="1"/>
  <c r="I44" i="13"/>
  <c r="H44"/>
  <c r="G44"/>
  <c r="R43"/>
  <c r="Q43"/>
  <c r="P43"/>
  <c r="O43"/>
  <c r="N43"/>
  <c r="M43"/>
  <c r="L43"/>
  <c r="K43"/>
  <c r="J43"/>
  <c r="N43" i="11" s="1"/>
  <c r="I43" i="13"/>
  <c r="H43"/>
  <c r="G43"/>
  <c r="R41"/>
  <c r="Q41"/>
  <c r="P41"/>
  <c r="O41"/>
  <c r="N41"/>
  <c r="M41"/>
  <c r="L41"/>
  <c r="K41"/>
  <c r="J41"/>
  <c r="N41" i="11" s="1"/>
  <c r="I41" i="13"/>
  <c r="H41"/>
  <c r="G41"/>
  <c r="R40"/>
  <c r="Q40"/>
  <c r="P40"/>
  <c r="O40"/>
  <c r="N40"/>
  <c r="M40"/>
  <c r="L40"/>
  <c r="K40"/>
  <c r="J40"/>
  <c r="N40" i="11" s="1"/>
  <c r="I40" i="13"/>
  <c r="H40"/>
  <c r="G40"/>
  <c r="R39"/>
  <c r="Q39"/>
  <c r="P39"/>
  <c r="O39"/>
  <c r="N39"/>
  <c r="M39"/>
  <c r="L39"/>
  <c r="K39"/>
  <c r="J39"/>
  <c r="N39" i="11" s="1"/>
  <c r="I39" i="13"/>
  <c r="H39"/>
  <c r="G39"/>
  <c r="R38"/>
  <c r="Q38"/>
  <c r="P38"/>
  <c r="O38"/>
  <c r="N38"/>
  <c r="M38"/>
  <c r="L38"/>
  <c r="K38"/>
  <c r="J38"/>
  <c r="N38" i="11" s="1"/>
  <c r="I38" i="13"/>
  <c r="H38"/>
  <c r="G38"/>
  <c r="R37"/>
  <c r="Q37"/>
  <c r="P37"/>
  <c r="O37"/>
  <c r="N37"/>
  <c r="M37"/>
  <c r="L37"/>
  <c r="K37"/>
  <c r="J37"/>
  <c r="N37" i="11" s="1"/>
  <c r="I37" i="13"/>
  <c r="H37"/>
  <c r="G37"/>
  <c r="R36"/>
  <c r="Q36"/>
  <c r="P36"/>
  <c r="O36"/>
  <c r="N36"/>
  <c r="M36"/>
  <c r="L36"/>
  <c r="K36"/>
  <c r="J36"/>
  <c r="N36" i="11" s="1"/>
  <c r="I36" i="13"/>
  <c r="H36"/>
  <c r="G36"/>
  <c r="R35"/>
  <c r="Q35"/>
  <c r="P35"/>
  <c r="O35"/>
  <c r="N35"/>
  <c r="M35"/>
  <c r="L35"/>
  <c r="K35"/>
  <c r="J35"/>
  <c r="N35" i="11" s="1"/>
  <c r="I35" i="13"/>
  <c r="H35"/>
  <c r="G35"/>
  <c r="R34"/>
  <c r="Q34"/>
  <c r="P34"/>
  <c r="O34"/>
  <c r="N34"/>
  <c r="M34"/>
  <c r="L34"/>
  <c r="K34"/>
  <c r="J34"/>
  <c r="N34" i="11" s="1"/>
  <c r="I34" i="13"/>
  <c r="H34"/>
  <c r="G34"/>
  <c r="R33"/>
  <c r="Q33"/>
  <c r="P33"/>
  <c r="O33"/>
  <c r="N33"/>
  <c r="M33"/>
  <c r="L33"/>
  <c r="K33"/>
  <c r="J33"/>
  <c r="N33" i="11" s="1"/>
  <c r="I33" i="13"/>
  <c r="H33"/>
  <c r="G33"/>
  <c r="R32"/>
  <c r="Q32"/>
  <c r="P32"/>
  <c r="O32"/>
  <c r="N32"/>
  <c r="M32"/>
  <c r="L32"/>
  <c r="K32"/>
  <c r="J32"/>
  <c r="N32" i="11" s="1"/>
  <c r="I32" i="13"/>
  <c r="H32"/>
  <c r="G32"/>
  <c r="R28"/>
  <c r="Q28"/>
  <c r="P28"/>
  <c r="O28"/>
  <c r="N28"/>
  <c r="M28"/>
  <c r="L28"/>
  <c r="K28"/>
  <c r="J28"/>
  <c r="N28" i="11" s="1"/>
  <c r="I28" i="13"/>
  <c r="H28"/>
  <c r="G28"/>
  <c r="R27"/>
  <c r="Q27"/>
  <c r="P27"/>
  <c r="O27"/>
  <c r="N27"/>
  <c r="M27"/>
  <c r="L27"/>
  <c r="K27"/>
  <c r="J27"/>
  <c r="N27" i="11" s="1"/>
  <c r="I27" i="13"/>
  <c r="H27"/>
  <c r="G27"/>
  <c r="R26"/>
  <c r="Q26"/>
  <c r="P26"/>
  <c r="O26"/>
  <c r="N26"/>
  <c r="M26"/>
  <c r="L26"/>
  <c r="K26"/>
  <c r="J26"/>
  <c r="N26" i="11" s="1"/>
  <c r="I26" i="13"/>
  <c r="H26"/>
  <c r="G26"/>
  <c r="R25"/>
  <c r="Q25"/>
  <c r="P25"/>
  <c r="O25"/>
  <c r="N25"/>
  <c r="M25"/>
  <c r="K25"/>
  <c r="J25"/>
  <c r="N25" i="11" s="1"/>
  <c r="I25" i="13"/>
  <c r="H25"/>
  <c r="G25"/>
  <c r="R24"/>
  <c r="Q24"/>
  <c r="P24"/>
  <c r="O24"/>
  <c r="N24"/>
  <c r="M24"/>
  <c r="L24"/>
  <c r="K24"/>
  <c r="J24"/>
  <c r="N24" i="11" s="1"/>
  <c r="I24" i="13"/>
  <c r="H24"/>
  <c r="G24"/>
  <c r="R23"/>
  <c r="Q23"/>
  <c r="P23"/>
  <c r="O23"/>
  <c r="N23"/>
  <c r="M23"/>
  <c r="L23"/>
  <c r="K23"/>
  <c r="J23"/>
  <c r="N23" i="11" s="1"/>
  <c r="I23" i="13"/>
  <c r="H23"/>
  <c r="G23"/>
  <c r="R22"/>
  <c r="Q22"/>
  <c r="P22"/>
  <c r="O22"/>
  <c r="N22"/>
  <c r="M22"/>
  <c r="L22"/>
  <c r="K22"/>
  <c r="J22"/>
  <c r="N22" i="11" s="1"/>
  <c r="I22" i="13"/>
  <c r="H22"/>
  <c r="G22"/>
  <c r="R21"/>
  <c r="Q21"/>
  <c r="P21"/>
  <c r="O21"/>
  <c r="N21"/>
  <c r="M21"/>
  <c r="L21"/>
  <c r="K21"/>
  <c r="J21"/>
  <c r="N21" i="11" s="1"/>
  <c r="I21" i="13"/>
  <c r="H21"/>
  <c r="G21"/>
  <c r="R20"/>
  <c r="Q20"/>
  <c r="P20"/>
  <c r="O20"/>
  <c r="N20"/>
  <c r="M20"/>
  <c r="L20"/>
  <c r="K20"/>
  <c r="J20"/>
  <c r="N20" i="11" s="1"/>
  <c r="I20" i="13"/>
  <c r="H20"/>
  <c r="G20"/>
  <c r="R19"/>
  <c r="Q19"/>
  <c r="P19"/>
  <c r="O19"/>
  <c r="N19"/>
  <c r="M19"/>
  <c r="L19"/>
  <c r="K19"/>
  <c r="J19"/>
  <c r="N19" i="11" s="1"/>
  <c r="I19" i="13"/>
  <c r="H19"/>
  <c r="G19"/>
  <c r="R18"/>
  <c r="Q18"/>
  <c r="P18"/>
  <c r="O18"/>
  <c r="N18"/>
  <c r="M18"/>
  <c r="L18"/>
  <c r="K18"/>
  <c r="J18"/>
  <c r="N18" i="11" s="1"/>
  <c r="I18" i="13"/>
  <c r="H18"/>
  <c r="G18"/>
  <c r="R17"/>
  <c r="Q17"/>
  <c r="P17"/>
  <c r="O17"/>
  <c r="N17"/>
  <c r="M17"/>
  <c r="L17"/>
  <c r="K17"/>
  <c r="J17"/>
  <c r="N17" i="11" s="1"/>
  <c r="I17" i="13"/>
  <c r="H17"/>
  <c r="G17"/>
  <c r="R16"/>
  <c r="Q16"/>
  <c r="P16"/>
  <c r="O16"/>
  <c r="N16"/>
  <c r="M16"/>
  <c r="L16"/>
  <c r="K16"/>
  <c r="J16"/>
  <c r="N16" i="11" s="1"/>
  <c r="I16" i="13"/>
  <c r="H16"/>
  <c r="G16"/>
  <c r="R15"/>
  <c r="Q15"/>
  <c r="P15"/>
  <c r="O15"/>
  <c r="N15"/>
  <c r="M15"/>
  <c r="L15"/>
  <c r="K15"/>
  <c r="J15"/>
  <c r="N15" i="11" s="1"/>
  <c r="I15" i="13"/>
  <c r="H15"/>
  <c r="G15"/>
  <c r="R14"/>
  <c r="Q14"/>
  <c r="P14"/>
  <c r="O14"/>
  <c r="N14"/>
  <c r="M14"/>
  <c r="L14"/>
  <c r="K14"/>
  <c r="J14"/>
  <c r="N14" i="11" s="1"/>
  <c r="I14" i="13"/>
  <c r="H14"/>
  <c r="G14"/>
  <c r="R13"/>
  <c r="Q13"/>
  <c r="P13"/>
  <c r="O13"/>
  <c r="N13"/>
  <c r="M13"/>
  <c r="L13"/>
  <c r="K13"/>
  <c r="J13"/>
  <c r="N13" i="11" s="1"/>
  <c r="I13" i="13"/>
  <c r="H13"/>
  <c r="G13"/>
  <c r="R12"/>
  <c r="Q12"/>
  <c r="P12"/>
  <c r="O12"/>
  <c r="N12"/>
  <c r="M12"/>
  <c r="L12"/>
  <c r="K12"/>
  <c r="J12"/>
  <c r="N12" i="11" s="1"/>
  <c r="I12" i="13"/>
  <c r="H12"/>
  <c r="G12"/>
  <c r="R5"/>
  <c r="Q5"/>
  <c r="P5"/>
  <c r="O5"/>
  <c r="N5"/>
  <c r="M5"/>
  <c r="L5"/>
  <c r="K5"/>
  <c r="J5"/>
  <c r="I5"/>
  <c r="H5"/>
  <c r="G5"/>
  <c r="G26" i="11" l="1"/>
  <c r="G27"/>
  <c r="G28"/>
  <c r="G32"/>
  <c r="G33"/>
  <c r="G34"/>
  <c r="G19"/>
  <c r="G21"/>
  <c r="G24"/>
  <c r="G13"/>
  <c r="G15"/>
  <c r="G17"/>
  <c r="G22"/>
  <c r="G25"/>
  <c r="G12"/>
  <c r="G14"/>
  <c r="G16"/>
  <c r="G18"/>
  <c r="G20"/>
  <c r="G23"/>
  <c r="G65"/>
  <c r="G35"/>
  <c r="G36"/>
  <c r="G37"/>
  <c r="G38"/>
  <c r="G39"/>
  <c r="G40"/>
  <c r="G41"/>
  <c r="G43"/>
  <c r="G44"/>
  <c r="G45"/>
  <c r="G46"/>
  <c r="G47"/>
  <c r="G48"/>
  <c r="G49"/>
  <c r="G50"/>
  <c r="G51"/>
  <c r="G52"/>
  <c r="G53"/>
  <c r="G54"/>
  <c r="G58"/>
  <c r="G59"/>
  <c r="G63"/>
  <c r="G64"/>
  <c r="H12"/>
  <c r="H41"/>
  <c r="K57" i="13"/>
  <c r="O57"/>
  <c r="H57"/>
  <c r="L57"/>
  <c r="P57"/>
  <c r="S58"/>
  <c r="T58" s="1"/>
  <c r="J57"/>
  <c r="N57" i="11" s="1"/>
  <c r="N57" i="13"/>
  <c r="R57"/>
  <c r="S62"/>
  <c r="T62" s="1"/>
  <c r="G42"/>
  <c r="K42"/>
  <c r="O42"/>
  <c r="I42"/>
  <c r="M42"/>
  <c r="Q42"/>
  <c r="S48"/>
  <c r="T48" s="1"/>
  <c r="S52"/>
  <c r="T52" s="1"/>
  <c r="R11"/>
  <c r="R10" s="1"/>
  <c r="P11"/>
  <c r="P10" s="1"/>
  <c r="H11"/>
  <c r="S14"/>
  <c r="T14" s="1"/>
  <c r="S18"/>
  <c r="T18" s="1"/>
  <c r="S22"/>
  <c r="T22" s="1"/>
  <c r="N11"/>
  <c r="N10" s="1"/>
  <c r="J31"/>
  <c r="N31" i="11" s="1"/>
  <c r="N31" i="13"/>
  <c r="R31"/>
  <c r="S35"/>
  <c r="T35" s="1"/>
  <c r="S39"/>
  <c r="T39" s="1"/>
  <c r="L11"/>
  <c r="L10" s="1"/>
  <c r="J11"/>
  <c r="S15"/>
  <c r="T15" s="1"/>
  <c r="S19"/>
  <c r="T19" s="1"/>
  <c r="S23"/>
  <c r="T23" s="1"/>
  <c r="S27"/>
  <c r="T27" s="1"/>
  <c r="G31"/>
  <c r="K31"/>
  <c r="O31"/>
  <c r="I31"/>
  <c r="M31"/>
  <c r="Q31"/>
  <c r="S36"/>
  <c r="T36" s="1"/>
  <c r="S40"/>
  <c r="T40" s="1"/>
  <c r="S45"/>
  <c r="T45" s="1"/>
  <c r="S49"/>
  <c r="T49" s="1"/>
  <c r="S53"/>
  <c r="T53" s="1"/>
  <c r="G57"/>
  <c r="S59"/>
  <c r="T59" s="1"/>
  <c r="S63"/>
  <c r="T63" s="1"/>
  <c r="O113"/>
  <c r="S26"/>
  <c r="T26" s="1"/>
  <c r="S12"/>
  <c r="T12" s="1"/>
  <c r="K11"/>
  <c r="K10" s="1"/>
  <c r="O11"/>
  <c r="O10" s="1"/>
  <c r="I11"/>
  <c r="M11"/>
  <c r="M10" s="1"/>
  <c r="Q11"/>
  <c r="Q10" s="1"/>
  <c r="S16"/>
  <c r="T16" s="1"/>
  <c r="S20"/>
  <c r="T20" s="1"/>
  <c r="S24"/>
  <c r="T24" s="1"/>
  <c r="S28"/>
  <c r="T28" s="1"/>
  <c r="S33"/>
  <c r="T33" s="1"/>
  <c r="S37"/>
  <c r="T37" s="1"/>
  <c r="S41"/>
  <c r="T41" s="1"/>
  <c r="J42"/>
  <c r="N42" i="11" s="1"/>
  <c r="N42" i="13"/>
  <c r="R42"/>
  <c r="H42"/>
  <c r="L42"/>
  <c r="P42"/>
  <c r="S46"/>
  <c r="T46" s="1"/>
  <c r="S50"/>
  <c r="T50" s="1"/>
  <c r="S54"/>
  <c r="T54" s="1"/>
  <c r="I57"/>
  <c r="M57"/>
  <c r="Q57"/>
  <c r="S13"/>
  <c r="T13" s="1"/>
  <c r="S17"/>
  <c r="T17" s="1"/>
  <c r="S21"/>
  <c r="T21" s="1"/>
  <c r="S25"/>
  <c r="T25" s="1"/>
  <c r="H31"/>
  <c r="L31"/>
  <c r="P31"/>
  <c r="S34"/>
  <c r="T34" s="1"/>
  <c r="S38"/>
  <c r="T38" s="1"/>
  <c r="S43"/>
  <c r="T43" s="1"/>
  <c r="S47"/>
  <c r="T47" s="1"/>
  <c r="S51"/>
  <c r="T51" s="1"/>
  <c r="H113"/>
  <c r="H43" i="11"/>
  <c r="S32" i="13"/>
  <c r="T32" s="1"/>
  <c r="S44"/>
  <c r="T44" s="1"/>
  <c r="S64"/>
  <c r="T64" s="1"/>
  <c r="H32" i="11"/>
  <c r="H34"/>
  <c r="H36"/>
  <c r="H38"/>
  <c r="H40"/>
  <c r="G11" i="13"/>
  <c r="H13" i="11"/>
  <c r="H14"/>
  <c r="H15"/>
  <c r="H16"/>
  <c r="H17"/>
  <c r="Q105" i="13"/>
  <c r="H18" i="11"/>
  <c r="H20"/>
  <c r="H21"/>
  <c r="H22"/>
  <c r="H23"/>
  <c r="H24"/>
  <c r="H25"/>
  <c r="H26"/>
  <c r="H27"/>
  <c r="H28"/>
  <c r="H33"/>
  <c r="H37"/>
  <c r="H39"/>
  <c r="S135" i="13"/>
  <c r="T135" s="1"/>
  <c r="S137"/>
  <c r="T137" s="1"/>
  <c r="H44" i="11"/>
  <c r="H45"/>
  <c r="H47"/>
  <c r="H51"/>
  <c r="R35" i="12"/>
  <c r="R19"/>
  <c r="J10" i="13" l="1"/>
  <c r="N10" i="11" s="1"/>
  <c r="N11"/>
  <c r="I10" i="13"/>
  <c r="G11" i="11"/>
  <c r="G57"/>
  <c r="G42"/>
  <c r="G31"/>
  <c r="H10" i="13"/>
  <c r="L29"/>
  <c r="L30" s="1"/>
  <c r="P29"/>
  <c r="P30" s="1"/>
  <c r="G29"/>
  <c r="O29"/>
  <c r="O30" s="1"/>
  <c r="N29"/>
  <c r="N55" s="1"/>
  <c r="N60" s="1"/>
  <c r="N65" s="1"/>
  <c r="N61" s="1"/>
  <c r="S146"/>
  <c r="T146" s="1"/>
  <c r="H52" i="11"/>
  <c r="S140" i="13"/>
  <c r="T140" s="1"/>
  <c r="H46" i="11"/>
  <c r="S129" i="13"/>
  <c r="T129" s="1"/>
  <c r="H35" i="11"/>
  <c r="J29" i="13"/>
  <c r="I29"/>
  <c r="S144"/>
  <c r="T144" s="1"/>
  <c r="H50" i="11"/>
  <c r="S31" i="13"/>
  <c r="T31" s="1"/>
  <c r="S42"/>
  <c r="T42" s="1"/>
  <c r="R29"/>
  <c r="R30" s="1"/>
  <c r="H29"/>
  <c r="H30" s="1"/>
  <c r="Q29"/>
  <c r="K29"/>
  <c r="M29"/>
  <c r="S57"/>
  <c r="T57" s="1"/>
  <c r="S139"/>
  <c r="T139" s="1"/>
  <c r="M113"/>
  <c r="S131"/>
  <c r="T131" s="1"/>
  <c r="S120"/>
  <c r="T120" s="1"/>
  <c r="S116"/>
  <c r="T116" s="1"/>
  <c r="Q113"/>
  <c r="Q104" s="1"/>
  <c r="S111"/>
  <c r="T111" s="1"/>
  <c r="P105"/>
  <c r="S108"/>
  <c r="T108" s="1"/>
  <c r="O105"/>
  <c r="O104" s="1"/>
  <c r="O125"/>
  <c r="N105"/>
  <c r="S145"/>
  <c r="T145" s="1"/>
  <c r="S141"/>
  <c r="T141" s="1"/>
  <c r="M125"/>
  <c r="G150"/>
  <c r="M105"/>
  <c r="S133"/>
  <c r="T133" s="1"/>
  <c r="S121"/>
  <c r="T121" s="1"/>
  <c r="S117"/>
  <c r="T117" s="1"/>
  <c r="L113"/>
  <c r="S112"/>
  <c r="T112" s="1"/>
  <c r="L105"/>
  <c r="I125"/>
  <c r="J113"/>
  <c r="S109"/>
  <c r="T109" s="1"/>
  <c r="K105"/>
  <c r="S132"/>
  <c r="T132" s="1"/>
  <c r="S128"/>
  <c r="T128" s="1"/>
  <c r="H125"/>
  <c r="J125"/>
  <c r="J105"/>
  <c r="I105"/>
  <c r="I104" s="1"/>
  <c r="S127"/>
  <c r="T127" s="1"/>
  <c r="S122"/>
  <c r="T122" s="1"/>
  <c r="S118"/>
  <c r="T118" s="1"/>
  <c r="S114"/>
  <c r="T114" s="1"/>
  <c r="G113"/>
  <c r="H105"/>
  <c r="H104" s="1"/>
  <c r="P113"/>
  <c r="N113"/>
  <c r="S110"/>
  <c r="T110" s="1"/>
  <c r="S106"/>
  <c r="T106" s="1"/>
  <c r="G105"/>
  <c r="Q125"/>
  <c r="L125"/>
  <c r="N125"/>
  <c r="S138"/>
  <c r="T138" s="1"/>
  <c r="G136"/>
  <c r="K125"/>
  <c r="S119"/>
  <c r="T119" s="1"/>
  <c r="S115"/>
  <c r="T115" s="1"/>
  <c r="K113"/>
  <c r="R113"/>
  <c r="S107"/>
  <c r="T107" s="1"/>
  <c r="G10"/>
  <c r="S11"/>
  <c r="T11" s="1"/>
  <c r="S134"/>
  <c r="T134" s="1"/>
  <c r="S130"/>
  <c r="T130" s="1"/>
  <c r="G125"/>
  <c r="S126"/>
  <c r="T126" s="1"/>
  <c r="P125"/>
  <c r="R125"/>
  <c r="R105"/>
  <c r="Q35" i="12"/>
  <c r="J30" i="13" l="1"/>
  <c r="N30" i="11" s="1"/>
  <c r="N29"/>
  <c r="G10"/>
  <c r="I30" i="13"/>
  <c r="G30"/>
  <c r="G29" i="11"/>
  <c r="G123" i="13"/>
  <c r="P55"/>
  <c r="P56" s="1"/>
  <c r="N30"/>
  <c r="L55"/>
  <c r="L60" s="1"/>
  <c r="L65" s="1"/>
  <c r="L61" s="1"/>
  <c r="H31" i="11"/>
  <c r="H19"/>
  <c r="H11"/>
  <c r="O55" i="13"/>
  <c r="J55"/>
  <c r="I55"/>
  <c r="S136"/>
  <c r="T136" s="1"/>
  <c r="H42" i="11"/>
  <c r="R55" i="13"/>
  <c r="R60" s="1"/>
  <c r="R65" s="1"/>
  <c r="R61" s="1"/>
  <c r="N56"/>
  <c r="H55"/>
  <c r="H60" s="1"/>
  <c r="H65" s="1"/>
  <c r="H61" s="1"/>
  <c r="S29"/>
  <c r="T29" s="1"/>
  <c r="K30"/>
  <c r="K55"/>
  <c r="Q30"/>
  <c r="Q55"/>
  <c r="M104"/>
  <c r="M30"/>
  <c r="M55"/>
  <c r="L104"/>
  <c r="R104"/>
  <c r="J104"/>
  <c r="S125"/>
  <c r="T125" s="1"/>
  <c r="K104"/>
  <c r="S105"/>
  <c r="T105" s="1"/>
  <c r="G104"/>
  <c r="N104"/>
  <c r="P104"/>
  <c r="S10"/>
  <c r="T10" s="1"/>
  <c r="G55"/>
  <c r="S113"/>
  <c r="T113" s="1"/>
  <c r="Q19" i="12"/>
  <c r="J60" i="13" l="1"/>
  <c r="N61" i="11" s="1"/>
  <c r="N55"/>
  <c r="G30"/>
  <c r="I56" i="13"/>
  <c r="H10" i="11"/>
  <c r="G55"/>
  <c r="P60" i="13"/>
  <c r="P65" s="1"/>
  <c r="P61" s="1"/>
  <c r="L56"/>
  <c r="O60"/>
  <c r="O65" s="1"/>
  <c r="O61" s="1"/>
  <c r="O56"/>
  <c r="J56"/>
  <c r="N56" i="11" s="1"/>
  <c r="I60" i="13"/>
  <c r="R56"/>
  <c r="H56"/>
  <c r="S30"/>
  <c r="T30" s="1"/>
  <c r="Q56"/>
  <c r="Q60"/>
  <c r="Q65" s="1"/>
  <c r="Q61" s="1"/>
  <c r="K60"/>
  <c r="K65" s="1"/>
  <c r="K61" s="1"/>
  <c r="K56"/>
  <c r="M60"/>
  <c r="M65" s="1"/>
  <c r="M61" s="1"/>
  <c r="M56"/>
  <c r="G124"/>
  <c r="G148"/>
  <c r="S104"/>
  <c r="T104" s="1"/>
  <c r="S55"/>
  <c r="T55" s="1"/>
  <c r="G60"/>
  <c r="G56"/>
  <c r="P63" i="12"/>
  <c r="P19"/>
  <c r="P35"/>
  <c r="J65" i="13" l="1"/>
  <c r="N66" i="11" s="1"/>
  <c r="I65" i="13"/>
  <c r="G61" i="11"/>
  <c r="G56"/>
  <c r="S56" i="13"/>
  <c r="T56" s="1"/>
  <c r="G154"/>
  <c r="G149"/>
  <c r="G65"/>
  <c r="S60"/>
  <c r="T60" s="1"/>
  <c r="O37" i="12"/>
  <c r="O35"/>
  <c r="O19"/>
  <c r="N35"/>
  <c r="M35"/>
  <c r="M33"/>
  <c r="G62"/>
  <c r="L48"/>
  <c r="L35"/>
  <c r="G94" i="2"/>
  <c r="K35" i="12"/>
  <c r="G146" i="2"/>
  <c r="CY41" i="6"/>
  <c r="J35" i="12"/>
  <c r="G40"/>
  <c r="H35"/>
  <c r="I35"/>
  <c r="G242" i="2"/>
  <c r="G147" i="12"/>
  <c r="DW393" i="6"/>
  <c r="DX393"/>
  <c r="DY393"/>
  <c r="DZ393"/>
  <c r="EA393"/>
  <c r="EB393"/>
  <c r="EC393"/>
  <c r="ED393"/>
  <c r="EE393"/>
  <c r="EF393"/>
  <c r="EG393"/>
  <c r="DV393"/>
  <c r="A153" i="12"/>
  <c r="DW271" i="6"/>
  <c r="DW270" s="1"/>
  <c r="DX271"/>
  <c r="DX270" s="1"/>
  <c r="DY271"/>
  <c r="DY270" s="1"/>
  <c r="DZ271"/>
  <c r="DZ270" s="1"/>
  <c r="EA271"/>
  <c r="EA270" s="1"/>
  <c r="EB271"/>
  <c r="EB270" s="1"/>
  <c r="EC271"/>
  <c r="EC270" s="1"/>
  <c r="ED271"/>
  <c r="ED270" s="1"/>
  <c r="EE271"/>
  <c r="EE270" s="1"/>
  <c r="EF271"/>
  <c r="EF270" s="1"/>
  <c r="EG271"/>
  <c r="EG270" s="1"/>
  <c r="DV271"/>
  <c r="DV270" s="1"/>
  <c r="DW267"/>
  <c r="DX267"/>
  <c r="DY267"/>
  <c r="DZ267"/>
  <c r="EA267"/>
  <c r="EB267"/>
  <c r="EC267"/>
  <c r="ED267"/>
  <c r="EE267"/>
  <c r="EF267"/>
  <c r="DV267"/>
  <c r="DW251"/>
  <c r="DX251"/>
  <c r="DY251"/>
  <c r="DZ251"/>
  <c r="EA251"/>
  <c r="EB251"/>
  <c r="EC251"/>
  <c r="ED251"/>
  <c r="EE251"/>
  <c r="EF251"/>
  <c r="EG251"/>
  <c r="DV251"/>
  <c r="DW241"/>
  <c r="DX241"/>
  <c r="DY241"/>
  <c r="DZ241"/>
  <c r="EA241"/>
  <c r="EB241"/>
  <c r="EC241"/>
  <c r="ED241"/>
  <c r="EE241"/>
  <c r="EF241"/>
  <c r="EG241"/>
  <c r="DV241"/>
  <c r="DW234"/>
  <c r="DX234"/>
  <c r="DY234"/>
  <c r="DZ234"/>
  <c r="EA234"/>
  <c r="EB234"/>
  <c r="EC234"/>
  <c r="ED234"/>
  <c r="EE234"/>
  <c r="EF234"/>
  <c r="EG234"/>
  <c r="DV234"/>
  <c r="DW229"/>
  <c r="DX229"/>
  <c r="DY229"/>
  <c r="DZ229"/>
  <c r="EA229"/>
  <c r="EB229"/>
  <c r="EC229"/>
  <c r="ED229"/>
  <c r="EE229"/>
  <c r="EF229"/>
  <c r="EG229"/>
  <c r="DV229"/>
  <c r="DW220"/>
  <c r="DW219" s="1"/>
  <c r="DX220"/>
  <c r="DX219" s="1"/>
  <c r="DX218" s="1"/>
  <c r="DY220"/>
  <c r="DY219" s="1"/>
  <c r="DY218" s="1"/>
  <c r="DZ220"/>
  <c r="DZ219" s="1"/>
  <c r="EA220"/>
  <c r="EA219" s="1"/>
  <c r="EB220"/>
  <c r="EB219" s="1"/>
  <c r="EB218" s="1"/>
  <c r="EC220"/>
  <c r="EC219" s="1"/>
  <c r="EC218" s="1"/>
  <c r="ED220"/>
  <c r="ED219" s="1"/>
  <c r="EE220"/>
  <c r="EE219" s="1"/>
  <c r="EF220"/>
  <c r="EF219" s="1"/>
  <c r="EF218" s="1"/>
  <c r="EG220"/>
  <c r="EG219" s="1"/>
  <c r="EG218" s="1"/>
  <c r="DV220"/>
  <c r="DV219" s="1"/>
  <c r="DV218" s="1"/>
  <c r="J49" i="12"/>
  <c r="K49"/>
  <c r="L49"/>
  <c r="M49"/>
  <c r="N49"/>
  <c r="O49"/>
  <c r="P49"/>
  <c r="Q49"/>
  <c r="R49"/>
  <c r="A159"/>
  <c r="A158"/>
  <c r="A157"/>
  <c r="A156"/>
  <c r="A155"/>
  <c r="A154"/>
  <c r="A152"/>
  <c r="A151"/>
  <c r="A150"/>
  <c r="A149"/>
  <c r="A148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R63"/>
  <c r="Q63"/>
  <c r="O63"/>
  <c r="N63"/>
  <c r="M63"/>
  <c r="L63"/>
  <c r="K63"/>
  <c r="J63"/>
  <c r="R62"/>
  <c r="Q62"/>
  <c r="P62"/>
  <c r="O62"/>
  <c r="N62"/>
  <c r="M62"/>
  <c r="L62"/>
  <c r="K62"/>
  <c r="J62"/>
  <c r="R59"/>
  <c r="Q59"/>
  <c r="P59"/>
  <c r="O59"/>
  <c r="N59"/>
  <c r="M59"/>
  <c r="L59"/>
  <c r="K59"/>
  <c r="J59"/>
  <c r="R58"/>
  <c r="Q58"/>
  <c r="P58"/>
  <c r="O58"/>
  <c r="N58"/>
  <c r="M58"/>
  <c r="L58"/>
  <c r="K58"/>
  <c r="J58"/>
  <c r="R54"/>
  <c r="Q54"/>
  <c r="P54"/>
  <c r="O54"/>
  <c r="N54"/>
  <c r="M54"/>
  <c r="L54"/>
  <c r="K54"/>
  <c r="J54"/>
  <c r="I54"/>
  <c r="H54"/>
  <c r="G54"/>
  <c r="R53"/>
  <c r="Q53"/>
  <c r="P53"/>
  <c r="O53"/>
  <c r="N53"/>
  <c r="M53"/>
  <c r="L53"/>
  <c r="K53"/>
  <c r="J53"/>
  <c r="R52"/>
  <c r="Q52"/>
  <c r="P52"/>
  <c r="O52"/>
  <c r="N52"/>
  <c r="M52"/>
  <c r="L52"/>
  <c r="K52"/>
  <c r="J52"/>
  <c r="R51"/>
  <c r="Q51"/>
  <c r="P51"/>
  <c r="O51"/>
  <c r="N51"/>
  <c r="M51"/>
  <c r="L51"/>
  <c r="K51"/>
  <c r="J51"/>
  <c r="R50"/>
  <c r="Q50"/>
  <c r="P50"/>
  <c r="O50"/>
  <c r="N50"/>
  <c r="M50"/>
  <c r="L50"/>
  <c r="K50"/>
  <c r="J50"/>
  <c r="R48"/>
  <c r="Q48"/>
  <c r="P48"/>
  <c r="O48"/>
  <c r="N48"/>
  <c r="M48"/>
  <c r="K48"/>
  <c r="J48"/>
  <c r="R47"/>
  <c r="Q47"/>
  <c r="P47"/>
  <c r="O47"/>
  <c r="N47"/>
  <c r="M47"/>
  <c r="L47"/>
  <c r="K47"/>
  <c r="J47"/>
  <c r="R46"/>
  <c r="Q46"/>
  <c r="P46"/>
  <c r="O46"/>
  <c r="N46"/>
  <c r="M46"/>
  <c r="L46"/>
  <c r="K46"/>
  <c r="J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R43"/>
  <c r="Q43"/>
  <c r="P43"/>
  <c r="O43"/>
  <c r="N43"/>
  <c r="M43"/>
  <c r="L43"/>
  <c r="K43"/>
  <c r="J43"/>
  <c r="R41"/>
  <c r="Q41"/>
  <c r="P41"/>
  <c r="O41"/>
  <c r="N41"/>
  <c r="M41"/>
  <c r="L41"/>
  <c r="K41"/>
  <c r="J41"/>
  <c r="R40"/>
  <c r="Q40"/>
  <c r="P40"/>
  <c r="O40"/>
  <c r="N40"/>
  <c r="M40"/>
  <c r="L40"/>
  <c r="K40"/>
  <c r="J40"/>
  <c r="R39"/>
  <c r="Q39"/>
  <c r="P39"/>
  <c r="O39"/>
  <c r="N39"/>
  <c r="M39"/>
  <c r="L39"/>
  <c r="K39"/>
  <c r="J39"/>
  <c r="R38"/>
  <c r="Q38"/>
  <c r="P38"/>
  <c r="O38"/>
  <c r="N38"/>
  <c r="M38"/>
  <c r="L38"/>
  <c r="K38"/>
  <c r="J38"/>
  <c r="R37"/>
  <c r="Q37"/>
  <c r="P37"/>
  <c r="N37"/>
  <c r="M37"/>
  <c r="L37"/>
  <c r="K37"/>
  <c r="J37"/>
  <c r="R36"/>
  <c r="Q36"/>
  <c r="P36"/>
  <c r="O36"/>
  <c r="N36"/>
  <c r="M36"/>
  <c r="L36"/>
  <c r="K36"/>
  <c r="J36"/>
  <c r="R34"/>
  <c r="Q34"/>
  <c r="P34"/>
  <c r="O34"/>
  <c r="N34"/>
  <c r="M34"/>
  <c r="L34"/>
  <c r="K34"/>
  <c r="J34"/>
  <c r="R33"/>
  <c r="Q33"/>
  <c r="P33"/>
  <c r="O33"/>
  <c r="N33"/>
  <c r="L33"/>
  <c r="K33"/>
  <c r="J33"/>
  <c r="R32"/>
  <c r="Q32"/>
  <c r="P32"/>
  <c r="O32"/>
  <c r="N32"/>
  <c r="M32"/>
  <c r="L32"/>
  <c r="K32"/>
  <c r="J32"/>
  <c r="I32"/>
  <c r="H32"/>
  <c r="G32"/>
  <c r="R28"/>
  <c r="Q28"/>
  <c r="P28"/>
  <c r="O28"/>
  <c r="N28"/>
  <c r="M28"/>
  <c r="L28"/>
  <c r="K28"/>
  <c r="J28"/>
  <c r="R27"/>
  <c r="Q27"/>
  <c r="P27"/>
  <c r="O27"/>
  <c r="N27"/>
  <c r="M27"/>
  <c r="L27"/>
  <c r="K27"/>
  <c r="J27"/>
  <c r="R26"/>
  <c r="Q26"/>
  <c r="P26"/>
  <c r="O26"/>
  <c r="N26"/>
  <c r="M26"/>
  <c r="L26"/>
  <c r="K26"/>
  <c r="J26"/>
  <c r="R25"/>
  <c r="Q25"/>
  <c r="P25"/>
  <c r="O25"/>
  <c r="N25"/>
  <c r="M25"/>
  <c r="L25"/>
  <c r="K25"/>
  <c r="J25"/>
  <c r="R24"/>
  <c r="Q24"/>
  <c r="P24"/>
  <c r="O24"/>
  <c r="N24"/>
  <c r="M24"/>
  <c r="L24"/>
  <c r="K24"/>
  <c r="J24"/>
  <c r="R23"/>
  <c r="Q23"/>
  <c r="P23"/>
  <c r="O23"/>
  <c r="N23"/>
  <c r="M23"/>
  <c r="L23"/>
  <c r="K23"/>
  <c r="J23"/>
  <c r="R22"/>
  <c r="Q22"/>
  <c r="P22"/>
  <c r="O22"/>
  <c r="N22"/>
  <c r="M22"/>
  <c r="L22"/>
  <c r="K22"/>
  <c r="J22"/>
  <c r="R21"/>
  <c r="Q21"/>
  <c r="P21"/>
  <c r="O21"/>
  <c r="N21"/>
  <c r="M21"/>
  <c r="L21"/>
  <c r="K21"/>
  <c r="J21"/>
  <c r="R20"/>
  <c r="Q20"/>
  <c r="P20"/>
  <c r="O20"/>
  <c r="N20"/>
  <c r="M20"/>
  <c r="L20"/>
  <c r="K20"/>
  <c r="J20"/>
  <c r="N19"/>
  <c r="M19"/>
  <c r="L19"/>
  <c r="K19"/>
  <c r="J19"/>
  <c r="R18"/>
  <c r="Q18"/>
  <c r="P18"/>
  <c r="O18"/>
  <c r="N18"/>
  <c r="M18"/>
  <c r="L18"/>
  <c r="K18"/>
  <c r="J18"/>
  <c r="R17"/>
  <c r="Q17"/>
  <c r="P17"/>
  <c r="O17"/>
  <c r="N17"/>
  <c r="M17"/>
  <c r="L17"/>
  <c r="K17"/>
  <c r="J17"/>
  <c r="R16"/>
  <c r="Q16"/>
  <c r="P16"/>
  <c r="O16"/>
  <c r="N16"/>
  <c r="M16"/>
  <c r="L16"/>
  <c r="K16"/>
  <c r="J16"/>
  <c r="R15"/>
  <c r="Q15"/>
  <c r="P15"/>
  <c r="O15"/>
  <c r="N15"/>
  <c r="M15"/>
  <c r="L15"/>
  <c r="K15"/>
  <c r="J15"/>
  <c r="R14"/>
  <c r="Q14"/>
  <c r="P14"/>
  <c r="O14"/>
  <c r="N14"/>
  <c r="M14"/>
  <c r="L14"/>
  <c r="K14"/>
  <c r="J14"/>
  <c r="R13"/>
  <c r="Q13"/>
  <c r="P13"/>
  <c r="O13"/>
  <c r="N13"/>
  <c r="M13"/>
  <c r="L13"/>
  <c r="K13"/>
  <c r="J13"/>
  <c r="R12"/>
  <c r="Q12"/>
  <c r="P12"/>
  <c r="O12"/>
  <c r="N12"/>
  <c r="M12"/>
  <c r="L12"/>
  <c r="K12"/>
  <c r="J12"/>
  <c r="R5"/>
  <c r="Q5"/>
  <c r="P5"/>
  <c r="O5"/>
  <c r="N5"/>
  <c r="M5"/>
  <c r="L5"/>
  <c r="K5"/>
  <c r="J5"/>
  <c r="I5"/>
  <c r="H5"/>
  <c r="G5"/>
  <c r="H61" i="4"/>
  <c r="I61"/>
  <c r="J61"/>
  <c r="K61"/>
  <c r="L61"/>
  <c r="M61"/>
  <c r="N61"/>
  <c r="O61"/>
  <c r="P61"/>
  <c r="Q61"/>
  <c r="R61"/>
  <c r="G61"/>
  <c r="R43"/>
  <c r="R44"/>
  <c r="R45"/>
  <c r="R46"/>
  <c r="R47"/>
  <c r="G19"/>
  <c r="G43"/>
  <c r="G44"/>
  <c r="G45"/>
  <c r="G46"/>
  <c r="G47"/>
  <c r="H19"/>
  <c r="H43"/>
  <c r="H44"/>
  <c r="H45"/>
  <c r="H46"/>
  <c r="H47"/>
  <c r="I19"/>
  <c r="I43"/>
  <c r="I44"/>
  <c r="I45"/>
  <c r="I46"/>
  <c r="I47"/>
  <c r="J19"/>
  <c r="J43"/>
  <c r="J44"/>
  <c r="J45"/>
  <c r="J46"/>
  <c r="J47"/>
  <c r="K19"/>
  <c r="K43"/>
  <c r="K44"/>
  <c r="K45"/>
  <c r="K46"/>
  <c r="K47"/>
  <c r="L19"/>
  <c r="L43"/>
  <c r="L44"/>
  <c r="L45"/>
  <c r="L46"/>
  <c r="L47"/>
  <c r="M19"/>
  <c r="M43"/>
  <c r="M44"/>
  <c r="M45"/>
  <c r="M46"/>
  <c r="M47"/>
  <c r="N19"/>
  <c r="N43"/>
  <c r="N44"/>
  <c r="N45"/>
  <c r="N46"/>
  <c r="N47"/>
  <c r="O19"/>
  <c r="O10" s="1"/>
  <c r="DF192" i="6" s="1"/>
  <c r="O43" i="4"/>
  <c r="O44"/>
  <c r="O45"/>
  <c r="O46"/>
  <c r="O47"/>
  <c r="P19"/>
  <c r="P43"/>
  <c r="P44"/>
  <c r="P45"/>
  <c r="P46"/>
  <c r="P47"/>
  <c r="Q19"/>
  <c r="Q10" s="1"/>
  <c r="DH192" i="6" s="1"/>
  <c r="Q43" i="4"/>
  <c r="Q44"/>
  <c r="Q45"/>
  <c r="Q46"/>
  <c r="Q47"/>
  <c r="R19"/>
  <c r="G11"/>
  <c r="G31"/>
  <c r="G57"/>
  <c r="H11"/>
  <c r="H31"/>
  <c r="H57"/>
  <c r="I11"/>
  <c r="I31"/>
  <c r="I57"/>
  <c r="J11"/>
  <c r="J31"/>
  <c r="J57"/>
  <c r="K11"/>
  <c r="K31"/>
  <c r="K57"/>
  <c r="L11"/>
  <c r="L31"/>
  <c r="L57"/>
  <c r="M11"/>
  <c r="M31"/>
  <c r="M57"/>
  <c r="N11"/>
  <c r="N31"/>
  <c r="N57"/>
  <c r="O11"/>
  <c r="O31"/>
  <c r="O57"/>
  <c r="P11"/>
  <c r="P31"/>
  <c r="P57"/>
  <c r="Q11"/>
  <c r="Q31"/>
  <c r="Q57"/>
  <c r="R11"/>
  <c r="R31"/>
  <c r="R57"/>
  <c r="O35" i="10"/>
  <c r="N35"/>
  <c r="M35"/>
  <c r="L35"/>
  <c r="K35"/>
  <c r="J35"/>
  <c r="I35"/>
  <c r="I36"/>
  <c r="H35"/>
  <c r="DS241" i="6"/>
  <c r="DU241"/>
  <c r="DR241"/>
  <c r="DT241"/>
  <c r="N6" i="11"/>
  <c r="M12" i="10"/>
  <c r="M13"/>
  <c r="M14"/>
  <c r="M15"/>
  <c r="M16"/>
  <c r="M17"/>
  <c r="M18"/>
  <c r="M19"/>
  <c r="M24"/>
  <c r="M25"/>
  <c r="M26"/>
  <c r="M27"/>
  <c r="M28"/>
  <c r="M32"/>
  <c r="M33"/>
  <c r="M34"/>
  <c r="M36"/>
  <c r="M37"/>
  <c r="M38"/>
  <c r="M39"/>
  <c r="M40"/>
  <c r="M41"/>
  <c r="M43"/>
  <c r="M44"/>
  <c r="M45"/>
  <c r="M46"/>
  <c r="M47"/>
  <c r="M48"/>
  <c r="M50"/>
  <c r="M51"/>
  <c r="M52"/>
  <c r="M53"/>
  <c r="N12"/>
  <c r="N13"/>
  <c r="N14"/>
  <c r="N15"/>
  <c r="N16"/>
  <c r="N17"/>
  <c r="N18"/>
  <c r="N19"/>
  <c r="N24"/>
  <c r="N25"/>
  <c r="N26"/>
  <c r="N27"/>
  <c r="N28"/>
  <c r="N32"/>
  <c r="N33"/>
  <c r="N34"/>
  <c r="N36"/>
  <c r="N37"/>
  <c r="N38"/>
  <c r="N39"/>
  <c r="N40"/>
  <c r="N41"/>
  <c r="N43"/>
  <c r="N44"/>
  <c r="N45"/>
  <c r="N46"/>
  <c r="N47"/>
  <c r="N48"/>
  <c r="N50"/>
  <c r="N51"/>
  <c r="N52"/>
  <c r="N53"/>
  <c r="G279" i="2"/>
  <c r="G277"/>
  <c r="G275"/>
  <c r="G266"/>
  <c r="G265"/>
  <c r="G260"/>
  <c r="G258"/>
  <c r="G256"/>
  <c r="G255"/>
  <c r="G250"/>
  <c r="B101" i="13" s="1"/>
  <c r="G249" i="2"/>
  <c r="B7" i="13" s="1"/>
  <c r="G246" i="2"/>
  <c r="S7" i="13" s="1"/>
  <c r="S101" s="1"/>
  <c r="G240" i="2"/>
  <c r="R8" i="13" s="1"/>
  <c r="R102" s="1"/>
  <c r="G239" i="2"/>
  <c r="Q8" i="13" s="1"/>
  <c r="Q102" s="1"/>
  <c r="G238" i="2"/>
  <c r="P8" i="13" s="1"/>
  <c r="P102" s="1"/>
  <c r="G237" i="2"/>
  <c r="O8" i="13" s="1"/>
  <c r="O102" s="1"/>
  <c r="G236" i="2"/>
  <c r="N8" i="13" s="1"/>
  <c r="N102" s="1"/>
  <c r="G235" i="2"/>
  <c r="M8" i="13" s="1"/>
  <c r="M102" s="1"/>
  <c r="G234" i="2"/>
  <c r="L8" i="13" s="1"/>
  <c r="L102" s="1"/>
  <c r="G233" i="2"/>
  <c r="K8" i="13" s="1"/>
  <c r="K102" s="1"/>
  <c r="G232" i="2"/>
  <c r="J8" i="13" s="1"/>
  <c r="J102" s="1"/>
  <c r="G231" i="2"/>
  <c r="I8" i="13" s="1"/>
  <c r="I102" s="1"/>
  <c r="G230" i="2"/>
  <c r="H8" i="13" s="1"/>
  <c r="H102" s="1"/>
  <c r="G229" i="2"/>
  <c r="G8" i="13" s="1"/>
  <c r="G102" s="1"/>
  <c r="G228" i="2"/>
  <c r="G227"/>
  <c r="G225"/>
  <c r="B54" i="13" s="1"/>
  <c r="G223" i="2"/>
  <c r="B65" i="12" s="1"/>
  <c r="G222" i="2"/>
  <c r="G221"/>
  <c r="B61" i="12" s="1"/>
  <c r="G220" i="2"/>
  <c r="B60" i="12" s="1"/>
  <c r="G219" i="2"/>
  <c r="G218"/>
  <c r="B56" i="12" s="1"/>
  <c r="G217" i="2"/>
  <c r="B55" i="12" s="1"/>
  <c r="G215" i="2"/>
  <c r="G214"/>
  <c r="G213"/>
  <c r="G212"/>
  <c r="B51" i="12" s="1"/>
  <c r="G211" i="2"/>
  <c r="B153" i="12" s="1"/>
  <c r="G210" i="2"/>
  <c r="G209"/>
  <c r="G208"/>
  <c r="B52" i="12" s="1"/>
  <c r="G207" i="2"/>
  <c r="B59" i="12" s="1"/>
  <c r="G206" i="2"/>
  <c r="B58" i="12" s="1"/>
  <c r="G205" i="2"/>
  <c r="G204"/>
  <c r="B57" i="12" s="1"/>
  <c r="G203" i="2"/>
  <c r="G202"/>
  <c r="G201"/>
  <c r="G200"/>
  <c r="G199"/>
  <c r="G198"/>
  <c r="B50" i="12" s="1"/>
  <c r="G197" i="2"/>
  <c r="G196"/>
  <c r="G195"/>
  <c r="G194"/>
  <c r="G193"/>
  <c r="G192"/>
  <c r="G191"/>
  <c r="G190"/>
  <c r="G189"/>
  <c r="G188"/>
  <c r="G187"/>
  <c r="G186"/>
  <c r="B41" i="12" s="1"/>
  <c r="G185" i="2"/>
  <c r="B49" i="12" s="1"/>
  <c r="G184" i="2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B48" i="12" s="1"/>
  <c r="G166" i="2"/>
  <c r="G165"/>
  <c r="G164"/>
  <c r="G163"/>
  <c r="B47" i="12" s="1"/>
  <c r="G162" i="2"/>
  <c r="G161"/>
  <c r="B46" i="12" s="1"/>
  <c r="G160" i="2"/>
  <c r="G159"/>
  <c r="G158"/>
  <c r="G157"/>
  <c r="G156"/>
  <c r="G155"/>
  <c r="G154"/>
  <c r="G153"/>
  <c r="B45" i="12" s="1"/>
  <c r="G152" i="2"/>
  <c r="G151"/>
  <c r="G150"/>
  <c r="G149"/>
  <c r="G148"/>
  <c r="G147"/>
  <c r="B44" i="12" s="1"/>
  <c r="G145" i="2"/>
  <c r="G144"/>
  <c r="G143"/>
  <c r="G142"/>
  <c r="G141"/>
  <c r="G140"/>
  <c r="G139"/>
  <c r="G138"/>
  <c r="B43" i="12" s="1"/>
  <c r="G137" i="2"/>
  <c r="B42" i="12" s="1"/>
  <c r="G136" i="2"/>
  <c r="G135"/>
  <c r="G134"/>
  <c r="G133"/>
  <c r="G132"/>
  <c r="G131"/>
  <c r="G130"/>
  <c r="G129"/>
  <c r="G128"/>
  <c r="G127"/>
  <c r="B40" i="12" s="1"/>
  <c r="G126" i="2"/>
  <c r="G125"/>
  <c r="G124"/>
  <c r="G123"/>
  <c r="B39" i="12" s="1"/>
  <c r="G122" i="2"/>
  <c r="G121"/>
  <c r="G120"/>
  <c r="G119"/>
  <c r="B38" i="12" s="1"/>
  <c r="G118" i="2"/>
  <c r="G117"/>
  <c r="G116"/>
  <c r="B37" i="12" s="1"/>
  <c r="G115" i="2"/>
  <c r="G114"/>
  <c r="G113"/>
  <c r="G112"/>
  <c r="B36" i="12" s="1"/>
  <c r="G111" i="2"/>
  <c r="G110"/>
  <c r="G109"/>
  <c r="G108"/>
  <c r="G107"/>
  <c r="G106"/>
  <c r="G105"/>
  <c r="G104"/>
  <c r="G103"/>
  <c r="G102"/>
  <c r="B35" i="12" s="1"/>
  <c r="G101" i="2"/>
  <c r="G100"/>
  <c r="G99"/>
  <c r="G98"/>
  <c r="G97"/>
  <c r="G96"/>
  <c r="G95"/>
  <c r="B34" i="12" s="1"/>
  <c r="G93" i="2"/>
  <c r="G92"/>
  <c r="G91"/>
  <c r="G90"/>
  <c r="G89"/>
  <c r="G88"/>
  <c r="G87"/>
  <c r="G86"/>
  <c r="B33" i="12" s="1"/>
  <c r="G85" i="2"/>
  <c r="G84"/>
  <c r="G83"/>
  <c r="G82"/>
  <c r="G81"/>
  <c r="G80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/>
  <c r="G72"/>
  <c r="G71"/>
  <c r="G70"/>
  <c r="B28" i="12" s="1"/>
  <c r="G69" i="2"/>
  <c r="G68"/>
  <c r="G67"/>
  <c r="B27" i="12" s="1"/>
  <c r="G66" i="2"/>
  <c r="G65"/>
  <c r="G64"/>
  <c r="B64" i="12" s="1"/>
  <c r="G63" i="2"/>
  <c r="G62"/>
  <c r="G61"/>
  <c r="G60"/>
  <c r="G59"/>
  <c r="G58"/>
  <c r="B26" i="12" s="1"/>
  <c r="G57" i="2"/>
  <c r="G56"/>
  <c r="G55"/>
  <c r="G54"/>
  <c r="G53"/>
  <c r="G52"/>
  <c r="G51"/>
  <c r="G50"/>
  <c r="G49"/>
  <c r="G48"/>
  <c r="B25" i="12" s="1"/>
  <c r="G47" i="2"/>
  <c r="G46"/>
  <c r="G45"/>
  <c r="G44"/>
  <c r="G43"/>
  <c r="G42"/>
  <c r="G41"/>
  <c r="B24" i="12" s="1"/>
  <c r="G40" i="2"/>
  <c r="B23" i="12" s="1"/>
  <c r="G39" i="2"/>
  <c r="B22" i="12" s="1"/>
  <c r="G38" i="2"/>
  <c r="G37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/>
  <c r="B10" i="12" s="1"/>
  <c r="G24" i="2"/>
  <c r="G23"/>
  <c r="G22"/>
  <c r="G21"/>
  <c r="G20"/>
  <c r="H8" i="3" s="1"/>
  <c r="O8" s="1"/>
  <c r="G19" i="2"/>
  <c r="G18"/>
  <c r="G15"/>
  <c r="G14"/>
  <c r="G13"/>
  <c r="G12"/>
  <c r="G10"/>
  <c r="G9"/>
  <c r="G8"/>
  <c r="E4" i="4" s="1"/>
  <c r="G7" i="2"/>
  <c r="E3" i="3" s="1"/>
  <c r="G6" i="2"/>
  <c r="G5"/>
  <c r="G3"/>
  <c r="D404" i="6"/>
  <c r="D403"/>
  <c r="D402"/>
  <c r="DU401"/>
  <c r="DT401"/>
  <c r="DS401"/>
  <c r="DR401"/>
  <c r="DQ401"/>
  <c r="DP401"/>
  <c r="DO401"/>
  <c r="DN401"/>
  <c r="DM401"/>
  <c r="DL401"/>
  <c r="DK401"/>
  <c r="DJ401"/>
  <c r="DI401"/>
  <c r="DH401"/>
  <c r="DG401"/>
  <c r="DF401"/>
  <c r="DE401"/>
  <c r="DD401"/>
  <c r="DC401"/>
  <c r="DB401"/>
  <c r="DA401"/>
  <c r="CZ401"/>
  <c r="CY401"/>
  <c r="CX401"/>
  <c r="CW401"/>
  <c r="CV401"/>
  <c r="CU401"/>
  <c r="CT401"/>
  <c r="CS401"/>
  <c r="CR401"/>
  <c r="CQ401"/>
  <c r="CP401"/>
  <c r="CO401"/>
  <c r="CN401"/>
  <c r="CM401"/>
  <c r="CL401"/>
  <c r="D401"/>
  <c r="D400"/>
  <c r="D399"/>
  <c r="D398"/>
  <c r="DU397"/>
  <c r="DT397"/>
  <c r="DS397"/>
  <c r="DR397"/>
  <c r="DQ397"/>
  <c r="DP397"/>
  <c r="DO397"/>
  <c r="DN397"/>
  <c r="DM397"/>
  <c r="DL397"/>
  <c r="DK397"/>
  <c r="DJ397"/>
  <c r="DI397"/>
  <c r="DH397"/>
  <c r="DG397"/>
  <c r="DF397"/>
  <c r="DE397"/>
  <c r="DD397"/>
  <c r="DC397"/>
  <c r="DB397"/>
  <c r="DA397"/>
  <c r="CZ397"/>
  <c r="CY397"/>
  <c r="CX397"/>
  <c r="CW397"/>
  <c r="CV397"/>
  <c r="CU397"/>
  <c r="CT397"/>
  <c r="CS397"/>
  <c r="CS394"/>
  <c r="CR397"/>
  <c r="CQ397"/>
  <c r="CP397"/>
  <c r="CO397"/>
  <c r="CO394"/>
  <c r="CO393" s="1"/>
  <c r="CN397"/>
  <c r="CM397"/>
  <c r="CM393" s="1"/>
  <c r="CL397"/>
  <c r="D397"/>
  <c r="D396"/>
  <c r="D395"/>
  <c r="DU394"/>
  <c r="DT394"/>
  <c r="DS394"/>
  <c r="DR394"/>
  <c r="DQ394"/>
  <c r="DP394"/>
  <c r="DO394"/>
  <c r="DN394"/>
  <c r="DM394"/>
  <c r="DL394"/>
  <c r="DK394"/>
  <c r="DJ394"/>
  <c r="DI394"/>
  <c r="DH394"/>
  <c r="DG394"/>
  <c r="DF394"/>
  <c r="DE394"/>
  <c r="DD394"/>
  <c r="DC394"/>
  <c r="DB394"/>
  <c r="DA394"/>
  <c r="CZ394"/>
  <c r="CY394"/>
  <c r="CX394"/>
  <c r="CW394"/>
  <c r="CV394"/>
  <c r="CU394"/>
  <c r="CT394"/>
  <c r="CR394"/>
  <c r="CQ394"/>
  <c r="CP394"/>
  <c r="CN394"/>
  <c r="CM394"/>
  <c r="CL394"/>
  <c r="D394"/>
  <c r="D393"/>
  <c r="D392"/>
  <c r="D391"/>
  <c r="D390"/>
  <c r="D389"/>
  <c r="D388"/>
  <c r="DU387"/>
  <c r="DU386" s="1"/>
  <c r="DT387"/>
  <c r="DT386" s="1"/>
  <c r="DS387"/>
  <c r="DS386" s="1"/>
  <c r="DR387"/>
  <c r="DR386" s="1"/>
  <c r="DQ387"/>
  <c r="DQ386" s="1"/>
  <c r="DP387"/>
  <c r="DP386" s="1"/>
  <c r="DO387"/>
  <c r="DO386" s="1"/>
  <c r="DN387"/>
  <c r="DN386" s="1"/>
  <c r="DM387"/>
  <c r="DM386" s="1"/>
  <c r="DL387"/>
  <c r="DL386" s="1"/>
  <c r="DK387"/>
  <c r="DK386" s="1"/>
  <c r="DJ387"/>
  <c r="DJ386" s="1"/>
  <c r="DI387"/>
  <c r="DI386" s="1"/>
  <c r="DH387"/>
  <c r="DH386" s="1"/>
  <c r="DG387"/>
  <c r="DG386" s="1"/>
  <c r="DF387"/>
  <c r="DF386" s="1"/>
  <c r="DE387"/>
  <c r="DE386" s="1"/>
  <c r="DD387"/>
  <c r="DD386" s="1"/>
  <c r="DC387"/>
  <c r="DC386" s="1"/>
  <c r="DB387"/>
  <c r="DB386" s="1"/>
  <c r="DA387"/>
  <c r="DA386" s="1"/>
  <c r="CZ387"/>
  <c r="CZ386" s="1"/>
  <c r="CY387"/>
  <c r="CY386" s="1"/>
  <c r="CX387"/>
  <c r="CX386" s="1"/>
  <c r="CW387"/>
  <c r="CW386" s="1"/>
  <c r="CV387"/>
  <c r="CV386" s="1"/>
  <c r="CU387"/>
  <c r="CU386" s="1"/>
  <c r="CT387"/>
  <c r="CT386" s="1"/>
  <c r="CS387"/>
  <c r="CS386" s="1"/>
  <c r="CR387"/>
  <c r="CR386" s="1"/>
  <c r="CQ387"/>
  <c r="CQ386" s="1"/>
  <c r="CP387"/>
  <c r="CP386" s="1"/>
  <c r="CO387"/>
  <c r="CO386" s="1"/>
  <c r="CN387"/>
  <c r="CN386" s="1"/>
  <c r="CM387"/>
  <c r="CM386" s="1"/>
  <c r="CL387"/>
  <c r="CL386" s="1"/>
  <c r="D387"/>
  <c r="D386"/>
  <c r="D385"/>
  <c r="D384"/>
  <c r="D383"/>
  <c r="D382"/>
  <c r="D381"/>
  <c r="D380"/>
  <c r="D379"/>
  <c r="D378"/>
  <c r="D377"/>
  <c r="DU376"/>
  <c r="DT376"/>
  <c r="DS376"/>
  <c r="DR376"/>
  <c r="DQ376"/>
  <c r="DP376"/>
  <c r="DO376"/>
  <c r="DN376"/>
  <c r="DM376"/>
  <c r="DL376"/>
  <c r="DK376"/>
  <c r="DJ376"/>
  <c r="DI376"/>
  <c r="DH376"/>
  <c r="DG376"/>
  <c r="DF376"/>
  <c r="DE376"/>
  <c r="DD376"/>
  <c r="DC376"/>
  <c r="DB376"/>
  <c r="DA376"/>
  <c r="CZ376"/>
  <c r="CY376"/>
  <c r="CX376"/>
  <c r="CW376"/>
  <c r="CV376"/>
  <c r="CU376"/>
  <c r="CT376"/>
  <c r="CS376"/>
  <c r="CR376"/>
  <c r="CQ376"/>
  <c r="CP376"/>
  <c r="CO376"/>
  <c r="CN376"/>
  <c r="CM376"/>
  <c r="CL376"/>
  <c r="D376"/>
  <c r="D375"/>
  <c r="D374"/>
  <c r="D373"/>
  <c r="D372"/>
  <c r="D371"/>
  <c r="D370"/>
  <c r="D369"/>
  <c r="DU368"/>
  <c r="DT368"/>
  <c r="DS368"/>
  <c r="DS358"/>
  <c r="DS357" s="1"/>
  <c r="DR368"/>
  <c r="DQ368"/>
  <c r="DP368"/>
  <c r="DO368"/>
  <c r="DN368"/>
  <c r="DM368"/>
  <c r="DL368"/>
  <c r="DK368"/>
  <c r="DJ368"/>
  <c r="DI368"/>
  <c r="DH368"/>
  <c r="DG368"/>
  <c r="DF368"/>
  <c r="DE368"/>
  <c r="DD368"/>
  <c r="DC368"/>
  <c r="DB368"/>
  <c r="DA368"/>
  <c r="CZ368"/>
  <c r="CY368"/>
  <c r="CX368"/>
  <c r="CW368"/>
  <c r="CV368"/>
  <c r="CU368"/>
  <c r="CT368"/>
  <c r="CS368"/>
  <c r="CR368"/>
  <c r="CQ368"/>
  <c r="CP368"/>
  <c r="CO368"/>
  <c r="CN368"/>
  <c r="CM368"/>
  <c r="CL368"/>
  <c r="D368"/>
  <c r="D367"/>
  <c r="D366"/>
  <c r="D365"/>
  <c r="D364"/>
  <c r="D363"/>
  <c r="D362"/>
  <c r="D361"/>
  <c r="D360"/>
  <c r="D359"/>
  <c r="DU358"/>
  <c r="DT358"/>
  <c r="DR358"/>
  <c r="DQ358"/>
  <c r="DP358"/>
  <c r="DO358"/>
  <c r="DN358"/>
  <c r="DM358"/>
  <c r="DL358"/>
  <c r="DK358"/>
  <c r="DJ358"/>
  <c r="DI358"/>
  <c r="DH358"/>
  <c r="DG358"/>
  <c r="DF358"/>
  <c r="DE358"/>
  <c r="DD358"/>
  <c r="DC358"/>
  <c r="DB358"/>
  <c r="DA358"/>
  <c r="CZ358"/>
  <c r="CY358"/>
  <c r="CX358"/>
  <c r="CW358"/>
  <c r="CV358"/>
  <c r="CU358"/>
  <c r="CT358"/>
  <c r="CS358"/>
  <c r="CR358"/>
  <c r="CQ358"/>
  <c r="CP358"/>
  <c r="CO358"/>
  <c r="CN358"/>
  <c r="CM358"/>
  <c r="CL358"/>
  <c r="D358"/>
  <c r="D357"/>
  <c r="D356"/>
  <c r="D355"/>
  <c r="D354"/>
  <c r="DU353"/>
  <c r="DT353"/>
  <c r="DS353"/>
  <c r="DR353"/>
  <c r="DQ353"/>
  <c r="DP353"/>
  <c r="DO353"/>
  <c r="DN353"/>
  <c r="DM353"/>
  <c r="DL353"/>
  <c r="DK353"/>
  <c r="DJ353"/>
  <c r="DI353"/>
  <c r="DH353"/>
  <c r="DG353"/>
  <c r="DF353"/>
  <c r="DE353"/>
  <c r="DD353"/>
  <c r="DC353"/>
  <c r="DB353"/>
  <c r="DA353"/>
  <c r="CZ353"/>
  <c r="CY353"/>
  <c r="CX353"/>
  <c r="CW353"/>
  <c r="CV353"/>
  <c r="CU353"/>
  <c r="CT353"/>
  <c r="CS353"/>
  <c r="CR353"/>
  <c r="CQ353"/>
  <c r="CP353"/>
  <c r="CO353"/>
  <c r="CN353"/>
  <c r="CM353"/>
  <c r="CL353"/>
  <c r="D353"/>
  <c r="D352"/>
  <c r="DU351"/>
  <c r="DT351"/>
  <c r="DS351"/>
  <c r="DR351"/>
  <c r="DQ351"/>
  <c r="DP351"/>
  <c r="DO351"/>
  <c r="DN351"/>
  <c r="DM351"/>
  <c r="DL351"/>
  <c r="DK351"/>
  <c r="DJ351"/>
  <c r="DI351"/>
  <c r="DH351"/>
  <c r="DG351"/>
  <c r="DF351"/>
  <c r="DE351"/>
  <c r="DD351"/>
  <c r="DC351"/>
  <c r="DB351"/>
  <c r="DA351"/>
  <c r="CZ351"/>
  <c r="CY351"/>
  <c r="CX351"/>
  <c r="CW351"/>
  <c r="CV351"/>
  <c r="CU351"/>
  <c r="CT351"/>
  <c r="CS351"/>
  <c r="CR351"/>
  <c r="CQ351"/>
  <c r="CP351"/>
  <c r="CO351"/>
  <c r="CN351"/>
  <c r="CM351"/>
  <c r="CL351"/>
  <c r="D351"/>
  <c r="D350"/>
  <c r="D349"/>
  <c r="D348"/>
  <c r="D347"/>
  <c r="D346"/>
  <c r="D345"/>
  <c r="D344"/>
  <c r="DU343"/>
  <c r="DT343"/>
  <c r="DS343"/>
  <c r="DR343"/>
  <c r="DQ343"/>
  <c r="DP343"/>
  <c r="DO343"/>
  <c r="DN343"/>
  <c r="DM343"/>
  <c r="DL343"/>
  <c r="DK343"/>
  <c r="DJ343"/>
  <c r="DI343"/>
  <c r="DH343"/>
  <c r="DG343"/>
  <c r="DF343"/>
  <c r="DE343"/>
  <c r="DD343"/>
  <c r="DC343"/>
  <c r="DC329"/>
  <c r="DC337"/>
  <c r="DB343"/>
  <c r="DA343"/>
  <c r="CZ343"/>
  <c r="CY343"/>
  <c r="CX343"/>
  <c r="CW343"/>
  <c r="CV343"/>
  <c r="CU343"/>
  <c r="CT343"/>
  <c r="CS343"/>
  <c r="CR343"/>
  <c r="CQ343"/>
  <c r="CP343"/>
  <c r="CO343"/>
  <c r="CN343"/>
  <c r="CM343"/>
  <c r="CL343"/>
  <c r="D343"/>
  <c r="D342"/>
  <c r="D341"/>
  <c r="D340"/>
  <c r="D339"/>
  <c r="D338"/>
  <c r="DU337"/>
  <c r="DT337"/>
  <c r="DS337"/>
  <c r="DR337"/>
  <c r="DQ337"/>
  <c r="DP337"/>
  <c r="DO337"/>
  <c r="DN337"/>
  <c r="DM337"/>
  <c r="DL337"/>
  <c r="DK337"/>
  <c r="DJ337"/>
  <c r="DI337"/>
  <c r="DH337"/>
  <c r="DG337"/>
  <c r="DF337"/>
  <c r="DE337"/>
  <c r="DD337"/>
  <c r="DB337"/>
  <c r="DA337"/>
  <c r="CZ337"/>
  <c r="CY337"/>
  <c r="CX337"/>
  <c r="CW337"/>
  <c r="CV337"/>
  <c r="CU337"/>
  <c r="CT337"/>
  <c r="CS337"/>
  <c r="CR337"/>
  <c r="CQ337"/>
  <c r="CP337"/>
  <c r="CO337"/>
  <c r="CN337"/>
  <c r="CM337"/>
  <c r="CL337"/>
  <c r="D337"/>
  <c r="D336"/>
  <c r="D335"/>
  <c r="D334"/>
  <c r="D333"/>
  <c r="D332"/>
  <c r="D331"/>
  <c r="D330"/>
  <c r="DU329"/>
  <c r="DT329"/>
  <c r="DS329"/>
  <c r="DR329"/>
  <c r="DQ329"/>
  <c r="DP329"/>
  <c r="DO329"/>
  <c r="DN329"/>
  <c r="DM329"/>
  <c r="DL329"/>
  <c r="DK329"/>
  <c r="DJ329"/>
  <c r="DI329"/>
  <c r="DH329"/>
  <c r="DG329"/>
  <c r="DF329"/>
  <c r="DE329"/>
  <c r="DD329"/>
  <c r="DB329"/>
  <c r="DA329"/>
  <c r="CZ329"/>
  <c r="CY329"/>
  <c r="CX329"/>
  <c r="CW329"/>
  <c r="CV329"/>
  <c r="CU329"/>
  <c r="CT329"/>
  <c r="CS329"/>
  <c r="CR329"/>
  <c r="CQ329"/>
  <c r="CP329"/>
  <c r="CO329"/>
  <c r="CN329"/>
  <c r="CM329"/>
  <c r="CL329"/>
  <c r="D329"/>
  <c r="D328"/>
  <c r="D327"/>
  <c r="D326"/>
  <c r="D325"/>
  <c r="D324"/>
  <c r="D323"/>
  <c r="D322"/>
  <c r="D321"/>
  <c r="D320"/>
  <c r="D319"/>
  <c r="DU318"/>
  <c r="DT318"/>
  <c r="DS318"/>
  <c r="DR318"/>
  <c r="DQ318"/>
  <c r="DP318"/>
  <c r="DO318"/>
  <c r="DN318"/>
  <c r="DM318"/>
  <c r="DL318"/>
  <c r="DK318"/>
  <c r="DJ318"/>
  <c r="DI318"/>
  <c r="DH318"/>
  <c r="DG318"/>
  <c r="DF318"/>
  <c r="DE318"/>
  <c r="DD318"/>
  <c r="DC318"/>
  <c r="DB318"/>
  <c r="DA318"/>
  <c r="CZ318"/>
  <c r="CY318"/>
  <c r="CX318"/>
  <c r="CW318"/>
  <c r="CV318"/>
  <c r="CU318"/>
  <c r="CT318"/>
  <c r="CS318"/>
  <c r="CR318"/>
  <c r="CQ318"/>
  <c r="CP318"/>
  <c r="CO318"/>
  <c r="CN318"/>
  <c r="CM318"/>
  <c r="CL318"/>
  <c r="D318"/>
  <c r="D317"/>
  <c r="D316"/>
  <c r="D315"/>
  <c r="DU314"/>
  <c r="DT314"/>
  <c r="DS314"/>
  <c r="DR314"/>
  <c r="DQ314"/>
  <c r="DP314"/>
  <c r="DO314"/>
  <c r="DN314"/>
  <c r="DM314"/>
  <c r="DL314"/>
  <c r="DK314"/>
  <c r="DJ314"/>
  <c r="DI314"/>
  <c r="DH314"/>
  <c r="DG314"/>
  <c r="DF314"/>
  <c r="DE314"/>
  <c r="DD314"/>
  <c r="DC314"/>
  <c r="DB314"/>
  <c r="DA314"/>
  <c r="CZ314"/>
  <c r="CY314"/>
  <c r="CX314"/>
  <c r="CW314"/>
  <c r="CV314"/>
  <c r="CU314"/>
  <c r="CT314"/>
  <c r="CS314"/>
  <c r="CR314"/>
  <c r="CQ314"/>
  <c r="CP314"/>
  <c r="CO314"/>
  <c r="CN314"/>
  <c r="CM314"/>
  <c r="CL314"/>
  <c r="D314"/>
  <c r="D313"/>
  <c r="D312"/>
  <c r="D311"/>
  <c r="DU310"/>
  <c r="DT310"/>
  <c r="DS310"/>
  <c r="DR310"/>
  <c r="DQ310"/>
  <c r="DP310"/>
  <c r="DO310"/>
  <c r="DN310"/>
  <c r="DM310"/>
  <c r="DL310"/>
  <c r="DK310"/>
  <c r="DJ310"/>
  <c r="DI310"/>
  <c r="DH310"/>
  <c r="DG310"/>
  <c r="DF310"/>
  <c r="DE310"/>
  <c r="DD310"/>
  <c r="DC310"/>
  <c r="DB310"/>
  <c r="DA310"/>
  <c r="CZ310"/>
  <c r="CY310"/>
  <c r="CX310"/>
  <c r="CW310"/>
  <c r="CV310"/>
  <c r="CU310"/>
  <c r="CT310"/>
  <c r="CS310"/>
  <c r="CR310"/>
  <c r="CQ310"/>
  <c r="CP310"/>
  <c r="CO310"/>
  <c r="CN310"/>
  <c r="CM310"/>
  <c r="CL310"/>
  <c r="D310"/>
  <c r="D309"/>
  <c r="D308"/>
  <c r="DU307"/>
  <c r="DT307"/>
  <c r="DS307"/>
  <c r="DR307"/>
  <c r="DQ307"/>
  <c r="DP307"/>
  <c r="DO307"/>
  <c r="DN307"/>
  <c r="DM307"/>
  <c r="DL307"/>
  <c r="DK307"/>
  <c r="DJ307"/>
  <c r="DI307"/>
  <c r="DH307"/>
  <c r="DG307"/>
  <c r="DF307"/>
  <c r="DE307"/>
  <c r="DD307"/>
  <c r="DC307"/>
  <c r="DB307"/>
  <c r="DA307"/>
  <c r="CZ307"/>
  <c r="CY307"/>
  <c r="CX307"/>
  <c r="CW307"/>
  <c r="CV307"/>
  <c r="CU307"/>
  <c r="CT307"/>
  <c r="CS307"/>
  <c r="CR307"/>
  <c r="CQ307"/>
  <c r="CP307"/>
  <c r="CO307"/>
  <c r="CN307"/>
  <c r="CM307"/>
  <c r="CL307"/>
  <c r="D307"/>
  <c r="D306"/>
  <c r="D305"/>
  <c r="DI304"/>
  <c r="DI303" s="1"/>
  <c r="D304"/>
  <c r="DU303"/>
  <c r="DT303"/>
  <c r="DS303"/>
  <c r="DR303"/>
  <c r="DQ303"/>
  <c r="DP303"/>
  <c r="DO303"/>
  <c r="DN303"/>
  <c r="DM303"/>
  <c r="DL303"/>
  <c r="DK303"/>
  <c r="DJ303"/>
  <c r="DH303"/>
  <c r="DG303"/>
  <c r="DF303"/>
  <c r="DE303"/>
  <c r="DD303"/>
  <c r="DC303"/>
  <c r="DB303"/>
  <c r="DA303"/>
  <c r="CZ303"/>
  <c r="CY303"/>
  <c r="CX303"/>
  <c r="CW303"/>
  <c r="CV303"/>
  <c r="CU303"/>
  <c r="CT303"/>
  <c r="CS303"/>
  <c r="CR303"/>
  <c r="CQ303"/>
  <c r="CP303"/>
  <c r="CO303"/>
  <c r="CN303"/>
  <c r="CM303"/>
  <c r="CL303"/>
  <c r="D303"/>
  <c r="D302"/>
  <c r="D301"/>
  <c r="D300"/>
  <c r="D299"/>
  <c r="D298"/>
  <c r="D297"/>
  <c r="D296"/>
  <c r="D295"/>
  <c r="D294"/>
  <c r="DU293"/>
  <c r="DT293"/>
  <c r="DS293"/>
  <c r="DR293"/>
  <c r="DQ293"/>
  <c r="DP293"/>
  <c r="DO293"/>
  <c r="DN293"/>
  <c r="DM293"/>
  <c r="DL293"/>
  <c r="DK293"/>
  <c r="DJ293"/>
  <c r="DI293"/>
  <c r="DH293"/>
  <c r="DG293"/>
  <c r="DF293"/>
  <c r="DE293"/>
  <c r="DD293"/>
  <c r="DC293"/>
  <c r="DB293"/>
  <c r="DA293"/>
  <c r="CZ293"/>
  <c r="CY293"/>
  <c r="CX293"/>
  <c r="CW293"/>
  <c r="CV293"/>
  <c r="CU293"/>
  <c r="CT293"/>
  <c r="CS293"/>
  <c r="CR293"/>
  <c r="CQ293"/>
  <c r="CP293"/>
  <c r="CO293"/>
  <c r="CN293"/>
  <c r="CM293"/>
  <c r="CL293"/>
  <c r="D293"/>
  <c r="D292"/>
  <c r="D291"/>
  <c r="D290"/>
  <c r="D289"/>
  <c r="D288"/>
  <c r="D287"/>
  <c r="DU286"/>
  <c r="DT286"/>
  <c r="DS286"/>
  <c r="DR286"/>
  <c r="DQ286"/>
  <c r="DP286"/>
  <c r="DO286"/>
  <c r="DN286"/>
  <c r="DM286"/>
  <c r="DL286"/>
  <c r="DK286"/>
  <c r="DJ286"/>
  <c r="DI286"/>
  <c r="DH286"/>
  <c r="DG286"/>
  <c r="DF286"/>
  <c r="DE286"/>
  <c r="DD286"/>
  <c r="DC286"/>
  <c r="DB286"/>
  <c r="DA286"/>
  <c r="CZ286"/>
  <c r="CY286"/>
  <c r="CX286"/>
  <c r="CW286"/>
  <c r="CV286"/>
  <c r="CU286"/>
  <c r="CT286"/>
  <c r="CS286"/>
  <c r="CR286"/>
  <c r="CQ286"/>
  <c r="CP286"/>
  <c r="CO286"/>
  <c r="CN286"/>
  <c r="CM286"/>
  <c r="CL286"/>
  <c r="D286"/>
  <c r="D285"/>
  <c r="D284"/>
  <c r="D283"/>
  <c r="D282"/>
  <c r="D281"/>
  <c r="D280"/>
  <c r="D279"/>
  <c r="DU278"/>
  <c r="DT278"/>
  <c r="DS278"/>
  <c r="DR278"/>
  <c r="DQ278"/>
  <c r="DP278"/>
  <c r="DO278"/>
  <c r="DN278"/>
  <c r="DM278"/>
  <c r="DL278"/>
  <c r="DK278"/>
  <c r="DJ278"/>
  <c r="DI278"/>
  <c r="DH278"/>
  <c r="DG278"/>
  <c r="DF278"/>
  <c r="DE278"/>
  <c r="DD278"/>
  <c r="DC278"/>
  <c r="DB278"/>
  <c r="DA278"/>
  <c r="CZ278"/>
  <c r="CY278"/>
  <c r="CX278"/>
  <c r="CW278"/>
  <c r="CV278"/>
  <c r="CU278"/>
  <c r="CT278"/>
  <c r="CS278"/>
  <c r="CR278"/>
  <c r="CQ278"/>
  <c r="CP278"/>
  <c r="CO278"/>
  <c r="CN278"/>
  <c r="CM278"/>
  <c r="CL278"/>
  <c r="D278"/>
  <c r="D277"/>
  <c r="D276"/>
  <c r="D275"/>
  <c r="D274"/>
  <c r="D273"/>
  <c r="DU272"/>
  <c r="DT272"/>
  <c r="DS272"/>
  <c r="DR272"/>
  <c r="DQ272"/>
  <c r="DP272"/>
  <c r="DO272"/>
  <c r="DN272"/>
  <c r="DM272"/>
  <c r="DL272"/>
  <c r="DK272"/>
  <c r="DJ272"/>
  <c r="DI272"/>
  <c r="DH272"/>
  <c r="DG272"/>
  <c r="DF272"/>
  <c r="DE272"/>
  <c r="DD272"/>
  <c r="DC272"/>
  <c r="DB272"/>
  <c r="DA272"/>
  <c r="CZ272"/>
  <c r="CY272"/>
  <c r="CX272"/>
  <c r="CW272"/>
  <c r="CV272"/>
  <c r="CU272"/>
  <c r="CT272"/>
  <c r="CS272"/>
  <c r="CR272"/>
  <c r="CQ272"/>
  <c r="CP272"/>
  <c r="CO272"/>
  <c r="CN272"/>
  <c r="CM272"/>
  <c r="CL272"/>
  <c r="D272"/>
  <c r="D271"/>
  <c r="D270"/>
  <c r="D269"/>
  <c r="D268"/>
  <c r="DU267"/>
  <c r="DU218" s="1"/>
  <c r="DT267"/>
  <c r="DT218" s="1"/>
  <c r="DS267"/>
  <c r="DS218" s="1"/>
  <c r="DR267"/>
  <c r="DR218" s="1"/>
  <c r="DQ267"/>
  <c r="DQ218" s="1"/>
  <c r="DP267"/>
  <c r="DP218" s="1"/>
  <c r="DO267"/>
  <c r="DO218"/>
  <c r="DN267"/>
  <c r="DN218" s="1"/>
  <c r="DM267"/>
  <c r="DM218" s="1"/>
  <c r="DL267"/>
  <c r="DL218" s="1"/>
  <c r="DK267"/>
  <c r="DK218" s="1"/>
  <c r="DJ267"/>
  <c r="DI267"/>
  <c r="DH267"/>
  <c r="DG267"/>
  <c r="DF267"/>
  <c r="DE267"/>
  <c r="DD267"/>
  <c r="DC267"/>
  <c r="DB267"/>
  <c r="DA267"/>
  <c r="CZ267"/>
  <c r="CY267"/>
  <c r="CX267"/>
  <c r="CW267"/>
  <c r="CV267"/>
  <c r="CU267"/>
  <c r="CT267"/>
  <c r="CS267"/>
  <c r="CR267"/>
  <c r="CQ267"/>
  <c r="CP267"/>
  <c r="CO267"/>
  <c r="CN267"/>
  <c r="CM267"/>
  <c r="CL267"/>
  <c r="D267"/>
  <c r="D266"/>
  <c r="D265"/>
  <c r="D264"/>
  <c r="D263"/>
  <c r="D262"/>
  <c r="D261"/>
  <c r="D260"/>
  <c r="D259"/>
  <c r="D258"/>
  <c r="D257"/>
  <c r="D256"/>
  <c r="D255"/>
  <c r="D254"/>
  <c r="D253"/>
  <c r="D252"/>
  <c r="DU251"/>
  <c r="DT251"/>
  <c r="DS251"/>
  <c r="DR251"/>
  <c r="DQ251"/>
  <c r="DP251"/>
  <c r="DO251"/>
  <c r="DN251"/>
  <c r="DM251"/>
  <c r="DL251"/>
  <c r="DK251"/>
  <c r="DJ251"/>
  <c r="DI251"/>
  <c r="DH251"/>
  <c r="DG251"/>
  <c r="DF251"/>
  <c r="DE251"/>
  <c r="DD251"/>
  <c r="DC251"/>
  <c r="DB251"/>
  <c r="DA251"/>
  <c r="CZ251"/>
  <c r="CY251"/>
  <c r="CX251"/>
  <c r="CW251"/>
  <c r="CV251"/>
  <c r="CU251"/>
  <c r="CT251"/>
  <c r="CS251"/>
  <c r="CR251"/>
  <c r="CQ251"/>
  <c r="CP251"/>
  <c r="CO251"/>
  <c r="CN251"/>
  <c r="CM251"/>
  <c r="CL251"/>
  <c r="D251"/>
  <c r="D250"/>
  <c r="D249"/>
  <c r="D248"/>
  <c r="D247"/>
  <c r="D246"/>
  <c r="D245"/>
  <c r="D244"/>
  <c r="D243"/>
  <c r="D242"/>
  <c r="DQ241"/>
  <c r="DP241"/>
  <c r="DO241"/>
  <c r="DN241"/>
  <c r="DM241"/>
  <c r="DL241"/>
  <c r="DK241"/>
  <c r="DJ241"/>
  <c r="DI241"/>
  <c r="DH241"/>
  <c r="DG241"/>
  <c r="DF241"/>
  <c r="DE241"/>
  <c r="DD241"/>
  <c r="DC241"/>
  <c r="DB241"/>
  <c r="DA241"/>
  <c r="CZ241"/>
  <c r="CY241"/>
  <c r="CX241"/>
  <c r="CW241"/>
  <c r="CV241"/>
  <c r="CU241"/>
  <c r="CT241"/>
  <c r="CS241"/>
  <c r="CR241"/>
  <c r="CQ241"/>
  <c r="CP241"/>
  <c r="CO241"/>
  <c r="CN241"/>
  <c r="CM241"/>
  <c r="CL241"/>
  <c r="D241"/>
  <c r="D240"/>
  <c r="D239"/>
  <c r="D238"/>
  <c r="D237"/>
  <c r="D236"/>
  <c r="D235"/>
  <c r="DU234"/>
  <c r="DT234"/>
  <c r="DS234"/>
  <c r="DR234"/>
  <c r="DQ234"/>
  <c r="DP234"/>
  <c r="DO234"/>
  <c r="DN234"/>
  <c r="DM234"/>
  <c r="DL234"/>
  <c r="DK234"/>
  <c r="DJ234"/>
  <c r="DI234"/>
  <c r="DH234"/>
  <c r="DG234"/>
  <c r="DF234"/>
  <c r="DE234"/>
  <c r="DD234"/>
  <c r="DC234"/>
  <c r="DB234"/>
  <c r="DA234"/>
  <c r="CZ234"/>
  <c r="CY234"/>
  <c r="CX234"/>
  <c r="CW234"/>
  <c r="CV234"/>
  <c r="CU234"/>
  <c r="CT234"/>
  <c r="CS234"/>
  <c r="CR234"/>
  <c r="CQ234"/>
  <c r="CP234"/>
  <c r="CO234"/>
  <c r="CN234"/>
  <c r="CM234"/>
  <c r="CL234"/>
  <c r="D234"/>
  <c r="D233"/>
  <c r="D232"/>
  <c r="D231"/>
  <c r="D230"/>
  <c r="DU229"/>
  <c r="DT229"/>
  <c r="DS229"/>
  <c r="DR229"/>
  <c r="DQ229"/>
  <c r="DP229"/>
  <c r="DO229"/>
  <c r="DN229"/>
  <c r="DM229"/>
  <c r="DL229"/>
  <c r="DK229"/>
  <c r="DJ229"/>
  <c r="DI229"/>
  <c r="DH229"/>
  <c r="DG229"/>
  <c r="DF229"/>
  <c r="DE229"/>
  <c r="DD229"/>
  <c r="DC229"/>
  <c r="DB229"/>
  <c r="DA229"/>
  <c r="CZ229"/>
  <c r="CY229"/>
  <c r="CX229"/>
  <c r="CW229"/>
  <c r="CV229"/>
  <c r="CU229"/>
  <c r="CT229"/>
  <c r="CS229"/>
  <c r="CR229"/>
  <c r="CQ229"/>
  <c r="CP229"/>
  <c r="CO229"/>
  <c r="CN229"/>
  <c r="CM229"/>
  <c r="CL229"/>
  <c r="D229"/>
  <c r="D228"/>
  <c r="D226"/>
  <c r="D225"/>
  <c r="D224"/>
  <c r="D223"/>
  <c r="D222"/>
  <c r="D221"/>
  <c r="DU220"/>
  <c r="DT220"/>
  <c r="DS220"/>
  <c r="DR220"/>
  <c r="DQ220"/>
  <c r="DP220"/>
  <c r="DO220"/>
  <c r="DN220"/>
  <c r="DM220"/>
  <c r="DL220"/>
  <c r="DK220"/>
  <c r="DJ220"/>
  <c r="DI220"/>
  <c r="DH220"/>
  <c r="DG220"/>
  <c r="DF220"/>
  <c r="DE220"/>
  <c r="DD220"/>
  <c r="DC220"/>
  <c r="DB220"/>
  <c r="DA220"/>
  <c r="CZ220"/>
  <c r="CY220"/>
  <c r="CX220"/>
  <c r="CW220"/>
  <c r="CV220"/>
  <c r="CU220"/>
  <c r="CT220"/>
  <c r="CS220"/>
  <c r="CR220"/>
  <c r="CQ220"/>
  <c r="CP220"/>
  <c r="CO220"/>
  <c r="CN220"/>
  <c r="CM220"/>
  <c r="CL220"/>
  <c r="D220"/>
  <c r="D219"/>
  <c r="D218"/>
  <c r="A142" i="9"/>
  <c r="G100"/>
  <c r="DI23" i="6"/>
  <c r="DI28"/>
  <c r="DI35"/>
  <c r="DI44"/>
  <c r="DI47"/>
  <c r="DH23"/>
  <c r="DH28"/>
  <c r="DH35"/>
  <c r="DH44"/>
  <c r="DH47"/>
  <c r="DG23"/>
  <c r="DG28"/>
  <c r="DG35"/>
  <c r="DG44"/>
  <c r="DG47"/>
  <c r="DF23"/>
  <c r="DF28"/>
  <c r="DF35"/>
  <c r="DF44"/>
  <c r="DF47"/>
  <c r="DE23"/>
  <c r="DE28"/>
  <c r="DE35"/>
  <c r="DE44"/>
  <c r="DE47"/>
  <c r="DD23"/>
  <c r="DD28"/>
  <c r="DD35"/>
  <c r="DD44"/>
  <c r="DD47"/>
  <c r="DC23"/>
  <c r="DC28"/>
  <c r="DC35"/>
  <c r="DC44"/>
  <c r="DC47"/>
  <c r="DB23"/>
  <c r="DB28"/>
  <c r="DB35"/>
  <c r="DB44"/>
  <c r="DB47"/>
  <c r="DA23"/>
  <c r="DA28"/>
  <c r="DA35"/>
  <c r="DA44"/>
  <c r="DA47"/>
  <c r="CZ23"/>
  <c r="CZ28"/>
  <c r="CZ35"/>
  <c r="CZ44"/>
  <c r="CZ47"/>
  <c r="CY23"/>
  <c r="CY28"/>
  <c r="CY35"/>
  <c r="CY44"/>
  <c r="CY47"/>
  <c r="CX23"/>
  <c r="CX28"/>
  <c r="CX35"/>
  <c r="CX44"/>
  <c r="CX47"/>
  <c r="U12" i="8"/>
  <c r="U13"/>
  <c r="U14"/>
  <c r="U15"/>
  <c r="U16"/>
  <c r="U17"/>
  <c r="U19"/>
  <c r="U20"/>
  <c r="U25"/>
  <c r="U26"/>
  <c r="U27"/>
  <c r="U28"/>
  <c r="U29"/>
  <c r="U33"/>
  <c r="U34"/>
  <c r="U35"/>
  <c r="U36"/>
  <c r="U37"/>
  <c r="U38"/>
  <c r="U39"/>
  <c r="U40"/>
  <c r="U41"/>
  <c r="U42"/>
  <c r="U44"/>
  <c r="U45"/>
  <c r="U46"/>
  <c r="U47"/>
  <c r="U48"/>
  <c r="U49"/>
  <c r="U50"/>
  <c r="U51"/>
  <c r="U52"/>
  <c r="U53"/>
  <c r="U54"/>
  <c r="U55"/>
  <c r="T12"/>
  <c r="T13"/>
  <c r="T14"/>
  <c r="T15"/>
  <c r="T16"/>
  <c r="T17"/>
  <c r="T19"/>
  <c r="T20"/>
  <c r="T25"/>
  <c r="T26"/>
  <c r="T27"/>
  <c r="T28"/>
  <c r="T29"/>
  <c r="T33"/>
  <c r="T34"/>
  <c r="T35"/>
  <c r="T36"/>
  <c r="T37"/>
  <c r="T38"/>
  <c r="T39"/>
  <c r="T40"/>
  <c r="T41"/>
  <c r="T42"/>
  <c r="T44"/>
  <c r="T45"/>
  <c r="T46"/>
  <c r="T47"/>
  <c r="T48"/>
  <c r="T49"/>
  <c r="T50"/>
  <c r="T51"/>
  <c r="T52"/>
  <c r="T53"/>
  <c r="T54"/>
  <c r="T55"/>
  <c r="S12"/>
  <c r="S13"/>
  <c r="S14"/>
  <c r="S15"/>
  <c r="S16"/>
  <c r="S17"/>
  <c r="S19"/>
  <c r="S20"/>
  <c r="S25"/>
  <c r="S26"/>
  <c r="S27"/>
  <c r="S28"/>
  <c r="S29"/>
  <c r="S33"/>
  <c r="S34"/>
  <c r="S35"/>
  <c r="S36"/>
  <c r="S37"/>
  <c r="S38"/>
  <c r="S39"/>
  <c r="S40"/>
  <c r="S41"/>
  <c r="S42"/>
  <c r="S44"/>
  <c r="S45"/>
  <c r="S46"/>
  <c r="S47"/>
  <c r="S48"/>
  <c r="S49"/>
  <c r="S50"/>
  <c r="S51"/>
  <c r="S52"/>
  <c r="S53"/>
  <c r="S54"/>
  <c r="S55"/>
  <c r="Q12"/>
  <c r="Q13"/>
  <c r="Q14"/>
  <c r="Q15"/>
  <c r="Q16"/>
  <c r="Q17"/>
  <c r="Q19"/>
  <c r="Q20"/>
  <c r="Q25"/>
  <c r="Q26"/>
  <c r="Q27"/>
  <c r="Q28"/>
  <c r="Q29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Q55"/>
  <c r="P12"/>
  <c r="P13"/>
  <c r="P14"/>
  <c r="P15"/>
  <c r="P16"/>
  <c r="P17"/>
  <c r="P19"/>
  <c r="P20"/>
  <c r="P25"/>
  <c r="P26"/>
  <c r="P27"/>
  <c r="P28"/>
  <c r="P29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P55"/>
  <c r="O12"/>
  <c r="O13"/>
  <c r="O14"/>
  <c r="O15"/>
  <c r="O16"/>
  <c r="O17"/>
  <c r="O19"/>
  <c r="O20"/>
  <c r="O25"/>
  <c r="O26"/>
  <c r="O27"/>
  <c r="O28"/>
  <c r="O29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O55"/>
  <c r="M12"/>
  <c r="M13"/>
  <c r="M14"/>
  <c r="M15"/>
  <c r="M16"/>
  <c r="M17"/>
  <c r="M19"/>
  <c r="M20"/>
  <c r="M25"/>
  <c r="M26"/>
  <c r="M27"/>
  <c r="M28"/>
  <c r="M29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M55"/>
  <c r="L12"/>
  <c r="L13"/>
  <c r="L14"/>
  <c r="L15"/>
  <c r="L16"/>
  <c r="L17"/>
  <c r="L19"/>
  <c r="L20"/>
  <c r="L25"/>
  <c r="L26"/>
  <c r="L27"/>
  <c r="L28"/>
  <c r="L29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L55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K55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G55"/>
  <c r="E194" i="6"/>
  <c r="E193"/>
  <c r="DI51"/>
  <c r="DH51"/>
  <c r="DG51"/>
  <c r="DF51"/>
  <c r="DE51"/>
  <c r="DD51"/>
  <c r="DC51"/>
  <c r="DB51"/>
  <c r="DA51"/>
  <c r="CZ51"/>
  <c r="CY51"/>
  <c r="CX51"/>
  <c r="DI50"/>
  <c r="DH50"/>
  <c r="DG50"/>
  <c r="DF50"/>
  <c r="DE50"/>
  <c r="DD50"/>
  <c r="DC50"/>
  <c r="DB50"/>
  <c r="DA50"/>
  <c r="CZ50"/>
  <c r="CY50"/>
  <c r="CX50"/>
  <c r="DI41"/>
  <c r="DH41"/>
  <c r="DG41"/>
  <c r="DF41"/>
  <c r="DE41"/>
  <c r="DD41"/>
  <c r="DC41"/>
  <c r="DB41"/>
  <c r="DA41"/>
  <c r="CZ41"/>
  <c r="CX41"/>
  <c r="A106" i="9"/>
  <c r="A107"/>
  <c r="A108"/>
  <c r="A109"/>
  <c r="A110"/>
  <c r="B110" s="1"/>
  <c r="A111"/>
  <c r="A112"/>
  <c r="A113"/>
  <c r="A115"/>
  <c r="B115" s="1"/>
  <c r="A116"/>
  <c r="A117"/>
  <c r="A118"/>
  <c r="A119"/>
  <c r="A120"/>
  <c r="A121"/>
  <c r="B121" s="1"/>
  <c r="A122"/>
  <c r="A123"/>
  <c r="A127"/>
  <c r="A128"/>
  <c r="A129"/>
  <c r="B129" s="1"/>
  <c r="A130"/>
  <c r="A131"/>
  <c r="A132"/>
  <c r="A133"/>
  <c r="A134"/>
  <c r="A135"/>
  <c r="A136"/>
  <c r="A138"/>
  <c r="A139"/>
  <c r="A140"/>
  <c r="A141"/>
  <c r="A143"/>
  <c r="A144"/>
  <c r="A145"/>
  <c r="A146"/>
  <c r="A147"/>
  <c r="A151"/>
  <c r="A152"/>
  <c r="A153"/>
  <c r="A156"/>
  <c r="A157"/>
  <c r="A158"/>
  <c r="H100"/>
  <c r="I100"/>
  <c r="J100"/>
  <c r="K100"/>
  <c r="L100"/>
  <c r="M100"/>
  <c r="N100"/>
  <c r="O100"/>
  <c r="P100"/>
  <c r="Q100"/>
  <c r="R100"/>
  <c r="A159"/>
  <c r="A155"/>
  <c r="B155" s="1"/>
  <c r="A154"/>
  <c r="A150"/>
  <c r="A149"/>
  <c r="A148"/>
  <c r="B148" s="1"/>
  <c r="A137"/>
  <c r="A126"/>
  <c r="A125"/>
  <c r="A124"/>
  <c r="A114"/>
  <c r="A105"/>
  <c r="A104"/>
  <c r="T102"/>
  <c r="S7"/>
  <c r="S101" s="1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7"/>
  <c r="G58"/>
  <c r="G59"/>
  <c r="G62"/>
  <c r="G63"/>
  <c r="G64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7"/>
  <c r="H58"/>
  <c r="H59"/>
  <c r="H62"/>
  <c r="H63"/>
  <c r="H64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7"/>
  <c r="I58"/>
  <c r="I59"/>
  <c r="I62"/>
  <c r="I63"/>
  <c r="I64"/>
  <c r="J12"/>
  <c r="J13"/>
  <c r="J14"/>
  <c r="J15"/>
  <c r="J16"/>
  <c r="J17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7"/>
  <c r="J58"/>
  <c r="J59"/>
  <c r="J62"/>
  <c r="J63"/>
  <c r="J64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7"/>
  <c r="K58"/>
  <c r="K59"/>
  <c r="K62"/>
  <c r="K63"/>
  <c r="K64"/>
  <c r="L12"/>
  <c r="L13"/>
  <c r="L14"/>
  <c r="L15"/>
  <c r="L16"/>
  <c r="L17"/>
  <c r="L19"/>
  <c r="L20"/>
  <c r="L25"/>
  <c r="L26"/>
  <c r="L27"/>
  <c r="L28"/>
  <c r="L29"/>
  <c r="L33"/>
  <c r="M33"/>
  <c r="N33"/>
  <c r="O33"/>
  <c r="P33"/>
  <c r="Q33"/>
  <c r="R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7"/>
  <c r="L58"/>
  <c r="L59"/>
  <c r="L62"/>
  <c r="L63"/>
  <c r="L64"/>
  <c r="M12"/>
  <c r="M13"/>
  <c r="M14"/>
  <c r="M15"/>
  <c r="M16"/>
  <c r="M17"/>
  <c r="M19"/>
  <c r="M20"/>
  <c r="M25"/>
  <c r="M26"/>
  <c r="M27"/>
  <c r="M28"/>
  <c r="M29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7"/>
  <c r="M58"/>
  <c r="M59"/>
  <c r="M62"/>
  <c r="M63"/>
  <c r="N63"/>
  <c r="O63"/>
  <c r="P63"/>
  <c r="Q63"/>
  <c r="R63"/>
  <c r="M64"/>
  <c r="N12"/>
  <c r="N13"/>
  <c r="N14"/>
  <c r="N15"/>
  <c r="N16"/>
  <c r="N17"/>
  <c r="N19"/>
  <c r="N20"/>
  <c r="N25"/>
  <c r="N26"/>
  <c r="N27"/>
  <c r="N28"/>
  <c r="N29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7"/>
  <c r="N58"/>
  <c r="N59"/>
  <c r="N62"/>
  <c r="N64"/>
  <c r="O12"/>
  <c r="O13"/>
  <c r="O14"/>
  <c r="O15"/>
  <c r="O16"/>
  <c r="O17"/>
  <c r="O19"/>
  <c r="O20"/>
  <c r="O25"/>
  <c r="O26"/>
  <c r="O27"/>
  <c r="O28"/>
  <c r="O29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7"/>
  <c r="O58"/>
  <c r="O59"/>
  <c r="O62"/>
  <c r="O64"/>
  <c r="P12"/>
  <c r="P13"/>
  <c r="P14"/>
  <c r="P15"/>
  <c r="P16"/>
  <c r="P17"/>
  <c r="P19"/>
  <c r="P20"/>
  <c r="P25"/>
  <c r="P26"/>
  <c r="P27"/>
  <c r="P28"/>
  <c r="P29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7"/>
  <c r="P58"/>
  <c r="P59"/>
  <c r="P62"/>
  <c r="P64"/>
  <c r="Q12"/>
  <c r="Q13"/>
  <c r="Q14"/>
  <c r="Q15"/>
  <c r="Q16"/>
  <c r="Q17"/>
  <c r="Q19"/>
  <c r="Q20"/>
  <c r="Q25"/>
  <c r="Q26"/>
  <c r="Q27"/>
  <c r="Q28"/>
  <c r="Q29"/>
  <c r="Q34"/>
  <c r="Q35"/>
  <c r="Q36"/>
  <c r="R36"/>
  <c r="Q37"/>
  <c r="Q38"/>
  <c r="Q39"/>
  <c r="Q40"/>
  <c r="Q41"/>
  <c r="Q42"/>
  <c r="Q44"/>
  <c r="Q45"/>
  <c r="Q46"/>
  <c r="Q47"/>
  <c r="Q48"/>
  <c r="Q49"/>
  <c r="Q50"/>
  <c r="Q51"/>
  <c r="Q52"/>
  <c r="Q53"/>
  <c r="Q57"/>
  <c r="Q58"/>
  <c r="Q59"/>
  <c r="Q62"/>
  <c r="Q64"/>
  <c r="R12"/>
  <c r="R13"/>
  <c r="R14"/>
  <c r="R15"/>
  <c r="R16"/>
  <c r="R17"/>
  <c r="R19"/>
  <c r="R20"/>
  <c r="R25"/>
  <c r="R26"/>
  <c r="R27"/>
  <c r="R28"/>
  <c r="R29"/>
  <c r="R34"/>
  <c r="R35"/>
  <c r="R37"/>
  <c r="R38"/>
  <c r="R39"/>
  <c r="R40"/>
  <c r="R41"/>
  <c r="R42"/>
  <c r="R44"/>
  <c r="R45"/>
  <c r="R46"/>
  <c r="R47"/>
  <c r="R48"/>
  <c r="R49"/>
  <c r="R50"/>
  <c r="R51"/>
  <c r="R52"/>
  <c r="R53"/>
  <c r="R57"/>
  <c r="R58"/>
  <c r="R59"/>
  <c r="R62"/>
  <c r="R64"/>
  <c r="B61"/>
  <c r="B60"/>
  <c r="B59"/>
  <c r="B58"/>
  <c r="B56"/>
  <c r="B53"/>
  <c r="B52"/>
  <c r="B49"/>
  <c r="B48"/>
  <c r="B45"/>
  <c r="B44"/>
  <c r="B41"/>
  <c r="B39"/>
  <c r="B36"/>
  <c r="B34"/>
  <c r="B32"/>
  <c r="B30"/>
  <c r="B27"/>
  <c r="B25"/>
  <c r="G24"/>
  <c r="H24"/>
  <c r="I24"/>
  <c r="J24"/>
  <c r="K24"/>
  <c r="L24"/>
  <c r="M24"/>
  <c r="N24"/>
  <c r="O24"/>
  <c r="P24"/>
  <c r="Q24"/>
  <c r="R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18"/>
  <c r="B17"/>
  <c r="B13"/>
  <c r="B12"/>
  <c r="B10"/>
  <c r="B7"/>
  <c r="R5"/>
  <c r="Q5"/>
  <c r="P5"/>
  <c r="O5"/>
  <c r="N5"/>
  <c r="M5"/>
  <c r="L5"/>
  <c r="K5"/>
  <c r="J5"/>
  <c r="I5"/>
  <c r="H5"/>
  <c r="G5"/>
  <c r="E4"/>
  <c r="E3"/>
  <c r="E2"/>
  <c r="A107" i="8"/>
  <c r="H101"/>
  <c r="G101"/>
  <c r="A108"/>
  <c r="A109"/>
  <c r="A110"/>
  <c r="A111"/>
  <c r="A112"/>
  <c r="A113"/>
  <c r="A114"/>
  <c r="S101"/>
  <c r="A116"/>
  <c r="A117"/>
  <c r="A118"/>
  <c r="A119"/>
  <c r="A120"/>
  <c r="A121"/>
  <c r="A122"/>
  <c r="B122" s="1"/>
  <c r="A123"/>
  <c r="B123" s="1"/>
  <c r="A124"/>
  <c r="B124" s="1"/>
  <c r="O101"/>
  <c r="A128"/>
  <c r="A129"/>
  <c r="B129" s="1"/>
  <c r="A130"/>
  <c r="A131"/>
  <c r="B131" s="1"/>
  <c r="A132"/>
  <c r="A133"/>
  <c r="A134"/>
  <c r="B134" s="1"/>
  <c r="A135"/>
  <c r="A136"/>
  <c r="A137"/>
  <c r="A139"/>
  <c r="A140"/>
  <c r="A141"/>
  <c r="A142"/>
  <c r="A143"/>
  <c r="B143" s="1"/>
  <c r="A144"/>
  <c r="B144" s="1"/>
  <c r="A145"/>
  <c r="A146"/>
  <c r="A147"/>
  <c r="A148"/>
  <c r="B148" s="1"/>
  <c r="A152"/>
  <c r="A153"/>
  <c r="A154"/>
  <c r="B154" s="1"/>
  <c r="A157"/>
  <c r="A158"/>
  <c r="A159"/>
  <c r="I101"/>
  <c r="K101"/>
  <c r="L101"/>
  <c r="M101"/>
  <c r="P101"/>
  <c r="Q101"/>
  <c r="T101"/>
  <c r="U101"/>
  <c r="A160"/>
  <c r="A156"/>
  <c r="B156" s="1"/>
  <c r="A155"/>
  <c r="B155" s="1"/>
  <c r="A151"/>
  <c r="B151" s="1"/>
  <c r="A150"/>
  <c r="A149"/>
  <c r="B149" s="1"/>
  <c r="A138"/>
  <c r="A127"/>
  <c r="B127" s="1"/>
  <c r="A126"/>
  <c r="A125"/>
  <c r="B125"/>
  <c r="A115"/>
  <c r="A106"/>
  <c r="A105"/>
  <c r="B105" s="1"/>
  <c r="X103"/>
  <c r="U8"/>
  <c r="U103" s="1"/>
  <c r="T8"/>
  <c r="T103" s="1"/>
  <c r="S8"/>
  <c r="S103" s="1"/>
  <c r="O8"/>
  <c r="O103" s="1"/>
  <c r="M8"/>
  <c r="M103" s="1"/>
  <c r="I8"/>
  <c r="I103" s="1"/>
  <c r="H8"/>
  <c r="H103" s="1"/>
  <c r="B102"/>
  <c r="G59"/>
  <c r="G60"/>
  <c r="G63"/>
  <c r="G64"/>
  <c r="G65"/>
  <c r="H59"/>
  <c r="H60"/>
  <c r="H63"/>
  <c r="H64"/>
  <c r="H65"/>
  <c r="I59"/>
  <c r="I60"/>
  <c r="I63"/>
  <c r="I64"/>
  <c r="I65"/>
  <c r="K59"/>
  <c r="K60"/>
  <c r="K63"/>
  <c r="K64"/>
  <c r="K65"/>
  <c r="L59"/>
  <c r="L60"/>
  <c r="L63"/>
  <c r="L64"/>
  <c r="L65"/>
  <c r="M59"/>
  <c r="M60"/>
  <c r="M63"/>
  <c r="M64"/>
  <c r="M65"/>
  <c r="O59"/>
  <c r="O60"/>
  <c r="O63"/>
  <c r="O64"/>
  <c r="O65"/>
  <c r="P59"/>
  <c r="P60"/>
  <c r="P63"/>
  <c r="P64"/>
  <c r="P65"/>
  <c r="Q59"/>
  <c r="Q60"/>
  <c r="Q63"/>
  <c r="Q64"/>
  <c r="Q65"/>
  <c r="S59"/>
  <c r="S60"/>
  <c r="S63"/>
  <c r="S64"/>
  <c r="S65"/>
  <c r="T59"/>
  <c r="T60"/>
  <c r="T63"/>
  <c r="T64"/>
  <c r="T65"/>
  <c r="U59"/>
  <c r="U60"/>
  <c r="U63"/>
  <c r="U64"/>
  <c r="U65"/>
  <c r="B62"/>
  <c r="B61"/>
  <c r="B60"/>
  <c r="B58"/>
  <c r="B56"/>
  <c r="B55"/>
  <c r="B54"/>
  <c r="B53"/>
  <c r="B52"/>
  <c r="B49"/>
  <c r="B48"/>
  <c r="B45"/>
  <c r="B44"/>
  <c r="B41"/>
  <c r="B40"/>
  <c r="B39"/>
  <c r="B36"/>
  <c r="B35"/>
  <c r="B34"/>
  <c r="B32"/>
  <c r="B30"/>
  <c r="B29"/>
  <c r="B27"/>
  <c r="B25"/>
  <c r="G24"/>
  <c r="H24"/>
  <c r="I24"/>
  <c r="K24"/>
  <c r="L24"/>
  <c r="M24"/>
  <c r="O24"/>
  <c r="P24"/>
  <c r="Q24"/>
  <c r="S24"/>
  <c r="T24"/>
  <c r="U24"/>
  <c r="G23"/>
  <c r="H23"/>
  <c r="I23"/>
  <c r="K23"/>
  <c r="L23"/>
  <c r="M23"/>
  <c r="O23"/>
  <c r="P23"/>
  <c r="Q23"/>
  <c r="S23"/>
  <c r="T23"/>
  <c r="U23"/>
  <c r="G22"/>
  <c r="H22"/>
  <c r="I22"/>
  <c r="K22"/>
  <c r="L22"/>
  <c r="M22"/>
  <c r="O22"/>
  <c r="P22"/>
  <c r="Q22"/>
  <c r="S22"/>
  <c r="T22"/>
  <c r="U22"/>
  <c r="B22"/>
  <c r="G21"/>
  <c r="H21"/>
  <c r="I21"/>
  <c r="K21"/>
  <c r="L21"/>
  <c r="M21"/>
  <c r="O21"/>
  <c r="P21"/>
  <c r="Q21"/>
  <c r="S21"/>
  <c r="T21"/>
  <c r="U21"/>
  <c r="B18"/>
  <c r="B17"/>
  <c r="B16"/>
  <c r="B13"/>
  <c r="B12"/>
  <c r="B10"/>
  <c r="B7"/>
  <c r="U5"/>
  <c r="T5"/>
  <c r="S5"/>
  <c r="Q5"/>
  <c r="P5"/>
  <c r="O5"/>
  <c r="M5"/>
  <c r="L5"/>
  <c r="K5"/>
  <c r="I5"/>
  <c r="H5"/>
  <c r="G5"/>
  <c r="E3"/>
  <c r="E2"/>
  <c r="A106" i="4"/>
  <c r="G100"/>
  <c r="A132"/>
  <c r="A107"/>
  <c r="L100"/>
  <c r="A108"/>
  <c r="B108"/>
  <c r="A109"/>
  <c r="P100"/>
  <c r="A110"/>
  <c r="Q100"/>
  <c r="A111"/>
  <c r="N100"/>
  <c r="A112"/>
  <c r="B112"/>
  <c r="A113"/>
  <c r="A115"/>
  <c r="M100"/>
  <c r="A116"/>
  <c r="A117"/>
  <c r="A118"/>
  <c r="A119"/>
  <c r="A120"/>
  <c r="A121"/>
  <c r="A122"/>
  <c r="A123"/>
  <c r="A127"/>
  <c r="R100"/>
  <c r="A128"/>
  <c r="B128" s="1"/>
  <c r="A129"/>
  <c r="B129" s="1"/>
  <c r="H100"/>
  <c r="H112" s="1"/>
  <c r="A130"/>
  <c r="A131"/>
  <c r="A133"/>
  <c r="A134"/>
  <c r="A135"/>
  <c r="B135" s="1"/>
  <c r="A136"/>
  <c r="A138"/>
  <c r="A139"/>
  <c r="B139" s="1"/>
  <c r="A140"/>
  <c r="A141"/>
  <c r="A142"/>
  <c r="A143"/>
  <c r="B143" s="1"/>
  <c r="A144"/>
  <c r="A145"/>
  <c r="A146"/>
  <c r="A147"/>
  <c r="A151"/>
  <c r="A152"/>
  <c r="A153"/>
  <c r="A156"/>
  <c r="A157"/>
  <c r="A158"/>
  <c r="I100"/>
  <c r="I110" s="1"/>
  <c r="J100"/>
  <c r="K100"/>
  <c r="O100"/>
  <c r="A159"/>
  <c r="B159" s="1"/>
  <c r="A155"/>
  <c r="B155" s="1"/>
  <c r="A154"/>
  <c r="B154" s="1"/>
  <c r="A150"/>
  <c r="B150" s="1"/>
  <c r="A149"/>
  <c r="A148"/>
  <c r="B148"/>
  <c r="A137"/>
  <c r="A126"/>
  <c r="B126"/>
  <c r="A125"/>
  <c r="A124"/>
  <c r="B124"/>
  <c r="A114"/>
  <c r="A105"/>
  <c r="A104"/>
  <c r="B104" s="1"/>
  <c r="T102"/>
  <c r="R8"/>
  <c r="R102" s="1"/>
  <c r="Q8"/>
  <c r="Q102" s="1"/>
  <c r="P8"/>
  <c r="P102" s="1"/>
  <c r="O8"/>
  <c r="O102" s="1"/>
  <c r="N8"/>
  <c r="N102" s="1"/>
  <c r="M8"/>
  <c r="M102" s="1"/>
  <c r="L8"/>
  <c r="L102" s="1"/>
  <c r="K8"/>
  <c r="K102" s="1"/>
  <c r="J8"/>
  <c r="J102" s="1"/>
  <c r="I8"/>
  <c r="I102" s="1"/>
  <c r="H8"/>
  <c r="H102" s="1"/>
  <c r="G8"/>
  <c r="G102" s="1"/>
  <c r="B101"/>
  <c r="B61"/>
  <c r="B60"/>
  <c r="B59"/>
  <c r="B57"/>
  <c r="B55"/>
  <c r="B54"/>
  <c r="B53"/>
  <c r="B52"/>
  <c r="B51"/>
  <c r="B50"/>
  <c r="B49"/>
  <c r="B48"/>
  <c r="B47"/>
  <c r="B44"/>
  <c r="B43"/>
  <c r="B40"/>
  <c r="B39"/>
  <c r="B38"/>
  <c r="B35"/>
  <c r="B34"/>
  <c r="B33"/>
  <c r="B31"/>
  <c r="B29"/>
  <c r="B28"/>
  <c r="B26"/>
  <c r="B24"/>
  <c r="B21"/>
  <c r="B17"/>
  <c r="B13"/>
  <c r="B12"/>
  <c r="B10"/>
  <c r="B7"/>
  <c r="R5"/>
  <c r="Q5"/>
  <c r="P5"/>
  <c r="O5"/>
  <c r="N5"/>
  <c r="M5"/>
  <c r="L5"/>
  <c r="K5"/>
  <c r="J5"/>
  <c r="I5"/>
  <c r="H5"/>
  <c r="G5"/>
  <c r="E2"/>
  <c r="A106" i="10"/>
  <c r="G100"/>
  <c r="A107"/>
  <c r="B107" s="1"/>
  <c r="A108"/>
  <c r="A109"/>
  <c r="A110"/>
  <c r="A111"/>
  <c r="A112"/>
  <c r="A114"/>
  <c r="A115"/>
  <c r="B115" s="1"/>
  <c r="A116"/>
  <c r="A117"/>
  <c r="A118"/>
  <c r="B118" s="1"/>
  <c r="A119"/>
  <c r="A120"/>
  <c r="A121"/>
  <c r="A122"/>
  <c r="B122" s="1"/>
  <c r="A126"/>
  <c r="A127"/>
  <c r="L100"/>
  <c r="A128"/>
  <c r="A129"/>
  <c r="A130"/>
  <c r="A131"/>
  <c r="A132"/>
  <c r="O100"/>
  <c r="A133"/>
  <c r="A134"/>
  <c r="N100"/>
  <c r="A135"/>
  <c r="A137"/>
  <c r="B137" s="1"/>
  <c r="A138"/>
  <c r="B138" s="1"/>
  <c r="A139"/>
  <c r="J100"/>
  <c r="A140"/>
  <c r="M100"/>
  <c r="A141"/>
  <c r="A142"/>
  <c r="B142" s="1"/>
  <c r="A143"/>
  <c r="A144"/>
  <c r="A145"/>
  <c r="A146"/>
  <c r="A150"/>
  <c r="A151"/>
  <c r="B151" s="1"/>
  <c r="A152"/>
  <c r="A155"/>
  <c r="A156"/>
  <c r="A157"/>
  <c r="H100"/>
  <c r="I100"/>
  <c r="K100"/>
  <c r="P100"/>
  <c r="Q100"/>
  <c r="R100"/>
  <c r="A158"/>
  <c r="A154"/>
  <c r="B154" s="1"/>
  <c r="A153"/>
  <c r="B153"/>
  <c r="A149"/>
  <c r="B149" s="1"/>
  <c r="A148"/>
  <c r="A147"/>
  <c r="B147" s="1"/>
  <c r="A136"/>
  <c r="A125"/>
  <c r="B125" s="1"/>
  <c r="A124"/>
  <c r="A123"/>
  <c r="B123" s="1"/>
  <c r="A113"/>
  <c r="A105"/>
  <c r="B105" s="1"/>
  <c r="A104"/>
  <c r="B104"/>
  <c r="T102"/>
  <c r="Q8"/>
  <c r="Q102" s="1"/>
  <c r="P8"/>
  <c r="P102" s="1"/>
  <c r="N8"/>
  <c r="N102" s="1"/>
  <c r="M8"/>
  <c r="M102" s="1"/>
  <c r="L8"/>
  <c r="L102" s="1"/>
  <c r="I8"/>
  <c r="I102" s="1"/>
  <c r="H8"/>
  <c r="H102" s="1"/>
  <c r="T101"/>
  <c r="S7"/>
  <c r="S101" s="1"/>
  <c r="B101"/>
  <c r="G12"/>
  <c r="G13"/>
  <c r="G14"/>
  <c r="G15"/>
  <c r="G16"/>
  <c r="G17"/>
  <c r="G18"/>
  <c r="G19"/>
  <c r="G24"/>
  <c r="G25"/>
  <c r="G26"/>
  <c r="G27"/>
  <c r="G28"/>
  <c r="G32"/>
  <c r="G33"/>
  <c r="G34"/>
  <c r="G35"/>
  <c r="G36"/>
  <c r="G37"/>
  <c r="G38"/>
  <c r="G39"/>
  <c r="G40"/>
  <c r="G41"/>
  <c r="G43"/>
  <c r="G44"/>
  <c r="G45"/>
  <c r="G46"/>
  <c r="G47"/>
  <c r="G48"/>
  <c r="G50"/>
  <c r="G51"/>
  <c r="G52"/>
  <c r="G53"/>
  <c r="G58"/>
  <c r="H58"/>
  <c r="H59"/>
  <c r="I58"/>
  <c r="J58"/>
  <c r="K58"/>
  <c r="L58"/>
  <c r="M58"/>
  <c r="N58"/>
  <c r="O58"/>
  <c r="P58"/>
  <c r="Q58"/>
  <c r="R58"/>
  <c r="G59"/>
  <c r="G62"/>
  <c r="G63"/>
  <c r="G64"/>
  <c r="H64"/>
  <c r="I64"/>
  <c r="J64"/>
  <c r="K64"/>
  <c r="L64"/>
  <c r="M64"/>
  <c r="N64"/>
  <c r="O64"/>
  <c r="P64"/>
  <c r="Q64"/>
  <c r="R64"/>
  <c r="H12"/>
  <c r="H13"/>
  <c r="H14"/>
  <c r="H15"/>
  <c r="I15"/>
  <c r="J15"/>
  <c r="K15"/>
  <c r="L15"/>
  <c r="O15"/>
  <c r="P15"/>
  <c r="Q15"/>
  <c r="R15"/>
  <c r="H16"/>
  <c r="H17"/>
  <c r="H18"/>
  <c r="H19"/>
  <c r="H24"/>
  <c r="H25"/>
  <c r="H26"/>
  <c r="I26"/>
  <c r="J26"/>
  <c r="K26"/>
  <c r="L26"/>
  <c r="O26"/>
  <c r="P26"/>
  <c r="Q26"/>
  <c r="R26"/>
  <c r="H27"/>
  <c r="H28"/>
  <c r="H32"/>
  <c r="H33"/>
  <c r="H34"/>
  <c r="H36"/>
  <c r="H37"/>
  <c r="H38"/>
  <c r="H39"/>
  <c r="H40"/>
  <c r="H41"/>
  <c r="H43"/>
  <c r="H44"/>
  <c r="H45"/>
  <c r="H46"/>
  <c r="I46"/>
  <c r="J46"/>
  <c r="K46"/>
  <c r="L46"/>
  <c r="O46"/>
  <c r="P46"/>
  <c r="Q46"/>
  <c r="R46"/>
  <c r="H47"/>
  <c r="H48"/>
  <c r="H50"/>
  <c r="I50"/>
  <c r="J50"/>
  <c r="K50"/>
  <c r="L50"/>
  <c r="O50"/>
  <c r="P50"/>
  <c r="Q50"/>
  <c r="R50"/>
  <c r="H51"/>
  <c r="H52"/>
  <c r="H53"/>
  <c r="H62"/>
  <c r="H63"/>
  <c r="I12"/>
  <c r="I13"/>
  <c r="I14"/>
  <c r="I16"/>
  <c r="I17"/>
  <c r="I18"/>
  <c r="I19"/>
  <c r="I24"/>
  <c r="I25"/>
  <c r="I27"/>
  <c r="I28"/>
  <c r="I32"/>
  <c r="I33"/>
  <c r="I34"/>
  <c r="I37"/>
  <c r="I38"/>
  <c r="I39"/>
  <c r="I40"/>
  <c r="I41"/>
  <c r="I43"/>
  <c r="I44"/>
  <c r="I45"/>
  <c r="I47"/>
  <c r="I48"/>
  <c r="I51"/>
  <c r="I52"/>
  <c r="I53"/>
  <c r="I59"/>
  <c r="I62"/>
  <c r="I63"/>
  <c r="J12"/>
  <c r="J13"/>
  <c r="J14"/>
  <c r="J16"/>
  <c r="J17"/>
  <c r="J18"/>
  <c r="J19"/>
  <c r="J24"/>
  <c r="J25"/>
  <c r="J27"/>
  <c r="J28"/>
  <c r="J32"/>
  <c r="J33"/>
  <c r="J34"/>
  <c r="J36"/>
  <c r="J37"/>
  <c r="J38"/>
  <c r="J39"/>
  <c r="J40"/>
  <c r="J41"/>
  <c r="J43"/>
  <c r="J44"/>
  <c r="J45"/>
  <c r="J47"/>
  <c r="J48"/>
  <c r="J51"/>
  <c r="J52"/>
  <c r="J53"/>
  <c r="J59"/>
  <c r="J62"/>
  <c r="J63"/>
  <c r="K12"/>
  <c r="K13"/>
  <c r="K14"/>
  <c r="K16"/>
  <c r="K17"/>
  <c r="K18"/>
  <c r="K19"/>
  <c r="K24"/>
  <c r="K25"/>
  <c r="K27"/>
  <c r="K28"/>
  <c r="K32"/>
  <c r="K33"/>
  <c r="K34"/>
  <c r="K36"/>
  <c r="K37"/>
  <c r="K38"/>
  <c r="K39"/>
  <c r="K40"/>
  <c r="K41"/>
  <c r="K43"/>
  <c r="K44"/>
  <c r="K45"/>
  <c r="K47"/>
  <c r="K48"/>
  <c r="K51"/>
  <c r="K52"/>
  <c r="K53"/>
  <c r="K59"/>
  <c r="K62"/>
  <c r="K63"/>
  <c r="L12"/>
  <c r="L13"/>
  <c r="L14"/>
  <c r="L16"/>
  <c r="L17"/>
  <c r="L18"/>
  <c r="L19"/>
  <c r="L24"/>
  <c r="L25"/>
  <c r="L27"/>
  <c r="L28"/>
  <c r="L32"/>
  <c r="L33"/>
  <c r="L34"/>
  <c r="L36"/>
  <c r="L37"/>
  <c r="L38"/>
  <c r="L39"/>
  <c r="L40"/>
  <c r="L41"/>
  <c r="L43"/>
  <c r="L44"/>
  <c r="L45"/>
  <c r="L47"/>
  <c r="L48"/>
  <c r="L51"/>
  <c r="L52"/>
  <c r="L53"/>
  <c r="L59"/>
  <c r="L62"/>
  <c r="L63"/>
  <c r="M59"/>
  <c r="M62"/>
  <c r="M63"/>
  <c r="N63"/>
  <c r="O63"/>
  <c r="P63"/>
  <c r="N59"/>
  <c r="N62"/>
  <c r="O62"/>
  <c r="P62"/>
  <c r="R6" i="11"/>
  <c r="O12" i="10"/>
  <c r="O13"/>
  <c r="P13"/>
  <c r="Q13"/>
  <c r="R13"/>
  <c r="O14"/>
  <c r="O16"/>
  <c r="O17"/>
  <c r="P17"/>
  <c r="Q17"/>
  <c r="R17"/>
  <c r="O18"/>
  <c r="O19"/>
  <c r="O24"/>
  <c r="P24"/>
  <c r="Q24"/>
  <c r="R24"/>
  <c r="O25"/>
  <c r="O27"/>
  <c r="O28"/>
  <c r="P28"/>
  <c r="Q28"/>
  <c r="R28"/>
  <c r="O32"/>
  <c r="O33"/>
  <c r="O34"/>
  <c r="P35"/>
  <c r="Q35"/>
  <c r="R35"/>
  <c r="O36"/>
  <c r="O37"/>
  <c r="O38"/>
  <c r="O39"/>
  <c r="P39"/>
  <c r="Q39"/>
  <c r="R39"/>
  <c r="O40"/>
  <c r="O41"/>
  <c r="O43"/>
  <c r="O44"/>
  <c r="P44"/>
  <c r="Q44"/>
  <c r="R44"/>
  <c r="O45"/>
  <c r="O47"/>
  <c r="O48"/>
  <c r="O51"/>
  <c r="O52"/>
  <c r="O53"/>
  <c r="O59"/>
  <c r="P12"/>
  <c r="P14"/>
  <c r="P16"/>
  <c r="P18"/>
  <c r="P19"/>
  <c r="P25"/>
  <c r="P27"/>
  <c r="Q27"/>
  <c r="R27"/>
  <c r="P32"/>
  <c r="P33"/>
  <c r="P34"/>
  <c r="Q34"/>
  <c r="R34"/>
  <c r="P36"/>
  <c r="P37"/>
  <c r="P38"/>
  <c r="Q38"/>
  <c r="R38"/>
  <c r="P40"/>
  <c r="P41"/>
  <c r="P43"/>
  <c r="Q43"/>
  <c r="R43"/>
  <c r="P45"/>
  <c r="P47"/>
  <c r="Q47"/>
  <c r="R47"/>
  <c r="P48"/>
  <c r="P49"/>
  <c r="P51"/>
  <c r="P52"/>
  <c r="P53"/>
  <c r="Q53"/>
  <c r="R53"/>
  <c r="P59"/>
  <c r="Q12"/>
  <c r="Q14"/>
  <c r="Q16"/>
  <c r="Q18"/>
  <c r="R18"/>
  <c r="Q19"/>
  <c r="Q25"/>
  <c r="Q32"/>
  <c r="Q33"/>
  <c r="Q36"/>
  <c r="Q37"/>
  <c r="Q40"/>
  <c r="Q41"/>
  <c r="Q45"/>
  <c r="Q48"/>
  <c r="Q49"/>
  <c r="Q51"/>
  <c r="Q52"/>
  <c r="Q59"/>
  <c r="Q62"/>
  <c r="R62"/>
  <c r="Q63"/>
  <c r="R12"/>
  <c r="R14"/>
  <c r="R16"/>
  <c r="R19"/>
  <c r="R25"/>
  <c r="R32"/>
  <c r="R33"/>
  <c r="R36"/>
  <c r="R37"/>
  <c r="R40"/>
  <c r="R41"/>
  <c r="R45"/>
  <c r="R48"/>
  <c r="R49"/>
  <c r="R51"/>
  <c r="R52"/>
  <c r="R59"/>
  <c r="R63"/>
  <c r="B62"/>
  <c r="B61"/>
  <c r="B60"/>
  <c r="B59"/>
  <c r="B57"/>
  <c r="B55"/>
  <c r="G54"/>
  <c r="H54"/>
  <c r="I54"/>
  <c r="J54"/>
  <c r="K54"/>
  <c r="L54"/>
  <c r="M54"/>
  <c r="N54"/>
  <c r="O54"/>
  <c r="P54"/>
  <c r="Q54"/>
  <c r="R54"/>
  <c r="B54"/>
  <c r="B53"/>
  <c r="B52"/>
  <c r="B51"/>
  <c r="B50"/>
  <c r="B48"/>
  <c r="B47"/>
  <c r="B46"/>
  <c r="B44"/>
  <c r="B43"/>
  <c r="B40"/>
  <c r="B39"/>
  <c r="B38"/>
  <c r="B37"/>
  <c r="B35"/>
  <c r="B34"/>
  <c r="B33"/>
  <c r="B31"/>
  <c r="B29"/>
  <c r="B28"/>
  <c r="B26"/>
  <c r="B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G20"/>
  <c r="H20"/>
  <c r="I20"/>
  <c r="J20"/>
  <c r="K20"/>
  <c r="L20"/>
  <c r="M20"/>
  <c r="N20"/>
  <c r="O20"/>
  <c r="P20"/>
  <c r="Q20"/>
  <c r="R20"/>
  <c r="B17"/>
  <c r="B13"/>
  <c r="B10"/>
  <c r="B7"/>
  <c r="R5"/>
  <c r="Q5"/>
  <c r="P5"/>
  <c r="O5"/>
  <c r="N5"/>
  <c r="M5"/>
  <c r="L5"/>
  <c r="K5"/>
  <c r="J5"/>
  <c r="I5"/>
  <c r="H5"/>
  <c r="G5"/>
  <c r="E4"/>
  <c r="E3"/>
  <c r="E2"/>
  <c r="T67" i="3"/>
  <c r="S67"/>
  <c r="Q67"/>
  <c r="P67"/>
  <c r="M67"/>
  <c r="L67"/>
  <c r="J67"/>
  <c r="I67"/>
  <c r="T66"/>
  <c r="S66"/>
  <c r="Q66"/>
  <c r="P66"/>
  <c r="M66"/>
  <c r="L66"/>
  <c r="J66"/>
  <c r="I66"/>
  <c r="T65"/>
  <c r="S65"/>
  <c r="Q65"/>
  <c r="P65"/>
  <c r="M65"/>
  <c r="L65"/>
  <c r="J65"/>
  <c r="I65"/>
  <c r="T64"/>
  <c r="S64"/>
  <c r="Q64"/>
  <c r="P64"/>
  <c r="M64"/>
  <c r="L64"/>
  <c r="J64"/>
  <c r="I64"/>
  <c r="T63"/>
  <c r="S63"/>
  <c r="Q63"/>
  <c r="P63"/>
  <c r="M63"/>
  <c r="L63"/>
  <c r="J63"/>
  <c r="I63"/>
  <c r="B63"/>
  <c r="T62"/>
  <c r="S62"/>
  <c r="Q62"/>
  <c r="P62"/>
  <c r="M62"/>
  <c r="L62"/>
  <c r="J62"/>
  <c r="I62"/>
  <c r="B62"/>
  <c r="M61"/>
  <c r="L61"/>
  <c r="J61"/>
  <c r="I61"/>
  <c r="B54"/>
  <c r="B61" s="1"/>
  <c r="T60"/>
  <c r="S60"/>
  <c r="Q60"/>
  <c r="P60"/>
  <c r="M60"/>
  <c r="L60"/>
  <c r="J60"/>
  <c r="I60"/>
  <c r="B60"/>
  <c r="T59"/>
  <c r="S59"/>
  <c r="Q59"/>
  <c r="P59"/>
  <c r="M59"/>
  <c r="L59"/>
  <c r="J59"/>
  <c r="I59"/>
  <c r="T58"/>
  <c r="S58"/>
  <c r="Q58"/>
  <c r="P58"/>
  <c r="M58"/>
  <c r="L58"/>
  <c r="J58"/>
  <c r="I58"/>
  <c r="B58"/>
  <c r="T57"/>
  <c r="S57"/>
  <c r="Q57"/>
  <c r="P57"/>
  <c r="M57"/>
  <c r="L57"/>
  <c r="J57"/>
  <c r="I57"/>
  <c r="B57"/>
  <c r="T56"/>
  <c r="S56"/>
  <c r="Q56"/>
  <c r="P56"/>
  <c r="M56"/>
  <c r="L56"/>
  <c r="J56"/>
  <c r="I56"/>
  <c r="B56"/>
  <c r="T55"/>
  <c r="S55"/>
  <c r="Q55"/>
  <c r="P55"/>
  <c r="M55"/>
  <c r="L55"/>
  <c r="J55"/>
  <c r="I55"/>
  <c r="B55"/>
  <c r="T54"/>
  <c r="S54"/>
  <c r="Q54"/>
  <c r="P54"/>
  <c r="M54"/>
  <c r="L54"/>
  <c r="J54"/>
  <c r="I54"/>
  <c r="T53"/>
  <c r="S53"/>
  <c r="Q53"/>
  <c r="P53"/>
  <c r="M53"/>
  <c r="L53"/>
  <c r="J53"/>
  <c r="I53"/>
  <c r="B53"/>
  <c r="T52"/>
  <c r="S52"/>
  <c r="Q52"/>
  <c r="P52"/>
  <c r="M52"/>
  <c r="L52"/>
  <c r="J52"/>
  <c r="I52"/>
  <c r="B52"/>
  <c r="T51"/>
  <c r="S51"/>
  <c r="Q51"/>
  <c r="P51"/>
  <c r="M51"/>
  <c r="L51"/>
  <c r="J51"/>
  <c r="I51"/>
  <c r="T50"/>
  <c r="S50"/>
  <c r="Q50"/>
  <c r="P50"/>
  <c r="M50"/>
  <c r="L50"/>
  <c r="J50"/>
  <c r="I50"/>
  <c r="T49"/>
  <c r="S49"/>
  <c r="Q49"/>
  <c r="P49"/>
  <c r="M49"/>
  <c r="L49"/>
  <c r="J49"/>
  <c r="I49"/>
  <c r="B49"/>
  <c r="T48"/>
  <c r="S48"/>
  <c r="Q48"/>
  <c r="P48"/>
  <c r="M48"/>
  <c r="L48"/>
  <c r="J48"/>
  <c r="I48"/>
  <c r="B48"/>
  <c r="T47"/>
  <c r="S47"/>
  <c r="Q47"/>
  <c r="P47"/>
  <c r="M47"/>
  <c r="L47"/>
  <c r="J47"/>
  <c r="I47"/>
  <c r="T46"/>
  <c r="S46"/>
  <c r="Q46"/>
  <c r="P46"/>
  <c r="M46"/>
  <c r="L46"/>
  <c r="J46"/>
  <c r="I46"/>
  <c r="T45"/>
  <c r="S45"/>
  <c r="Q45"/>
  <c r="P45"/>
  <c r="M45"/>
  <c r="L45"/>
  <c r="J45"/>
  <c r="I45"/>
  <c r="B45"/>
  <c r="T44"/>
  <c r="S44"/>
  <c r="Q44"/>
  <c r="P44"/>
  <c r="M44"/>
  <c r="L44"/>
  <c r="J44"/>
  <c r="I44"/>
  <c r="B44"/>
  <c r="T43"/>
  <c r="S43"/>
  <c r="Q43"/>
  <c r="P43"/>
  <c r="M43"/>
  <c r="L43"/>
  <c r="J43"/>
  <c r="I43"/>
  <c r="T42"/>
  <c r="S42"/>
  <c r="Q42"/>
  <c r="P42"/>
  <c r="M42"/>
  <c r="L42"/>
  <c r="J42"/>
  <c r="I42"/>
  <c r="T41"/>
  <c r="S41"/>
  <c r="Q41"/>
  <c r="P41"/>
  <c r="M41"/>
  <c r="L41"/>
  <c r="J41"/>
  <c r="I41"/>
  <c r="B41"/>
  <c r="T40"/>
  <c r="S40"/>
  <c r="Q40"/>
  <c r="P40"/>
  <c r="M40"/>
  <c r="L40"/>
  <c r="J40"/>
  <c r="I40"/>
  <c r="B40"/>
  <c r="T39"/>
  <c r="S39"/>
  <c r="Q39"/>
  <c r="P39"/>
  <c r="M39"/>
  <c r="L39"/>
  <c r="J39"/>
  <c r="I39"/>
  <c r="B39"/>
  <c r="T38"/>
  <c r="S38"/>
  <c r="Q38"/>
  <c r="P38"/>
  <c r="M38"/>
  <c r="L38"/>
  <c r="J38"/>
  <c r="I38"/>
  <c r="T37"/>
  <c r="S37"/>
  <c r="Q37"/>
  <c r="P37"/>
  <c r="M37"/>
  <c r="L37"/>
  <c r="J37"/>
  <c r="I37"/>
  <c r="T36"/>
  <c r="S36"/>
  <c r="Q36"/>
  <c r="P36"/>
  <c r="M36"/>
  <c r="L36"/>
  <c r="J36"/>
  <c r="I36"/>
  <c r="B36"/>
  <c r="T35"/>
  <c r="S35"/>
  <c r="Q35"/>
  <c r="P35"/>
  <c r="M35"/>
  <c r="L35"/>
  <c r="J35"/>
  <c r="I35"/>
  <c r="B35"/>
  <c r="T34"/>
  <c r="S34"/>
  <c r="Q34"/>
  <c r="P34"/>
  <c r="M34"/>
  <c r="L34"/>
  <c r="J34"/>
  <c r="I34"/>
  <c r="B34"/>
  <c r="T33"/>
  <c r="S33"/>
  <c r="Q33"/>
  <c r="P33"/>
  <c r="M33"/>
  <c r="L33"/>
  <c r="J33"/>
  <c r="I33"/>
  <c r="T32"/>
  <c r="S32"/>
  <c r="Q32"/>
  <c r="P32"/>
  <c r="M32"/>
  <c r="L32"/>
  <c r="J32"/>
  <c r="I32"/>
  <c r="B32"/>
  <c r="T31"/>
  <c r="S31"/>
  <c r="Q31"/>
  <c r="P31"/>
  <c r="M31"/>
  <c r="L31"/>
  <c r="J31"/>
  <c r="I31"/>
  <c r="T30"/>
  <c r="S30"/>
  <c r="Q30"/>
  <c r="P30"/>
  <c r="M30"/>
  <c r="L30"/>
  <c r="J30"/>
  <c r="I30"/>
  <c r="B30"/>
  <c r="T29"/>
  <c r="S29"/>
  <c r="Q29"/>
  <c r="P29"/>
  <c r="M29"/>
  <c r="L29"/>
  <c r="J29"/>
  <c r="I29"/>
  <c r="B29"/>
  <c r="T28"/>
  <c r="S28"/>
  <c r="Q28"/>
  <c r="P28"/>
  <c r="M28"/>
  <c r="L28"/>
  <c r="J28"/>
  <c r="I28"/>
  <c r="T27"/>
  <c r="S27"/>
  <c r="Q27"/>
  <c r="P27"/>
  <c r="M27"/>
  <c r="L27"/>
  <c r="J27"/>
  <c r="I27"/>
  <c r="B27"/>
  <c r="T26"/>
  <c r="S26"/>
  <c r="Q26"/>
  <c r="P26"/>
  <c r="M26"/>
  <c r="L26"/>
  <c r="J26"/>
  <c r="I26"/>
  <c r="T25"/>
  <c r="S25"/>
  <c r="Q25"/>
  <c r="P25"/>
  <c r="M25"/>
  <c r="L25"/>
  <c r="J25"/>
  <c r="I25"/>
  <c r="B25"/>
  <c r="T24"/>
  <c r="S24"/>
  <c r="Q24"/>
  <c r="P24"/>
  <c r="M24"/>
  <c r="L24"/>
  <c r="J24"/>
  <c r="I24"/>
  <c r="T23"/>
  <c r="S23"/>
  <c r="Q23"/>
  <c r="P23"/>
  <c r="M23"/>
  <c r="L23"/>
  <c r="J23"/>
  <c r="I23"/>
  <c r="T22"/>
  <c r="S22"/>
  <c r="Q22"/>
  <c r="P22"/>
  <c r="M22"/>
  <c r="L22"/>
  <c r="J22"/>
  <c r="I22"/>
  <c r="B22"/>
  <c r="T21"/>
  <c r="S21"/>
  <c r="Q21"/>
  <c r="P21"/>
  <c r="M21"/>
  <c r="L21"/>
  <c r="J21"/>
  <c r="I21"/>
  <c r="T20"/>
  <c r="S20"/>
  <c r="Q20"/>
  <c r="P20"/>
  <c r="M20"/>
  <c r="L20"/>
  <c r="J20"/>
  <c r="I20"/>
  <c r="T19"/>
  <c r="S19"/>
  <c r="Q19"/>
  <c r="P19"/>
  <c r="M19"/>
  <c r="L19"/>
  <c r="J19"/>
  <c r="I19"/>
  <c r="B19"/>
  <c r="T18"/>
  <c r="S18"/>
  <c r="Q18"/>
  <c r="P18"/>
  <c r="M18"/>
  <c r="L18"/>
  <c r="J18"/>
  <c r="I18"/>
  <c r="B18"/>
  <c r="T17"/>
  <c r="S17"/>
  <c r="Q17"/>
  <c r="P17"/>
  <c r="M17"/>
  <c r="L17"/>
  <c r="J17"/>
  <c r="I17"/>
  <c r="B17"/>
  <c r="T16"/>
  <c r="S16"/>
  <c r="Q16"/>
  <c r="P16"/>
  <c r="M16"/>
  <c r="L16"/>
  <c r="J16"/>
  <c r="I16"/>
  <c r="T15"/>
  <c r="S15"/>
  <c r="Q15"/>
  <c r="P15"/>
  <c r="M15"/>
  <c r="L15"/>
  <c r="J15"/>
  <c r="I15"/>
  <c r="T14"/>
  <c r="S14"/>
  <c r="Q14"/>
  <c r="P14"/>
  <c r="M14"/>
  <c r="L14"/>
  <c r="J14"/>
  <c r="I14"/>
  <c r="B14"/>
  <c r="T13"/>
  <c r="S13"/>
  <c r="Q13"/>
  <c r="P13"/>
  <c r="M13"/>
  <c r="L13"/>
  <c r="J13"/>
  <c r="I13"/>
  <c r="B13"/>
  <c r="T12"/>
  <c r="S12"/>
  <c r="Q12"/>
  <c r="P12"/>
  <c r="M12"/>
  <c r="L12"/>
  <c r="J12"/>
  <c r="I12"/>
  <c r="T11"/>
  <c r="S11"/>
  <c r="Q11"/>
  <c r="P11"/>
  <c r="M11"/>
  <c r="L11"/>
  <c r="J11"/>
  <c r="I11"/>
  <c r="T10"/>
  <c r="S10"/>
  <c r="Q10"/>
  <c r="P10"/>
  <c r="M10"/>
  <c r="L10"/>
  <c r="J10"/>
  <c r="I10"/>
  <c r="B10"/>
  <c r="I8"/>
  <c r="L8" s="1"/>
  <c r="G8"/>
  <c r="N8" s="1"/>
  <c r="R6"/>
  <c r="N6"/>
  <c r="O6" s="1"/>
  <c r="E4"/>
  <c r="E2"/>
  <c r="B62" i="11"/>
  <c r="B61"/>
  <c r="B53"/>
  <c r="B59"/>
  <c r="B57"/>
  <c r="B55"/>
  <c r="B54"/>
  <c r="B52"/>
  <c r="B51"/>
  <c r="B49"/>
  <c r="B48"/>
  <c r="B47"/>
  <c r="B45"/>
  <c r="B44"/>
  <c r="B43"/>
  <c r="B40"/>
  <c r="B39"/>
  <c r="B38"/>
  <c r="B35"/>
  <c r="B34"/>
  <c r="B33"/>
  <c r="B32"/>
  <c r="B31"/>
  <c r="B29"/>
  <c r="B28"/>
  <c r="B27"/>
  <c r="B26"/>
  <c r="B24"/>
  <c r="B21"/>
  <c r="B20"/>
  <c r="B17"/>
  <c r="B16"/>
  <c r="B15"/>
  <c r="B13"/>
  <c r="B12"/>
  <c r="B10"/>
  <c r="I8"/>
  <c r="P8" s="1"/>
  <c r="S8" s="1"/>
  <c r="H8"/>
  <c r="O8" s="1"/>
  <c r="G8"/>
  <c r="N8" s="1"/>
  <c r="E4"/>
  <c r="E3"/>
  <c r="E2"/>
  <c r="H21" i="1"/>
  <c r="D17"/>
  <c r="D21" s="1"/>
  <c r="H17"/>
  <c r="H13"/>
  <c r="E2"/>
  <c r="S14" i="4"/>
  <c r="T14" s="1"/>
  <c r="S16"/>
  <c r="T16" s="1"/>
  <c r="S12"/>
  <c r="T12" s="1"/>
  <c r="H118"/>
  <c r="B119"/>
  <c r="B123"/>
  <c r="R113"/>
  <c r="Q113"/>
  <c r="R110"/>
  <c r="N119"/>
  <c r="L106"/>
  <c r="J142"/>
  <c r="H119"/>
  <c r="H107"/>
  <c r="B113"/>
  <c r="B130"/>
  <c r="B142"/>
  <c r="B146"/>
  <c r="R109"/>
  <c r="Q111"/>
  <c r="Q108"/>
  <c r="P141"/>
  <c r="N110"/>
  <c r="R119"/>
  <c r="H115"/>
  <c r="G117"/>
  <c r="S18"/>
  <c r="T18" s="1"/>
  <c r="S17"/>
  <c r="S15"/>
  <c r="S32"/>
  <c r="T32" s="1"/>
  <c r="S35"/>
  <c r="T35" s="1"/>
  <c r="S13"/>
  <c r="S39"/>
  <c r="DK357" i="6"/>
  <c r="CV328"/>
  <c r="DH328"/>
  <c r="CY357"/>
  <c r="DG357"/>
  <c r="DO357"/>
  <c r="CO357"/>
  <c r="CW357"/>
  <c r="R143" i="9" s="1"/>
  <c r="DE357" i="6"/>
  <c r="DM357"/>
  <c r="DU357"/>
  <c r="CL328"/>
  <c r="CP328"/>
  <c r="CT328"/>
  <c r="DF328"/>
  <c r="DJ328"/>
  <c r="DN328"/>
  <c r="CN328"/>
  <c r="CZ328"/>
  <c r="DD328"/>
  <c r="DT328"/>
  <c r="S28" i="4"/>
  <c r="T28" s="1"/>
  <c r="CN393" i="6"/>
  <c r="CR393"/>
  <c r="CV393"/>
  <c r="CZ393"/>
  <c r="DD393"/>
  <c r="DH393"/>
  <c r="DL393"/>
  <c r="DP393"/>
  <c r="DT393"/>
  <c r="CS328"/>
  <c r="CW328"/>
  <c r="DA328"/>
  <c r="DI328"/>
  <c r="DM328"/>
  <c r="DQ328"/>
  <c r="CL357"/>
  <c r="CP357"/>
  <c r="L144" i="8" s="1"/>
  <c r="CT357" i="6"/>
  <c r="O143" i="9" s="1"/>
  <c r="DB357" i="6"/>
  <c r="DF357"/>
  <c r="DJ357"/>
  <c r="DR357"/>
  <c r="CL393"/>
  <c r="CP393"/>
  <c r="CT393"/>
  <c r="CX393"/>
  <c r="DB393"/>
  <c r="DF393"/>
  <c r="DJ393"/>
  <c r="DN393"/>
  <c r="DR393"/>
  <c r="DA5"/>
  <c r="DA4" s="1"/>
  <c r="DE5"/>
  <c r="DE4" s="1"/>
  <c r="DB5"/>
  <c r="DB4" s="1"/>
  <c r="CY5"/>
  <c r="CY4" s="1"/>
  <c r="DC5"/>
  <c r="DC4" s="1"/>
  <c r="S40" i="4"/>
  <c r="S36"/>
  <c r="T36" s="1"/>
  <c r="S38"/>
  <c r="S34"/>
  <c r="S50"/>
  <c r="T50" s="1"/>
  <c r="S41"/>
  <c r="T41" s="1"/>
  <c r="S37"/>
  <c r="S33"/>
  <c r="S53"/>
  <c r="T53"/>
  <c r="S49"/>
  <c r="T49" s="1"/>
  <c r="S51"/>
  <c r="T51"/>
  <c r="S52"/>
  <c r="T52" s="1"/>
  <c r="S48"/>
  <c r="T48"/>
  <c r="S23"/>
  <c r="S58"/>
  <c r="T58" s="1"/>
  <c r="S63"/>
  <c r="T63" s="1"/>
  <c r="S62"/>
  <c r="T62" s="1"/>
  <c r="S20"/>
  <c r="S22"/>
  <c r="S21"/>
  <c r="S54"/>
  <c r="T54" s="1"/>
  <c r="S59"/>
  <c r="T59"/>
  <c r="S27"/>
  <c r="T27" s="1"/>
  <c r="S26"/>
  <c r="S25"/>
  <c r="S24"/>
  <c r="T24" s="1"/>
  <c r="N155" i="10"/>
  <c r="B141"/>
  <c r="O108"/>
  <c r="G108"/>
  <c r="L108"/>
  <c r="J108"/>
  <c r="M108"/>
  <c r="H108"/>
  <c r="I157"/>
  <c r="N128"/>
  <c r="H144"/>
  <c r="M111" i="4"/>
  <c r="M116"/>
  <c r="G140" i="10"/>
  <c r="P122"/>
  <c r="G118"/>
  <c r="M118"/>
  <c r="H118"/>
  <c r="N118"/>
  <c r="L118"/>
  <c r="P118"/>
  <c r="G114"/>
  <c r="O114"/>
  <c r="J110"/>
  <c r="O110"/>
  <c r="P106" i="4"/>
  <c r="O108"/>
  <c r="N128"/>
  <c r="N115"/>
  <c r="O138"/>
  <c r="M134"/>
  <c r="M109"/>
  <c r="L117"/>
  <c r="K158"/>
  <c r="K133"/>
  <c r="K112"/>
  <c r="K106"/>
  <c r="J139"/>
  <c r="J119"/>
  <c r="J113"/>
  <c r="J107"/>
  <c r="I115"/>
  <c r="I109"/>
  <c r="H108"/>
  <c r="S119" i="8"/>
  <c r="Q133"/>
  <c r="Q128"/>
  <c r="Q119"/>
  <c r="Q108"/>
  <c r="Q135"/>
  <c r="P109"/>
  <c r="L145" i="10"/>
  <c r="P138"/>
  <c r="L135"/>
  <c r="L117"/>
  <c r="M117"/>
  <c r="H112"/>
  <c r="N112"/>
  <c r="O112"/>
  <c r="G112"/>
  <c r="L112"/>
  <c r="P112"/>
  <c r="J112"/>
  <c r="M112"/>
  <c r="H109"/>
  <c r="N109"/>
  <c r="O109"/>
  <c r="G109"/>
  <c r="L109"/>
  <c r="P109"/>
  <c r="J109"/>
  <c r="M109"/>
  <c r="J106"/>
  <c r="M106"/>
  <c r="H106"/>
  <c r="N106"/>
  <c r="O106"/>
  <c r="G106"/>
  <c r="L106"/>
  <c r="P106"/>
  <c r="P120" i="4"/>
  <c r="P140"/>
  <c r="O145"/>
  <c r="O132"/>
  <c r="O127"/>
  <c r="O113"/>
  <c r="N139"/>
  <c r="N132"/>
  <c r="N123"/>
  <c r="N118"/>
  <c r="N113"/>
  <c r="N106"/>
  <c r="N138"/>
  <c r="M133"/>
  <c r="M127"/>
  <c r="M118"/>
  <c r="M112"/>
  <c r="M108"/>
  <c r="K107"/>
  <c r="K111"/>
  <c r="K116"/>
  <c r="K138"/>
  <c r="K142"/>
  <c r="J146"/>
  <c r="J138"/>
  <c r="J131"/>
  <c r="J118"/>
  <c r="J111"/>
  <c r="I139"/>
  <c r="I127"/>
  <c r="I119"/>
  <c r="I113"/>
  <c r="I107"/>
  <c r="H158"/>
  <c r="I158"/>
  <c r="O158"/>
  <c r="M156"/>
  <c r="H152"/>
  <c r="I152"/>
  <c r="L147"/>
  <c r="M147"/>
  <c r="R147"/>
  <c r="I145"/>
  <c r="P145"/>
  <c r="Q145"/>
  <c r="H141"/>
  <c r="I141"/>
  <c r="N141"/>
  <c r="L139"/>
  <c r="O139"/>
  <c r="I136"/>
  <c r="J136"/>
  <c r="M136"/>
  <c r="K134"/>
  <c r="L134"/>
  <c r="P134"/>
  <c r="I132"/>
  <c r="J132"/>
  <c r="M132"/>
  <c r="L130"/>
  <c r="P130"/>
  <c r="H128"/>
  <c r="J128"/>
  <c r="M128"/>
  <c r="Q128"/>
  <c r="K123"/>
  <c r="L123"/>
  <c r="P123"/>
  <c r="H121"/>
  <c r="I121"/>
  <c r="J121"/>
  <c r="Q121"/>
  <c r="L119"/>
  <c r="P119"/>
  <c r="H117"/>
  <c r="I117"/>
  <c r="J117"/>
  <c r="R117"/>
  <c r="O115"/>
  <c r="Q115"/>
  <c r="I112"/>
  <c r="J112"/>
  <c r="O110"/>
  <c r="P110"/>
  <c r="I108"/>
  <c r="J108"/>
  <c r="S148" i="8"/>
  <c r="S107"/>
  <c r="S137"/>
  <c r="Q107"/>
  <c r="Q146"/>
  <c r="S143"/>
  <c r="O116" i="4"/>
  <c r="O129"/>
  <c r="O133"/>
  <c r="O122"/>
  <c r="N109"/>
  <c r="N107"/>
  <c r="N120"/>
  <c r="N122"/>
  <c r="N131"/>
  <c r="N135"/>
  <c r="N146"/>
  <c r="M141"/>
  <c r="M138"/>
  <c r="M131"/>
  <c r="M117"/>
  <c r="M110"/>
  <c r="M107"/>
  <c r="M119"/>
  <c r="I138"/>
  <c r="I131"/>
  <c r="I123"/>
  <c r="I118"/>
  <c r="I111"/>
  <c r="G146"/>
  <c r="G142"/>
  <c r="G138"/>
  <c r="G135"/>
  <c r="G133"/>
  <c r="G129"/>
  <c r="G127"/>
  <c r="G122"/>
  <c r="G118"/>
  <c r="G116"/>
  <c r="G113"/>
  <c r="G111"/>
  <c r="G109"/>
  <c r="M106"/>
  <c r="O106"/>
  <c r="P113" i="8"/>
  <c r="H116"/>
  <c r="L119" i="10"/>
  <c r="G119"/>
  <c r="J119"/>
  <c r="M119"/>
  <c r="N119"/>
  <c r="R119"/>
  <c r="O119"/>
  <c r="L115"/>
  <c r="P115"/>
  <c r="G115"/>
  <c r="J115"/>
  <c r="M115"/>
  <c r="H115"/>
  <c r="N115"/>
  <c r="O115"/>
  <c r="J111"/>
  <c r="G107"/>
  <c r="L107"/>
  <c r="P107"/>
  <c r="J107"/>
  <c r="M107"/>
  <c r="H107"/>
  <c r="N107"/>
  <c r="R107"/>
  <c r="O107"/>
  <c r="R107" i="4"/>
  <c r="R122"/>
  <c r="B108" i="8"/>
  <c r="B110"/>
  <c r="B117"/>
  <c r="B130"/>
  <c r="B132"/>
  <c r="B136"/>
  <c r="B139"/>
  <c r="U153"/>
  <c r="U136"/>
  <c r="U113"/>
  <c r="T141"/>
  <c r="T133"/>
  <c r="T128"/>
  <c r="T120"/>
  <c r="U118"/>
  <c r="T113"/>
  <c r="T112"/>
  <c r="S142"/>
  <c r="S132"/>
  <c r="S128"/>
  <c r="S117"/>
  <c r="T114"/>
  <c r="S111"/>
  <c r="Q153"/>
  <c r="U147"/>
  <c r="Q141"/>
  <c r="Q131"/>
  <c r="Q124"/>
  <c r="Q120"/>
  <c r="Q111"/>
  <c r="P157"/>
  <c r="P152"/>
  <c r="P142"/>
  <c r="P135"/>
  <c r="P131"/>
  <c r="P124"/>
  <c r="P120"/>
  <c r="S116"/>
  <c r="O153"/>
  <c r="O145"/>
  <c r="O136"/>
  <c r="O132"/>
  <c r="O128"/>
  <c r="O117"/>
  <c r="O112"/>
  <c r="O108"/>
  <c r="M152"/>
  <c r="M140"/>
  <c r="M131"/>
  <c r="M120"/>
  <c r="M117"/>
  <c r="M112"/>
  <c r="M108"/>
  <c r="L158"/>
  <c r="L153"/>
  <c r="L145"/>
  <c r="L141"/>
  <c r="L136"/>
  <c r="L132"/>
  <c r="L128"/>
  <c r="L121"/>
  <c r="L117"/>
  <c r="L112"/>
  <c r="L108"/>
  <c r="K158"/>
  <c r="K152"/>
  <c r="T148"/>
  <c r="O148"/>
  <c r="K143"/>
  <c r="K134"/>
  <c r="K128"/>
  <c r="K120"/>
  <c r="K108"/>
  <c r="I157"/>
  <c r="I148"/>
  <c r="I136"/>
  <c r="I131"/>
  <c r="I117"/>
  <c r="I111"/>
  <c r="H145"/>
  <c r="H140"/>
  <c r="H128"/>
  <c r="H120"/>
  <c r="H114"/>
  <c r="H109"/>
  <c r="G154"/>
  <c r="H154"/>
  <c r="I154"/>
  <c r="G148"/>
  <c r="G143"/>
  <c r="H143"/>
  <c r="I143"/>
  <c r="G134"/>
  <c r="H134"/>
  <c r="I134"/>
  <c r="G131"/>
  <c r="K129"/>
  <c r="G123"/>
  <c r="H123"/>
  <c r="I123"/>
  <c r="K118"/>
  <c r="G114"/>
  <c r="I114"/>
  <c r="G111"/>
  <c r="K109"/>
  <c r="H158"/>
  <c r="H136"/>
  <c r="G147"/>
  <c r="H147"/>
  <c r="I147"/>
  <c r="G139"/>
  <c r="H139"/>
  <c r="I139"/>
  <c r="K133"/>
  <c r="G130"/>
  <c r="H130"/>
  <c r="I130"/>
  <c r="K122"/>
  <c r="G119"/>
  <c r="I119"/>
  <c r="K113"/>
  <c r="G110"/>
  <c r="I110"/>
  <c r="L111" i="9"/>
  <c r="R142"/>
  <c r="R133"/>
  <c r="R127"/>
  <c r="R119"/>
  <c r="R107"/>
  <c r="P138"/>
  <c r="P132"/>
  <c r="P123"/>
  <c r="P118"/>
  <c r="P112"/>
  <c r="P106"/>
  <c r="O146"/>
  <c r="O140"/>
  <c r="O134"/>
  <c r="O129"/>
  <c r="O120"/>
  <c r="O115"/>
  <c r="O109"/>
  <c r="L142"/>
  <c r="L133"/>
  <c r="L122"/>
  <c r="L115"/>
  <c r="R146"/>
  <c r="R141"/>
  <c r="R131"/>
  <c r="R123"/>
  <c r="R115"/>
  <c r="R111"/>
  <c r="O139"/>
  <c r="O133"/>
  <c r="O127"/>
  <c r="O119"/>
  <c r="O113"/>
  <c r="O107"/>
  <c r="L108"/>
  <c r="L112"/>
  <c r="L117"/>
  <c r="L120"/>
  <c r="L127"/>
  <c r="L131"/>
  <c r="L135"/>
  <c r="L140"/>
  <c r="L107"/>
  <c r="R145"/>
  <c r="R140"/>
  <c r="R135"/>
  <c r="R130"/>
  <c r="R122"/>
  <c r="R117"/>
  <c r="R113"/>
  <c r="R110"/>
  <c r="P146"/>
  <c r="P141"/>
  <c r="P134"/>
  <c r="P129"/>
  <c r="P121"/>
  <c r="P115"/>
  <c r="O138"/>
  <c r="O131"/>
  <c r="O123"/>
  <c r="O118"/>
  <c r="O111"/>
  <c r="L145"/>
  <c r="L138"/>
  <c r="L129"/>
  <c r="L110"/>
  <c r="B107"/>
  <c r="B111"/>
  <c r="B116"/>
  <c r="R158"/>
  <c r="R152"/>
  <c r="R139"/>
  <c r="R136"/>
  <c r="R132"/>
  <c r="R128"/>
  <c r="R121"/>
  <c r="R118"/>
  <c r="R109"/>
  <c r="Q157"/>
  <c r="Q151"/>
  <c r="Q144"/>
  <c r="Q140"/>
  <c r="Q135"/>
  <c r="Q131"/>
  <c r="Q127"/>
  <c r="Q120"/>
  <c r="Q116"/>
  <c r="Q111"/>
  <c r="Q107"/>
  <c r="P157"/>
  <c r="P151"/>
  <c r="P144"/>
  <c r="P140"/>
  <c r="P135"/>
  <c r="P131"/>
  <c r="P127"/>
  <c r="P120"/>
  <c r="P116"/>
  <c r="P111"/>
  <c r="P107"/>
  <c r="O157"/>
  <c r="O152"/>
  <c r="O145"/>
  <c r="O141"/>
  <c r="O136"/>
  <c r="O132"/>
  <c r="O128"/>
  <c r="O121"/>
  <c r="O117"/>
  <c r="O112"/>
  <c r="O108"/>
  <c r="N158"/>
  <c r="N152"/>
  <c r="N145"/>
  <c r="N141"/>
  <c r="N136"/>
  <c r="N132"/>
  <c r="N128"/>
  <c r="N121"/>
  <c r="N117"/>
  <c r="N112"/>
  <c r="N108"/>
  <c r="M158"/>
  <c r="M152"/>
  <c r="M145"/>
  <c r="M141"/>
  <c r="M136"/>
  <c r="M132"/>
  <c r="M128"/>
  <c r="M121"/>
  <c r="L147"/>
  <c r="L139"/>
  <c r="L134"/>
  <c r="L130"/>
  <c r="L123"/>
  <c r="L119"/>
  <c r="L116"/>
  <c r="K112"/>
  <c r="K108"/>
  <c r="J158"/>
  <c r="J152"/>
  <c r="J145"/>
  <c r="J141"/>
  <c r="J136"/>
  <c r="J132"/>
  <c r="J128"/>
  <c r="J121"/>
  <c r="J117"/>
  <c r="J112"/>
  <c r="J108"/>
  <c r="I158"/>
  <c r="I152"/>
  <c r="I145"/>
  <c r="I141"/>
  <c r="I136"/>
  <c r="I132"/>
  <c r="I128"/>
  <c r="I121"/>
  <c r="I117"/>
  <c r="I112"/>
  <c r="I108"/>
  <c r="H158"/>
  <c r="H152"/>
  <c r="H145"/>
  <c r="H141"/>
  <c r="H136"/>
  <c r="H132"/>
  <c r="H128"/>
  <c r="H121"/>
  <c r="H117"/>
  <c r="H112"/>
  <c r="H108"/>
  <c r="DJ219" i="6"/>
  <c r="DJ218" s="1"/>
  <c r="DK328"/>
  <c r="DO328"/>
  <c r="DS328"/>
  <c r="CN357"/>
  <c r="CR357"/>
  <c r="CV357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/>
  <c r="T40"/>
  <c r="T20"/>
  <c r="T39"/>
  <c r="T25"/>
  <c r="T26"/>
  <c r="T37"/>
  <c r="T17"/>
  <c r="T15"/>
  <c r="T21"/>
  <c r="T23"/>
  <c r="T33"/>
  <c r="T38"/>
  <c r="T13"/>
  <c r="S11"/>
  <c r="T11" s="1"/>
  <c r="G143" i="9"/>
  <c r="K143"/>
  <c r="S31" i="4"/>
  <c r="T31" s="1"/>
  <c r="S57"/>
  <c r="T57" s="1"/>
  <c r="S65"/>
  <c r="T65" s="1"/>
  <c r="S64"/>
  <c r="T64"/>
  <c r="B155" i="10"/>
  <c r="E4" i="8"/>
  <c r="B118"/>
  <c r="B144" i="9"/>
  <c r="B50"/>
  <c r="B46" i="4"/>
  <c r="B117"/>
  <c r="P8" i="8"/>
  <c r="P103" s="1"/>
  <c r="B11" i="9"/>
  <c r="B37"/>
  <c r="B113"/>
  <c r="B33" i="8"/>
  <c r="Q8"/>
  <c r="Q103" s="1"/>
  <c r="B107"/>
  <c r="B33" i="9"/>
  <c r="B26" i="8"/>
  <c r="B42" i="9"/>
  <c r="B158"/>
  <c r="B115" i="8"/>
  <c r="B43" i="9"/>
  <c r="B145"/>
  <c r="B104" i="12"/>
  <c r="B123"/>
  <c r="B120"/>
  <c r="B124"/>
  <c r="B154"/>
  <c r="B106"/>
  <c r="B110"/>
  <c r="B121"/>
  <c r="B125"/>
  <c r="B150"/>
  <c r="B155"/>
  <c r="B53"/>
  <c r="B114"/>
  <c r="B118"/>
  <c r="B122"/>
  <c r="R150" i="10"/>
  <c r="Q151"/>
  <c r="P151"/>
  <c r="Q155"/>
  <c r="M143"/>
  <c r="H143"/>
  <c r="R146" i="4"/>
  <c r="Q140"/>
  <c r="P144"/>
  <c r="N116"/>
  <c r="L135"/>
  <c r="K153"/>
  <c r="I157"/>
  <c r="H110"/>
  <c r="H156"/>
  <c r="G134"/>
  <c r="Q127"/>
  <c r="O121"/>
  <c r="U139" i="8"/>
  <c r="T146"/>
  <c r="T124"/>
  <c r="S157"/>
  <c r="S120"/>
  <c r="S154"/>
  <c r="P141"/>
  <c r="O152"/>
  <c r="M130"/>
  <c r="M107"/>
  <c r="L123"/>
  <c r="K110"/>
  <c r="H122"/>
  <c r="Q158" i="9"/>
  <c r="P158"/>
  <c r="M112"/>
  <c r="K158"/>
  <c r="J133"/>
  <c r="I133"/>
  <c r="H107"/>
  <c r="G153"/>
  <c r="G146"/>
  <c r="M139"/>
  <c r="N134"/>
  <c r="G130"/>
  <c r="K123"/>
  <c r="H119"/>
  <c r="J153" i="12"/>
  <c r="K153"/>
  <c r="I153"/>
  <c r="H153" i="9"/>
  <c r="I113"/>
  <c r="I127"/>
  <c r="I142"/>
  <c r="J107"/>
  <c r="J123"/>
  <c r="J138"/>
  <c r="K111"/>
  <c r="K152"/>
  <c r="L121"/>
  <c r="M127"/>
  <c r="M146"/>
  <c r="N120"/>
  <c r="N151"/>
  <c r="P152"/>
  <c r="Q106"/>
  <c r="Q123"/>
  <c r="Q145"/>
  <c r="R120"/>
  <c r="H110" i="8"/>
  <c r="H141"/>
  <c r="K130"/>
  <c r="L116"/>
  <c r="L131"/>
  <c r="L154"/>
  <c r="M110"/>
  <c r="M122"/>
  <c r="M141"/>
  <c r="M154"/>
  <c r="O120"/>
  <c r="O154"/>
  <c r="P123"/>
  <c r="P154"/>
  <c r="Q145"/>
  <c r="U154"/>
  <c r="S112"/>
  <c r="S122"/>
  <c r="S134"/>
  <c r="S158"/>
  <c r="T122"/>
  <c r="U129"/>
  <c r="T136"/>
  <c r="U108"/>
  <c r="U128"/>
  <c r="U145"/>
  <c r="I116" i="9"/>
  <c r="I131"/>
  <c r="I144"/>
  <c r="J110"/>
  <c r="J127"/>
  <c r="J142"/>
  <c r="K119"/>
  <c r="K153"/>
  <c r="L144"/>
  <c r="M110"/>
  <c r="M134"/>
  <c r="M147"/>
  <c r="N130"/>
  <c r="P113"/>
  <c r="P153"/>
  <c r="Q113"/>
  <c r="Q133"/>
  <c r="Q153"/>
  <c r="R144"/>
  <c r="H118" i="8"/>
  <c r="K148"/>
  <c r="L118"/>
  <c r="L134"/>
  <c r="M114"/>
  <c r="M128"/>
  <c r="M145"/>
  <c r="O139"/>
  <c r="S135"/>
  <c r="P158"/>
  <c r="Q154"/>
  <c r="S159"/>
  <c r="S108"/>
  <c r="S113"/>
  <c r="S123"/>
  <c r="S139"/>
  <c r="U122"/>
  <c r="T131"/>
  <c r="T139"/>
  <c r="U111"/>
  <c r="U131"/>
  <c r="U158"/>
  <c r="H116" i="4"/>
  <c r="I153"/>
  <c r="L116"/>
  <c r="M158"/>
  <c r="R153"/>
  <c r="H138" i="9"/>
  <c r="I110"/>
  <c r="I123"/>
  <c r="I135"/>
  <c r="J119"/>
  <c r="J135"/>
  <c r="K139"/>
  <c r="L158"/>
  <c r="M120"/>
  <c r="M142"/>
  <c r="N113"/>
  <c r="N147"/>
  <c r="O158"/>
  <c r="P133"/>
  <c r="Q122"/>
  <c r="Q142"/>
  <c r="R147"/>
  <c r="Q117"/>
  <c r="N109"/>
  <c r="L157"/>
  <c r="I106"/>
  <c r="Q157" i="10"/>
  <c r="P157"/>
  <c r="P132"/>
  <c r="N150"/>
  <c r="R155"/>
  <c r="M150"/>
  <c r="H130"/>
  <c r="J138"/>
  <c r="M126"/>
  <c r="L109" i="4"/>
  <c r="J116"/>
  <c r="H122"/>
  <c r="U141" i="8"/>
  <c r="U110"/>
  <c r="T129"/>
  <c r="S129"/>
  <c r="S109"/>
  <c r="T154"/>
  <c r="P145"/>
  <c r="O113"/>
  <c r="M134"/>
  <c r="M109"/>
  <c r="L146"/>
  <c r="K154"/>
  <c r="H132"/>
  <c r="O144" i="9"/>
  <c r="M135"/>
  <c r="J144"/>
  <c r="I156"/>
  <c r="Q110"/>
  <c r="K107"/>
  <c r="J156"/>
  <c r="N135"/>
  <c r="G131"/>
  <c r="J116"/>
  <c r="G111"/>
  <c r="G107"/>
  <c r="CS357" i="6"/>
  <c r="R139" i="4"/>
  <c r="Q139"/>
  <c r="O147"/>
  <c r="K135"/>
  <c r="O151"/>
  <c r="L113"/>
  <c r="T116" i="8"/>
  <c r="P110"/>
  <c r="O122"/>
  <c r="I116"/>
  <c r="H159"/>
  <c r="P153"/>
  <c r="O146"/>
  <c r="H142"/>
  <c r="M137"/>
  <c r="M129"/>
  <c r="G118"/>
  <c r="T109"/>
  <c r="O106" i="9"/>
  <c r="I109"/>
  <c r="G158"/>
  <c r="G152"/>
  <c r="M129"/>
  <c r="G118"/>
  <c r="DJ271" i="6"/>
  <c r="S147" i="8"/>
  <c r="G158"/>
  <c r="H152"/>
  <c r="I145"/>
  <c r="K141"/>
  <c r="M136"/>
  <c r="P132"/>
  <c r="G121"/>
  <c r="T117"/>
  <c r="I112"/>
  <c r="H108"/>
  <c r="P109" i="9"/>
  <c r="G157"/>
  <c r="L151"/>
  <c r="G117"/>
  <c r="Q112"/>
  <c r="M108"/>
  <c r="DP328" i="6"/>
  <c r="CW393"/>
  <c r="P135" i="12"/>
  <c r="G106"/>
  <c r="O106"/>
  <c r="J121"/>
  <c r="L133"/>
  <c r="L129"/>
  <c r="N120"/>
  <c r="M122"/>
  <c r="Q108"/>
  <c r="Q110"/>
  <c r="Q117"/>
  <c r="Q119"/>
  <c r="Q121"/>
  <c r="L128"/>
  <c r="Q106"/>
  <c r="Q109"/>
  <c r="Q112"/>
  <c r="Q114"/>
  <c r="Q116"/>
  <c r="Q118"/>
  <c r="Q120"/>
  <c r="J106"/>
  <c r="R106"/>
  <c r="J107"/>
  <c r="R116"/>
  <c r="N117"/>
  <c r="J118"/>
  <c r="P152"/>
  <c r="K152"/>
  <c r="J152"/>
  <c r="I152"/>
  <c r="G122"/>
  <c r="G121"/>
  <c r="G120"/>
  <c r="G119"/>
  <c r="G118"/>
  <c r="G117"/>
  <c r="G116"/>
  <c r="G115"/>
  <c r="G114"/>
  <c r="G112"/>
  <c r="G110"/>
  <c r="G109"/>
  <c r="G108"/>
  <c r="K138"/>
  <c r="K121"/>
  <c r="K120"/>
  <c r="K118"/>
  <c r="K117"/>
  <c r="K116"/>
  <c r="K114"/>
  <c r="K112"/>
  <c r="K110"/>
  <c r="K109"/>
  <c r="K108"/>
  <c r="O121"/>
  <c r="O120"/>
  <c r="O118"/>
  <c r="O117"/>
  <c r="O116"/>
  <c r="O114"/>
  <c r="O112"/>
  <c r="O110"/>
  <c r="O109"/>
  <c r="O108"/>
  <c r="K106"/>
  <c r="J108"/>
  <c r="R110"/>
  <c r="N114"/>
  <c r="R117"/>
  <c r="N118"/>
  <c r="J119"/>
  <c r="R121"/>
  <c r="R109"/>
  <c r="N110"/>
  <c r="R112"/>
  <c r="J114"/>
  <c r="R120"/>
  <c r="N121"/>
  <c r="H139"/>
  <c r="R139"/>
  <c r="Q139"/>
  <c r="L143"/>
  <c r="G143"/>
  <c r="P156"/>
  <c r="L156"/>
  <c r="H156"/>
  <c r="O156"/>
  <c r="K156"/>
  <c r="G156"/>
  <c r="R156"/>
  <c r="N156"/>
  <c r="J156"/>
  <c r="B156"/>
  <c r="Q156"/>
  <c r="M156"/>
  <c r="I156"/>
  <c r="N106"/>
  <c r="N108"/>
  <c r="J109"/>
  <c r="J112"/>
  <c r="R114"/>
  <c r="N115"/>
  <c r="J116"/>
  <c r="R118"/>
  <c r="J120"/>
  <c r="R108"/>
  <c r="N109"/>
  <c r="J110"/>
  <c r="N112"/>
  <c r="N116"/>
  <c r="J117"/>
  <c r="O126"/>
  <c r="K126"/>
  <c r="G126"/>
  <c r="R126"/>
  <c r="N126"/>
  <c r="J126"/>
  <c r="B126"/>
  <c r="M126"/>
  <c r="O127"/>
  <c r="N127"/>
  <c r="O128"/>
  <c r="K128"/>
  <c r="G128"/>
  <c r="R128"/>
  <c r="N128"/>
  <c r="J128"/>
  <c r="B128"/>
  <c r="M128"/>
  <c r="O129"/>
  <c r="K129"/>
  <c r="G129"/>
  <c r="R129"/>
  <c r="N129"/>
  <c r="J129"/>
  <c r="B129"/>
  <c r="M129"/>
  <c r="O130"/>
  <c r="K130"/>
  <c r="G130"/>
  <c r="R130"/>
  <c r="N130"/>
  <c r="J130"/>
  <c r="B130"/>
  <c r="M130"/>
  <c r="O131"/>
  <c r="N131"/>
  <c r="O132"/>
  <c r="K132"/>
  <c r="G132"/>
  <c r="R132"/>
  <c r="N132"/>
  <c r="J132"/>
  <c r="B132"/>
  <c r="M132"/>
  <c r="O133"/>
  <c r="K133"/>
  <c r="G133"/>
  <c r="R133"/>
  <c r="N133"/>
  <c r="J133"/>
  <c r="B133"/>
  <c r="M133"/>
  <c r="O134"/>
  <c r="K134"/>
  <c r="G134"/>
  <c r="R134"/>
  <c r="N134"/>
  <c r="J134"/>
  <c r="B134"/>
  <c r="Q134"/>
  <c r="M134"/>
  <c r="L140"/>
  <c r="H140"/>
  <c r="O140"/>
  <c r="K140"/>
  <c r="G140"/>
  <c r="R140"/>
  <c r="N140"/>
  <c r="J140"/>
  <c r="B140"/>
  <c r="Q140"/>
  <c r="M140"/>
  <c r="I140"/>
  <c r="P144"/>
  <c r="L144"/>
  <c r="O144"/>
  <c r="K144"/>
  <c r="G144"/>
  <c r="R144"/>
  <c r="N144"/>
  <c r="J144"/>
  <c r="Q144"/>
  <c r="M144"/>
  <c r="I144"/>
  <c r="P157"/>
  <c r="O157"/>
  <c r="K157"/>
  <c r="N157"/>
  <c r="J157"/>
  <c r="M157"/>
  <c r="I157"/>
  <c r="P106"/>
  <c r="H107"/>
  <c r="H108"/>
  <c r="L108"/>
  <c r="L109"/>
  <c r="P109"/>
  <c r="P110"/>
  <c r="H111"/>
  <c r="H112"/>
  <c r="L112"/>
  <c r="L114"/>
  <c r="P114"/>
  <c r="P115"/>
  <c r="H116"/>
  <c r="H117"/>
  <c r="L117"/>
  <c r="L118"/>
  <c r="P118"/>
  <c r="P119"/>
  <c r="H120"/>
  <c r="H121"/>
  <c r="L121"/>
  <c r="H126"/>
  <c r="P126"/>
  <c r="H128"/>
  <c r="P128"/>
  <c r="H130"/>
  <c r="P130"/>
  <c r="H132"/>
  <c r="P132"/>
  <c r="H134"/>
  <c r="P134"/>
  <c r="L138"/>
  <c r="H138"/>
  <c r="R138"/>
  <c r="N138"/>
  <c r="J138"/>
  <c r="Q138"/>
  <c r="I138"/>
  <c r="O138"/>
  <c r="G138"/>
  <c r="M138"/>
  <c r="B138"/>
  <c r="P141"/>
  <c r="L141"/>
  <c r="H141"/>
  <c r="O141"/>
  <c r="K141"/>
  <c r="G141"/>
  <c r="R141"/>
  <c r="N141"/>
  <c r="J141"/>
  <c r="B141"/>
  <c r="Q141"/>
  <c r="M141"/>
  <c r="I141"/>
  <c r="P145"/>
  <c r="L145"/>
  <c r="H145"/>
  <c r="O145"/>
  <c r="K145"/>
  <c r="G145"/>
  <c r="R145"/>
  <c r="N145"/>
  <c r="J145"/>
  <c r="B145"/>
  <c r="Q145"/>
  <c r="M145"/>
  <c r="I145"/>
  <c r="P158"/>
  <c r="L158"/>
  <c r="H158"/>
  <c r="O158"/>
  <c r="K158"/>
  <c r="G158"/>
  <c r="R158"/>
  <c r="N158"/>
  <c r="J158"/>
  <c r="B158"/>
  <c r="Q158"/>
  <c r="M158"/>
  <c r="I158"/>
  <c r="I106"/>
  <c r="M106"/>
  <c r="I107"/>
  <c r="M107"/>
  <c r="I108"/>
  <c r="M108"/>
  <c r="I109"/>
  <c r="M109"/>
  <c r="I110"/>
  <c r="M110"/>
  <c r="I111"/>
  <c r="M111"/>
  <c r="I112"/>
  <c r="M112"/>
  <c r="I114"/>
  <c r="M114"/>
  <c r="I115"/>
  <c r="M115"/>
  <c r="I116"/>
  <c r="M116"/>
  <c r="I117"/>
  <c r="M117"/>
  <c r="I118"/>
  <c r="M118"/>
  <c r="I119"/>
  <c r="M119"/>
  <c r="I120"/>
  <c r="M120"/>
  <c r="I121"/>
  <c r="M121"/>
  <c r="O122"/>
  <c r="K122"/>
  <c r="R122"/>
  <c r="N122"/>
  <c r="J122"/>
  <c r="I122"/>
  <c r="Q122"/>
  <c r="I126"/>
  <c r="Q126"/>
  <c r="I127"/>
  <c r="Q127"/>
  <c r="I128"/>
  <c r="Q128"/>
  <c r="I129"/>
  <c r="Q129"/>
  <c r="I130"/>
  <c r="Q130"/>
  <c r="I131"/>
  <c r="Q131"/>
  <c r="I132"/>
  <c r="Q132"/>
  <c r="I133"/>
  <c r="Q133"/>
  <c r="I134"/>
  <c r="P142"/>
  <c r="L142"/>
  <c r="H142"/>
  <c r="O142"/>
  <c r="K142"/>
  <c r="G142"/>
  <c r="R142"/>
  <c r="N142"/>
  <c r="J142"/>
  <c r="B142"/>
  <c r="Q142"/>
  <c r="M142"/>
  <c r="I142"/>
  <c r="P146"/>
  <c r="L146"/>
  <c r="H146"/>
  <c r="O146"/>
  <c r="K146"/>
  <c r="G146"/>
  <c r="R146"/>
  <c r="N146"/>
  <c r="J146"/>
  <c r="B146"/>
  <c r="Q146"/>
  <c r="M146"/>
  <c r="I146"/>
  <c r="P151"/>
  <c r="L151"/>
  <c r="H151"/>
  <c r="O151"/>
  <c r="K151"/>
  <c r="G151"/>
  <c r="R151"/>
  <c r="N151"/>
  <c r="J151"/>
  <c r="Q151"/>
  <c r="M151"/>
  <c r="I151"/>
  <c r="I135"/>
  <c r="M135"/>
  <c r="Q135"/>
  <c r="B135"/>
  <c r="J135"/>
  <c r="N135"/>
  <c r="R135"/>
  <c r="R137"/>
  <c r="G135"/>
  <c r="K135"/>
  <c r="K137"/>
  <c r="I143" i="9"/>
  <c r="I144" i="8"/>
  <c r="B143" i="10"/>
  <c r="R151"/>
  <c r="P134"/>
  <c r="P126"/>
  <c r="P131"/>
  <c r="J151"/>
  <c r="J134"/>
  <c r="H151"/>
  <c r="G143"/>
  <c r="G138"/>
  <c r="G129"/>
  <c r="Q116" i="4"/>
  <c r="P107"/>
  <c r="O123"/>
  <c r="N134"/>
  <c r="Q109"/>
  <c r="L152"/>
  <c r="L121"/>
  <c r="I142"/>
  <c r="G152"/>
  <c r="B138"/>
  <c r="G119"/>
  <c r="R108"/>
  <c r="B112" i="8"/>
  <c r="B140"/>
  <c r="U152"/>
  <c r="T158"/>
  <c r="T140"/>
  <c r="S145"/>
  <c r="S136"/>
  <c r="T147"/>
  <c r="P147"/>
  <c r="P139"/>
  <c r="P121"/>
  <c r="P116"/>
  <c r="P108"/>
  <c r="O142"/>
  <c r="O129"/>
  <c r="O118"/>
  <c r="O107"/>
  <c r="M121"/>
  <c r="K119"/>
  <c r="I118"/>
  <c r="I122"/>
  <c r="H119"/>
  <c r="L119"/>
  <c r="M119"/>
  <c r="Q143" i="10"/>
  <c r="P143"/>
  <c r="M145"/>
  <c r="K151"/>
  <c r="J131"/>
  <c r="I131"/>
  <c r="G126"/>
  <c r="B121" i="4"/>
  <c r="R151"/>
  <c r="R121"/>
  <c r="O107"/>
  <c r="N117"/>
  <c r="M140"/>
  <c r="J151"/>
  <c r="J140"/>
  <c r="G130"/>
  <c r="G110"/>
  <c r="T157" i="8"/>
  <c r="T108"/>
  <c r="S140"/>
  <c r="P136"/>
  <c r="P130"/>
  <c r="P118"/>
  <c r="P114"/>
  <c r="P107"/>
  <c r="K136"/>
  <c r="I137"/>
  <c r="H121"/>
  <c r="G152"/>
  <c r="I152"/>
  <c r="G145"/>
  <c r="K145"/>
  <c r="I128"/>
  <c r="H113"/>
  <c r="M113"/>
  <c r="I109"/>
  <c r="O109"/>
  <c r="K107"/>
  <c r="K135"/>
  <c r="K140"/>
  <c r="M124"/>
  <c r="L124"/>
  <c r="K117"/>
  <c r="O109" i="4"/>
  <c r="P127" i="10"/>
  <c r="O151"/>
  <c r="N151"/>
  <c r="M151"/>
  <c r="M127"/>
  <c r="J126"/>
  <c r="H129"/>
  <c r="J144"/>
  <c r="B110" i="4"/>
  <c r="R140"/>
  <c r="R112"/>
  <c r="P115"/>
  <c r="N152"/>
  <c r="L129"/>
  <c r="J120"/>
  <c r="H131"/>
  <c r="G139"/>
  <c r="B109" i="8"/>
  <c r="B152"/>
  <c r="U140"/>
  <c r="T145"/>
  <c r="T134"/>
  <c r="T130"/>
  <c r="T123"/>
  <c r="T118"/>
  <c r="T143"/>
  <c r="T137"/>
  <c r="S118"/>
  <c r="Q152"/>
  <c r="Q121"/>
  <c r="P140"/>
  <c r="P134"/>
  <c r="P122"/>
  <c r="U116"/>
  <c r="O158"/>
  <c r="O130"/>
  <c r="O119"/>
  <c r="O110"/>
  <c r="L137"/>
  <c r="L122"/>
  <c r="L114"/>
  <c r="K142"/>
  <c r="K124"/>
  <c r="I158"/>
  <c r="I120"/>
  <c r="H124"/>
  <c r="H117"/>
  <c r="K139"/>
  <c r="L139"/>
  <c r="M139"/>
  <c r="O134"/>
  <c r="U130"/>
  <c r="K123"/>
  <c r="O116"/>
  <c r="B108" i="9"/>
  <c r="B119"/>
  <c r="B134"/>
  <c r="Q108"/>
  <c r="P139"/>
  <c r="O135"/>
  <c r="N140"/>
  <c r="N133"/>
  <c r="N122"/>
  <c r="N115"/>
  <c r="N107"/>
  <c r="K142"/>
  <c r="K133"/>
  <c r="K122"/>
  <c r="K113"/>
  <c r="K106"/>
  <c r="J146"/>
  <c r="J111"/>
  <c r="I157"/>
  <c r="H116"/>
  <c r="K157"/>
  <c r="B146"/>
  <c r="G132"/>
  <c r="G119"/>
  <c r="G108"/>
  <c r="DQ357" i="6"/>
  <c r="N142" i="10" s="1"/>
  <c r="CQ393" i="6"/>
  <c r="CU393"/>
  <c r="B112" i="9"/>
  <c r="B130"/>
  <c r="B152"/>
  <c r="R157"/>
  <c r="Q152"/>
  <c r="Q139"/>
  <c r="Q132"/>
  <c r="Q119"/>
  <c r="P145"/>
  <c r="P130"/>
  <c r="P108"/>
  <c r="O153"/>
  <c r="N157"/>
  <c r="N146"/>
  <c r="N129"/>
  <c r="N119"/>
  <c r="N110"/>
  <c r="M157"/>
  <c r="M130"/>
  <c r="M119"/>
  <c r="L153"/>
  <c r="L106"/>
  <c r="K146"/>
  <c r="K138"/>
  <c r="K130"/>
  <c r="K118"/>
  <c r="K110"/>
  <c r="J157"/>
  <c r="J130"/>
  <c r="I153"/>
  <c r="I139"/>
  <c r="I122"/>
  <c r="H133"/>
  <c r="G128"/>
  <c r="CX328" i="6"/>
  <c r="CY393"/>
  <c r="DC393"/>
  <c r="DA393"/>
  <c r="DI393"/>
  <c r="DQ393"/>
  <c r="S61" i="4"/>
  <c r="T61" s="1"/>
  <c r="K147" i="8"/>
  <c r="T110"/>
  <c r="B123" i="9"/>
  <c r="B153"/>
  <c r="R153"/>
  <c r="R106"/>
  <c r="Q146"/>
  <c r="Q138"/>
  <c r="Q130"/>
  <c r="Q118"/>
  <c r="P142"/>
  <c r="P119"/>
  <c r="N153"/>
  <c r="N142"/>
  <c r="N127"/>
  <c r="N116"/>
  <c r="M153"/>
  <c r="M116"/>
  <c r="L152"/>
  <c r="K145"/>
  <c r="K136"/>
  <c r="K117"/>
  <c r="J153"/>
  <c r="I146"/>
  <c r="I138"/>
  <c r="I130"/>
  <c r="I119"/>
  <c r="I111"/>
  <c r="H157"/>
  <c r="CY328" i="6"/>
  <c r="CM328"/>
  <c r="DG328"/>
  <c r="DG393"/>
  <c r="DK393"/>
  <c r="O144" i="8"/>
  <c r="M143" i="9"/>
  <c r="K136" i="4"/>
  <c r="K109"/>
  <c r="K131"/>
  <c r="K117"/>
  <c r="G151"/>
  <c r="I151"/>
  <c r="L151"/>
  <c r="H151"/>
  <c r="M151"/>
  <c r="G144"/>
  <c r="N144"/>
  <c r="R144"/>
  <c r="I144"/>
  <c r="K144"/>
  <c r="K121"/>
  <c r="H144"/>
  <c r="G153"/>
  <c r="O153"/>
  <c r="J153"/>
  <c r="P153"/>
  <c r="Q153"/>
  <c r="L153"/>
  <c r="M153"/>
  <c r="N153"/>
  <c r="K147"/>
  <c r="Q147"/>
  <c r="B147"/>
  <c r="I147"/>
  <c r="Q132"/>
  <c r="R132"/>
  <c r="L132"/>
  <c r="P132"/>
  <c r="B132"/>
  <c r="K132"/>
  <c r="R106"/>
  <c r="G106"/>
  <c r="B106"/>
  <c r="M128" i="10"/>
  <c r="H157"/>
  <c r="M157"/>
  <c r="R146"/>
  <c r="B146"/>
  <c r="G132"/>
  <c r="Q144" i="4"/>
  <c r="O144"/>
  <c r="L144"/>
  <c r="K151"/>
  <c r="K119"/>
  <c r="J144"/>
  <c r="J158"/>
  <c r="R158"/>
  <c r="G158"/>
  <c r="Q158"/>
  <c r="H142"/>
  <c r="O142"/>
  <c r="P142"/>
  <c r="G115"/>
  <c r="L115"/>
  <c r="J115"/>
  <c r="R111"/>
  <c r="B111"/>
  <c r="B128" i="10"/>
  <c r="M146"/>
  <c r="J157"/>
  <c r="J152"/>
  <c r="Q152"/>
  <c r="K140"/>
  <c r="H140"/>
  <c r="G134"/>
  <c r="B144" i="4"/>
  <c r="P151"/>
  <c r="N151"/>
  <c r="M144"/>
  <c r="L142"/>
  <c r="K140"/>
  <c r="K108"/>
  <c r="L157"/>
  <c r="M157"/>
  <c r="H157"/>
  <c r="K157"/>
  <c r="J157"/>
  <c r="P157"/>
  <c r="J145"/>
  <c r="G145"/>
  <c r="K141"/>
  <c r="B141"/>
  <c r="P118"/>
  <c r="O118"/>
  <c r="R118"/>
  <c r="G107"/>
  <c r="B107"/>
  <c r="Q110" i="8"/>
  <c r="Q118"/>
  <c r="Q117"/>
  <c r="Q123"/>
  <c r="Q134"/>
  <c r="H157"/>
  <c r="G157"/>
  <c r="K157"/>
  <c r="H148"/>
  <c r="M148"/>
  <c r="U148"/>
  <c r="M111"/>
  <c r="O111"/>
  <c r="P111"/>
  <c r="T111"/>
  <c r="H111"/>
  <c r="K111"/>
  <c r="G107"/>
  <c r="G122"/>
  <c r="G124"/>
  <c r="Q132"/>
  <c r="Q114"/>
  <c r="L148"/>
  <c r="M143"/>
  <c r="O143"/>
  <c r="P143"/>
  <c r="G136"/>
  <c r="I133"/>
  <c r="P133"/>
  <c r="B133"/>
  <c r="H133"/>
  <c r="L133"/>
  <c r="G133"/>
  <c r="H129"/>
  <c r="Q129"/>
  <c r="G129"/>
  <c r="I129"/>
  <c r="L129"/>
  <c r="G120"/>
  <c r="G156" i="4"/>
  <c r="L146"/>
  <c r="Q146"/>
  <c r="L133"/>
  <c r="B133"/>
  <c r="H120"/>
  <c r="J110"/>
  <c r="K110"/>
  <c r="B111" i="8"/>
  <c r="U132"/>
  <c r="U121"/>
  <c r="U107"/>
  <c r="U146"/>
  <c r="U112"/>
  <c r="U114"/>
  <c r="Q130"/>
  <c r="Q112"/>
  <c r="U143"/>
  <c r="O157"/>
  <c r="M157"/>
  <c r="L157"/>
  <c r="L143"/>
  <c r="P159"/>
  <c r="Q159"/>
  <c r="I159"/>
  <c r="G159"/>
  <c r="K159"/>
  <c r="L159"/>
  <c r="M159"/>
  <c r="O159"/>
  <c r="I153"/>
  <c r="K153"/>
  <c r="M153"/>
  <c r="T153"/>
  <c r="H153"/>
  <c r="G153"/>
  <c r="K146"/>
  <c r="S146"/>
  <c r="G146"/>
  <c r="H146"/>
  <c r="I146"/>
  <c r="P146"/>
  <c r="G142"/>
  <c r="G132"/>
  <c r="G128"/>
  <c r="U117"/>
  <c r="B113"/>
  <c r="G113"/>
  <c r="W113" s="1"/>
  <c r="X113" s="1"/>
  <c r="L113"/>
  <c r="I113"/>
  <c r="U109"/>
  <c r="G109"/>
  <c r="L109"/>
  <c r="Q109"/>
  <c r="I135" i="4"/>
  <c r="M135"/>
  <c r="K127"/>
  <c r="P127"/>
  <c r="J122"/>
  <c r="R116"/>
  <c r="H109"/>
  <c r="U124" i="8"/>
  <c r="U134"/>
  <c r="Q157"/>
  <c r="Q142"/>
  <c r="Q122"/>
  <c r="Q116"/>
  <c r="P129"/>
  <c r="O133"/>
  <c r="M133"/>
  <c r="L111"/>
  <c r="G141"/>
  <c r="L135"/>
  <c r="M135"/>
  <c r="H135"/>
  <c r="G135"/>
  <c r="O135"/>
  <c r="T135"/>
  <c r="O131"/>
  <c r="S131"/>
  <c r="H131"/>
  <c r="K131"/>
  <c r="G116"/>
  <c r="G112"/>
  <c r="G108"/>
  <c r="M142"/>
  <c r="L140"/>
  <c r="K137"/>
  <c r="K121"/>
  <c r="K112"/>
  <c r="K114"/>
  <c r="I140"/>
  <c r="I132"/>
  <c r="I121"/>
  <c r="I107"/>
  <c r="H137"/>
  <c r="I142"/>
  <c r="G140"/>
  <c r="G137"/>
  <c r="U119"/>
  <c r="G117"/>
  <c r="R156" i="9"/>
  <c r="R138"/>
  <c r="R108"/>
  <c r="Q156"/>
  <c r="Q128"/>
  <c r="O116"/>
  <c r="N156"/>
  <c r="M123"/>
  <c r="M131"/>
  <c r="M138"/>
  <c r="L136"/>
  <c r="L109"/>
  <c r="K156"/>
  <c r="K128"/>
  <c r="J109"/>
  <c r="J115"/>
  <c r="J120"/>
  <c r="J140"/>
  <c r="I151"/>
  <c r="H142"/>
  <c r="H123"/>
  <c r="K135"/>
  <c r="G135"/>
  <c r="H135"/>
  <c r="M113"/>
  <c r="L113"/>
  <c r="G113"/>
  <c r="H113"/>
  <c r="M109"/>
  <c r="R129"/>
  <c r="P156"/>
  <c r="P128"/>
  <c r="O156"/>
  <c r="O142"/>
  <c r="O110"/>
  <c r="M156"/>
  <c r="L128"/>
  <c r="H140"/>
  <c r="H118"/>
  <c r="H127"/>
  <c r="H106"/>
  <c r="H131"/>
  <c r="H139"/>
  <c r="R112"/>
  <c r="R134"/>
  <c r="L132"/>
  <c r="L146"/>
  <c r="G156"/>
  <c r="H156"/>
  <c r="L156"/>
  <c r="K151"/>
  <c r="R151"/>
  <c r="G151"/>
  <c r="H151"/>
  <c r="B142" i="8"/>
  <c r="U142"/>
  <c r="T142"/>
  <c r="T119"/>
  <c r="U137"/>
  <c r="Q137"/>
  <c r="P128"/>
  <c r="P119"/>
  <c r="O137"/>
  <c r="O123"/>
  <c r="M132"/>
  <c r="M123"/>
  <c r="L152"/>
  <c r="L142"/>
  <c r="L130"/>
  <c r="L110"/>
  <c r="K132"/>
  <c r="K116"/>
  <c r="I141"/>
  <c r="I124"/>
  <c r="I108"/>
  <c r="H112"/>
  <c r="B156" i="9"/>
  <c r="R116"/>
  <c r="Q109"/>
  <c r="Q115"/>
  <c r="Q121"/>
  <c r="Q129"/>
  <c r="Q134"/>
  <c r="P110"/>
  <c r="P136"/>
  <c r="O151"/>
  <c r="O122"/>
  <c r="N106"/>
  <c r="N118"/>
  <c r="N123"/>
  <c r="N131"/>
  <c r="N138"/>
  <c r="M151"/>
  <c r="M140"/>
  <c r="M133"/>
  <c r="M122"/>
  <c r="M115"/>
  <c r="M107"/>
  <c r="L141"/>
  <c r="L118"/>
  <c r="K127"/>
  <c r="K140"/>
  <c r="K109"/>
  <c r="K115"/>
  <c r="K116"/>
  <c r="J151"/>
  <c r="J139"/>
  <c r="J131"/>
  <c r="J122"/>
  <c r="J113"/>
  <c r="J106"/>
  <c r="H146"/>
  <c r="H130"/>
  <c r="H111"/>
  <c r="H147"/>
  <c r="G147"/>
  <c r="I147"/>
  <c r="J147"/>
  <c r="K147"/>
  <c r="O147"/>
  <c r="P147"/>
  <c r="Q147"/>
  <c r="B147"/>
  <c r="K144"/>
  <c r="H144"/>
  <c r="M144"/>
  <c r="N144"/>
  <c r="G144"/>
  <c r="G141"/>
  <c r="K141"/>
  <c r="Q141"/>
  <c r="K120"/>
  <c r="H115"/>
  <c r="G116"/>
  <c r="G127"/>
  <c r="G140"/>
  <c r="H122"/>
  <c r="G139"/>
  <c r="G136"/>
  <c r="G134"/>
  <c r="H134"/>
  <c r="G129"/>
  <c r="H129"/>
  <c r="G123"/>
  <c r="G121"/>
  <c r="G110"/>
  <c r="G106"/>
  <c r="P122"/>
  <c r="O130"/>
  <c r="N111"/>
  <c r="M117"/>
  <c r="M111"/>
  <c r="M106"/>
  <c r="K134"/>
  <c r="K129"/>
  <c r="K121"/>
  <c r="J134"/>
  <c r="J129"/>
  <c r="I140"/>
  <c r="I134"/>
  <c r="I129"/>
  <c r="I120"/>
  <c r="I115"/>
  <c r="I107"/>
  <c r="H110"/>
  <c r="G145"/>
  <c r="G138"/>
  <c r="G133"/>
  <c r="K131"/>
  <c r="G122"/>
  <c r="G120"/>
  <c r="M118"/>
  <c r="G115"/>
  <c r="G112"/>
  <c r="S112" s="1"/>
  <c r="T112" s="1"/>
  <c r="G109"/>
  <c r="H120"/>
  <c r="H109"/>
  <c r="N143"/>
  <c r="P144" i="8"/>
  <c r="S147" i="12"/>
  <c r="T147" s="1"/>
  <c r="B153" i="4"/>
  <c r="M115"/>
  <c r="N111"/>
  <c r="O114" i="8"/>
  <c r="I143" i="10"/>
  <c r="P139" i="4"/>
  <c r="J130"/>
  <c r="G147"/>
  <c r="O131"/>
  <c r="Q123"/>
  <c r="U159" i="8"/>
  <c r="P117"/>
  <c r="K132" i="9"/>
  <c r="J109" i="4"/>
  <c r="L128"/>
  <c r="Q131"/>
  <c r="Q135"/>
  <c r="R115"/>
  <c r="B156"/>
  <c r="B118"/>
  <c r="L122"/>
  <c r="P108"/>
  <c r="N156"/>
  <c r="P111"/>
  <c r="G128" i="10"/>
  <c r="R135" i="4"/>
  <c r="Q117"/>
  <c r="Q110"/>
  <c r="Q106"/>
  <c r="Q139" i="8"/>
  <c r="M146"/>
  <c r="L120"/>
  <c r="M116"/>
  <c r="L8" i="9"/>
  <c r="L102" s="1"/>
  <c r="B104"/>
  <c r="B154"/>
  <c r="J118"/>
  <c r="Q136"/>
  <c r="K118" i="4"/>
  <c r="K115"/>
  <c r="L118"/>
  <c r="M122"/>
  <c r="P131"/>
  <c r="P117"/>
  <c r="P116"/>
  <c r="B131"/>
  <c r="G123"/>
  <c r="H8" i="9"/>
  <c r="H102" s="1"/>
  <c r="B124"/>
  <c r="P117"/>
  <c r="I118"/>
  <c r="CU357" i="6"/>
  <c r="S144" i="8" s="1"/>
  <c r="DC357" i="6"/>
  <c r="L143" i="4" s="1"/>
  <c r="DI357" i="6"/>
  <c r="R143" i="4" s="1"/>
  <c r="J143" i="9"/>
  <c r="P136" i="4"/>
  <c r="G112"/>
  <c r="S112" s="1"/>
  <c r="T112" s="1"/>
  <c r="H135"/>
  <c r="K156"/>
  <c r="P147"/>
  <c r="I122"/>
  <c r="K122"/>
  <c r="K144" i="10"/>
  <c r="B158" i="4"/>
  <c r="R141"/>
  <c r="B116" i="8"/>
  <c r="U123"/>
  <c r="S130"/>
  <c r="P112"/>
  <c r="M147"/>
  <c r="O140"/>
  <c r="M118"/>
  <c r="P8" i="9"/>
  <c r="P102" s="1"/>
  <c r="E192" i="6"/>
  <c r="DD5"/>
  <c r="DD4" s="1"/>
  <c r="DH5"/>
  <c r="DH4" s="1"/>
  <c r="B101" i="9"/>
  <c r="M8"/>
  <c r="M102" s="1"/>
  <c r="Q8"/>
  <c r="Q102" s="1"/>
  <c r="B135"/>
  <c r="B126"/>
  <c r="B143"/>
  <c r="B139"/>
  <c r="B106"/>
  <c r="B133"/>
  <c r="B138"/>
  <c r="B128"/>
  <c r="O112" i="4"/>
  <c r="O111"/>
  <c r="O130"/>
  <c r="J139" i="10"/>
  <c r="O132"/>
  <c r="B132"/>
  <c r="G157" i="4"/>
  <c r="R157"/>
  <c r="J106"/>
  <c r="J135"/>
  <c r="H138"/>
  <c r="R134"/>
  <c r="U120" i="8"/>
  <c r="O147"/>
  <c r="B114"/>
  <c r="L107"/>
  <c r="DI5" i="6"/>
  <c r="DI4" s="1"/>
  <c r="CQ328"/>
  <c r="CU328"/>
  <c r="Q141" i="4"/>
  <c r="Q112"/>
  <c r="L131"/>
  <c r="B147" i="8"/>
  <c r="T132"/>
  <c r="DG5" i="6"/>
  <c r="DG4" s="1"/>
  <c r="G142" i="9"/>
  <c r="DC328" i="6"/>
  <c r="CM357"/>
  <c r="H143" i="9" s="1"/>
  <c r="CS393" i="6"/>
  <c r="DE393"/>
  <c r="DU393"/>
  <c r="I137" i="12"/>
  <c r="M137"/>
  <c r="Q137"/>
  <c r="G137"/>
  <c r="N137"/>
  <c r="O137"/>
  <c r="L137"/>
  <c r="H137" i="10"/>
  <c r="L137"/>
  <c r="R137"/>
  <c r="K137"/>
  <c r="M137"/>
  <c r="N137"/>
  <c r="J137"/>
  <c r="P137"/>
  <c r="G137"/>
  <c r="B137" i="12"/>
  <c r="P137"/>
  <c r="H137"/>
  <c r="J137"/>
  <c r="O137" i="10"/>
  <c r="Q137"/>
  <c r="Q134" i="4"/>
  <c r="B115"/>
  <c r="Q150" i="10"/>
  <c r="P150"/>
  <c r="O156"/>
  <c r="L150"/>
  <c r="H135"/>
  <c r="L151"/>
  <c r="B152" i="4"/>
  <c r="O152"/>
  <c r="I116"/>
  <c r="B116"/>
  <c r="S153" i="8"/>
  <c r="B153"/>
  <c r="Q135" i="10"/>
  <c r="J150"/>
  <c r="H129" i="4"/>
  <c r="U133" i="8"/>
  <c r="B134" i="4"/>
  <c r="P129"/>
  <c r="H134"/>
  <c r="L111"/>
  <c r="H111"/>
  <c r="M132" i="10"/>
  <c r="I150"/>
  <c r="L110" i="4"/>
  <c r="L107"/>
  <c r="I135" i="8"/>
  <c r="B135"/>
  <c r="N139" i="9"/>
  <c r="B120" i="8"/>
  <c r="B159"/>
  <c r="T107"/>
  <c r="P143" i="9"/>
  <c r="I49" i="12"/>
  <c r="I64"/>
  <c r="I63"/>
  <c r="I59"/>
  <c r="I58"/>
  <c r="I53"/>
  <c r="I52"/>
  <c r="I51"/>
  <c r="I50"/>
  <c r="I48"/>
  <c r="I47"/>
  <c r="I46"/>
  <c r="I44"/>
  <c r="I41"/>
  <c r="I40"/>
  <c r="I39"/>
  <c r="I38"/>
  <c r="I37"/>
  <c r="I36"/>
  <c r="I34"/>
  <c r="I28"/>
  <c r="I27"/>
  <c r="I26"/>
  <c r="I25"/>
  <c r="I24"/>
  <c r="I23"/>
  <c r="I22"/>
  <c r="I21"/>
  <c r="I20"/>
  <c r="I19"/>
  <c r="I18"/>
  <c r="I17"/>
  <c r="I16"/>
  <c r="I15"/>
  <c r="I14"/>
  <c r="I13"/>
  <c r="I43"/>
  <c r="G51"/>
  <c r="H51"/>
  <c r="G15"/>
  <c r="H15"/>
  <c r="H44"/>
  <c r="H20"/>
  <c r="H21"/>
  <c r="H49"/>
  <c r="H50"/>
  <c r="H36"/>
  <c r="H38"/>
  <c r="H37"/>
  <c r="H27"/>
  <c r="H62"/>
  <c r="I62"/>
  <c r="G19"/>
  <c r="H19"/>
  <c r="G37"/>
  <c r="G47"/>
  <c r="H47"/>
  <c r="G52"/>
  <c r="H52"/>
  <c r="G58"/>
  <c r="H58"/>
  <c r="G38"/>
  <c r="G43"/>
  <c r="H43"/>
  <c r="G46"/>
  <c r="H46"/>
  <c r="G48"/>
  <c r="H48"/>
  <c r="G50"/>
  <c r="G20"/>
  <c r="G44"/>
  <c r="G53"/>
  <c r="H53"/>
  <c r="G33"/>
  <c r="H33"/>
  <c r="I33"/>
  <c r="G23"/>
  <c r="H23"/>
  <c r="G64"/>
  <c r="H64"/>
  <c r="G28"/>
  <c r="H28"/>
  <c r="G39"/>
  <c r="H39"/>
  <c r="H63"/>
  <c r="H12"/>
  <c r="I12"/>
  <c r="G12"/>
  <c r="G13"/>
  <c r="G14"/>
  <c r="G16"/>
  <c r="G17"/>
  <c r="G18"/>
  <c r="H13"/>
  <c r="H14"/>
  <c r="H16"/>
  <c r="H17"/>
  <c r="H18"/>
  <c r="H41"/>
  <c r="H59"/>
  <c r="G21"/>
  <c r="G27"/>
  <c r="H22"/>
  <c r="G59"/>
  <c r="G49"/>
  <c r="G41"/>
  <c r="G22"/>
  <c r="G36"/>
  <c r="G25"/>
  <c r="H25"/>
  <c r="G34"/>
  <c r="H34"/>
  <c r="G63"/>
  <c r="G26"/>
  <c r="H26"/>
  <c r="H40"/>
  <c r="G35"/>
  <c r="G24"/>
  <c r="H24"/>
  <c r="CR328" i="6"/>
  <c r="DE328"/>
  <c r="DU328"/>
  <c r="DR328"/>
  <c r="DB328"/>
  <c r="DL328"/>
  <c r="CX357"/>
  <c r="G143" i="4" s="1"/>
  <c r="DN357" i="6"/>
  <c r="K142" i="10" s="1"/>
  <c r="B107" i="12"/>
  <c r="B148"/>
  <c r="L108" i="4"/>
  <c r="S114" i="8"/>
  <c r="S110"/>
  <c r="H144"/>
  <c r="Q119" i="4"/>
  <c r="M113"/>
  <c r="N142"/>
  <c r="P113"/>
  <c r="DA357" i="6"/>
  <c r="J143" i="4" s="1"/>
  <c r="R116" i="10"/>
  <c r="F251" i="2"/>
  <c r="I140" i="4"/>
  <c r="O119"/>
  <c r="N121"/>
  <c r="CZ5" i="6"/>
  <c r="CZ4" s="1"/>
  <c r="L127" i="4"/>
  <c r="H122" i="10"/>
  <c r="P140"/>
  <c r="G155"/>
  <c r="N157" i="4"/>
  <c r="Q152"/>
  <c r="O128"/>
  <c r="N145" i="10"/>
  <c r="L131"/>
  <c r="G146"/>
  <c r="G142"/>
  <c r="Q136" i="4"/>
  <c r="G121"/>
  <c r="L141"/>
  <c r="R133"/>
  <c r="L158"/>
  <c r="P158"/>
  <c r="H139"/>
  <c r="P146"/>
  <c r="M152"/>
  <c r="I130"/>
  <c r="P133"/>
  <c r="H146"/>
  <c r="R152"/>
  <c r="Q130"/>
  <c r="P112"/>
  <c r="N130"/>
  <c r="K145"/>
  <c r="N136"/>
  <c r="L139" i="10"/>
  <c r="J155"/>
  <c r="O141"/>
  <c r="L157"/>
  <c r="H146"/>
  <c r="L126"/>
  <c r="P128"/>
  <c r="P146"/>
  <c r="J141"/>
  <c r="M131"/>
  <c r="M138"/>
  <c r="N122"/>
  <c r="H133" i="4"/>
  <c r="Q157"/>
  <c r="Q120"/>
  <c r="R138"/>
  <c r="H140"/>
  <c r="O120"/>
  <c r="R130"/>
  <c r="O157"/>
  <c r="K129"/>
  <c r="G141"/>
  <c r="O134" i="10"/>
  <c r="H128"/>
  <c r="K155"/>
  <c r="O138"/>
  <c r="K152"/>
  <c r="K157"/>
  <c r="O146"/>
  <c r="O131"/>
  <c r="O144"/>
  <c r="L146"/>
  <c r="J128"/>
  <c r="G151"/>
  <c r="G122"/>
  <c r="K122"/>
  <c r="O141" i="4"/>
  <c r="N147"/>
  <c r="M120"/>
  <c r="K152"/>
  <c r="K120"/>
  <c r="J156"/>
  <c r="J127"/>
  <c r="I156"/>
  <c r="I129"/>
  <c r="H147"/>
  <c r="S141" i="8"/>
  <c r="Q147"/>
  <c r="H138" i="10"/>
  <c r="N131"/>
  <c r="N129" i="4"/>
  <c r="L145"/>
  <c r="J152"/>
  <c r="H127"/>
  <c r="Q138"/>
  <c r="R120"/>
  <c r="M130"/>
  <c r="G128"/>
  <c r="H142" i="10"/>
  <c r="K144" i="8"/>
  <c r="N126" i="10"/>
  <c r="H126"/>
  <c r="P155"/>
  <c r="I134"/>
  <c r="R157"/>
  <c r="N146"/>
  <c r="O152"/>
  <c r="N144"/>
  <c r="L140"/>
  <c r="G144"/>
  <c r="P145"/>
  <c r="I151"/>
  <c r="J122"/>
  <c r="L122"/>
  <c r="P128" i="4"/>
  <c r="O134"/>
  <c r="N140"/>
  <c r="M139"/>
  <c r="L112"/>
  <c r="K139"/>
  <c r="J147"/>
  <c r="I146"/>
  <c r="I120"/>
  <c r="H130"/>
  <c r="S133" i="8"/>
  <c r="Q140"/>
  <c r="Q113"/>
  <c r="P137"/>
  <c r="L138" i="10"/>
  <c r="L121"/>
  <c r="P138" i="4"/>
  <c r="O140"/>
  <c r="N145"/>
  <c r="P122"/>
  <c r="M146"/>
  <c r="K146"/>
  <c r="J123"/>
  <c r="I133"/>
  <c r="L156"/>
  <c r="P152"/>
  <c r="H145"/>
  <c r="R145"/>
  <c r="J141"/>
  <c r="H136"/>
  <c r="R136"/>
  <c r="H132"/>
  <c r="K130"/>
  <c r="I128"/>
  <c r="R128"/>
  <c r="R123"/>
  <c r="M121"/>
  <c r="N112"/>
  <c r="Q148" i="8"/>
  <c r="N127" i="4"/>
  <c r="M145"/>
  <c r="M123"/>
  <c r="G140"/>
  <c r="G131"/>
  <c r="G120"/>
  <c r="Q143" i="8"/>
  <c r="P119" i="10"/>
  <c r="H119"/>
  <c r="T152" i="8"/>
  <c r="S152"/>
  <c r="S121"/>
  <c r="Q158"/>
  <c r="Q136"/>
  <c r="U135"/>
  <c r="O141"/>
  <c r="O121"/>
  <c r="M158"/>
  <c r="O143" i="4"/>
  <c r="G144" i="8"/>
  <c r="R142" i="10"/>
  <c r="H143" i="4"/>
  <c r="K143"/>
  <c r="O142" i="10"/>
  <c r="N143" i="4"/>
  <c r="U18" i="8"/>
  <c r="CO328" i="6"/>
  <c r="CQ357"/>
  <c r="M144" i="8" s="1"/>
  <c r="DO393" i="6"/>
  <c r="DS393"/>
  <c r="O130" i="10"/>
  <c r="H153" i="4"/>
  <c r="P18" i="8"/>
  <c r="Q18"/>
  <c r="S18"/>
  <c r="V18" s="1"/>
  <c r="T18"/>
  <c r="M18" i="9"/>
  <c r="N18"/>
  <c r="P18"/>
  <c r="G132" i="4"/>
  <c r="H123"/>
  <c r="Q133"/>
  <c r="M155" i="10"/>
  <c r="Q122" i="4"/>
  <c r="H106"/>
  <c r="Q129"/>
  <c r="O156"/>
  <c r="N158"/>
  <c r="L140"/>
  <c r="K113"/>
  <c r="I106"/>
  <c r="H113"/>
  <c r="R156"/>
  <c r="Q107"/>
  <c r="R142"/>
  <c r="Q142"/>
  <c r="P156"/>
  <c r="O135"/>
  <c r="P121"/>
  <c r="L120"/>
  <c r="J134"/>
  <c r="G136"/>
  <c r="G108"/>
  <c r="O136"/>
  <c r="L142" i="10"/>
  <c r="U144" i="8"/>
  <c r="J142" i="10"/>
  <c r="O128"/>
  <c r="L128"/>
  <c r="H155"/>
  <c r="I155"/>
  <c r="P116"/>
  <c r="P108"/>
  <c r="N108"/>
  <c r="G157"/>
  <c r="O157"/>
  <c r="J146"/>
  <c r="O126"/>
  <c r="H139"/>
  <c r="N157"/>
  <c r="L155"/>
  <c r="K126"/>
  <c r="M144"/>
  <c r="M142" i="4"/>
  <c r="H131" i="10"/>
  <c r="R138"/>
  <c r="M122"/>
  <c r="O122"/>
  <c r="J118"/>
  <c r="O118"/>
  <c r="H114"/>
  <c r="P135" i="4"/>
  <c r="O146"/>
  <c r="O117"/>
  <c r="N133"/>
  <c r="N108"/>
  <c r="M129"/>
  <c r="R18" i="9"/>
  <c r="L138" i="4"/>
  <c r="Q151"/>
  <c r="G18" i="9"/>
  <c r="S18" s="1"/>
  <c r="T18" s="1"/>
  <c r="H18"/>
  <c r="I18"/>
  <c r="J18"/>
  <c r="K18"/>
  <c r="L18"/>
  <c r="O18"/>
  <c r="Q18"/>
  <c r="U157" i="8"/>
  <c r="Q118" i="4"/>
  <c r="O155" i="10"/>
  <c r="H144" i="12"/>
  <c r="L130"/>
  <c r="P122"/>
  <c r="O111"/>
  <c r="O115"/>
  <c r="R119"/>
  <c r="K127"/>
  <c r="K131"/>
  <c r="H135"/>
  <c r="O139"/>
  <c r="H143"/>
  <c r="L152"/>
  <c r="L157"/>
  <c r="M153"/>
  <c r="P109" i="4"/>
  <c r="L147" i="8"/>
  <c r="T121"/>
  <c r="R127" i="4"/>
  <c r="DM393" i="6"/>
  <c r="P144" i="10"/>
  <c r="Q156" i="4"/>
  <c r="T159" i="8"/>
  <c r="O124"/>
  <c r="B133" i="10"/>
  <c r="R133"/>
  <c r="O133"/>
  <c r="P133"/>
  <c r="N133"/>
  <c r="J133"/>
  <c r="K133"/>
  <c r="L133"/>
  <c r="G133"/>
  <c r="H133"/>
  <c r="M133"/>
  <c r="Q133"/>
  <c r="I133"/>
  <c r="B120"/>
  <c r="L120"/>
  <c r="M120"/>
  <c r="R120"/>
  <c r="P120"/>
  <c r="H120"/>
  <c r="K120"/>
  <c r="G120"/>
  <c r="N120"/>
  <c r="M130"/>
  <c r="G130"/>
  <c r="B135"/>
  <c r="N135"/>
  <c r="M135"/>
  <c r="J135"/>
  <c r="G135"/>
  <c r="R135"/>
  <c r="O135"/>
  <c r="K135"/>
  <c r="P135"/>
  <c r="J120"/>
  <c r="R128"/>
  <c r="R126"/>
  <c r="R118"/>
  <c r="R131"/>
  <c r="R117"/>
  <c r="R109"/>
  <c r="R106"/>
  <c r="R121"/>
  <c r="R115"/>
  <c r="R132"/>
  <c r="R108"/>
  <c r="R144"/>
  <c r="R122"/>
  <c r="R112"/>
  <c r="K112"/>
  <c r="K119"/>
  <c r="K146"/>
  <c r="K138"/>
  <c r="K118"/>
  <c r="K110"/>
  <c r="K107"/>
  <c r="K131"/>
  <c r="K108"/>
  <c r="K128"/>
  <c r="K109"/>
  <c r="K106"/>
  <c r="K115"/>
  <c r="G156"/>
  <c r="M156"/>
  <c r="N156"/>
  <c r="B145"/>
  <c r="J145"/>
  <c r="K145"/>
  <c r="H145"/>
  <c r="R145"/>
  <c r="O145"/>
  <c r="G145"/>
  <c r="G141"/>
  <c r="H141"/>
  <c r="N141"/>
  <c r="M141"/>
  <c r="P141"/>
  <c r="L141"/>
  <c r="R141"/>
  <c r="K141"/>
  <c r="K139"/>
  <c r="P139"/>
  <c r="O139"/>
  <c r="M139"/>
  <c r="Q139"/>
  <c r="N139"/>
  <c r="G139"/>
  <c r="R139"/>
  <c r="B130"/>
  <c r="K130"/>
  <c r="J130"/>
  <c r="N130"/>
  <c r="R130"/>
  <c r="L130"/>
  <c r="P130"/>
  <c r="Q130"/>
  <c r="O127"/>
  <c r="R127"/>
  <c r="N127"/>
  <c r="B127"/>
  <c r="G127"/>
  <c r="I127"/>
  <c r="B116"/>
  <c r="K116"/>
  <c r="G116"/>
  <c r="H116"/>
  <c r="O116"/>
  <c r="J116"/>
  <c r="N116"/>
  <c r="L116"/>
  <c r="M116"/>
  <c r="B111"/>
  <c r="G111"/>
  <c r="M111"/>
  <c r="N111"/>
  <c r="L111"/>
  <c r="Q111"/>
  <c r="R111"/>
  <c r="P111"/>
  <c r="H111"/>
  <c r="O111"/>
  <c r="K111"/>
  <c r="Q116"/>
  <c r="O120"/>
  <c r="Q138"/>
  <c r="Q112"/>
  <c r="Q109"/>
  <c r="Q145"/>
  <c r="Q146"/>
  <c r="Q128"/>
  <c r="Q126"/>
  <c r="Q108"/>
  <c r="Q122"/>
  <c r="Q118"/>
  <c r="Q119"/>
  <c r="Q115"/>
  <c r="Q141"/>
  <c r="I139"/>
  <c r="I144"/>
  <c r="I122"/>
  <c r="I118"/>
  <c r="I106"/>
  <c r="I119"/>
  <c r="I115"/>
  <c r="I141"/>
  <c r="I128"/>
  <c r="I120"/>
  <c r="I116"/>
  <c r="I126"/>
  <c r="I138"/>
  <c r="I112"/>
  <c r="I109"/>
  <c r="I135"/>
  <c r="I130"/>
  <c r="I145"/>
  <c r="I111"/>
  <c r="I107"/>
  <c r="I129"/>
  <c r="L129"/>
  <c r="J129"/>
  <c r="B129"/>
  <c r="R129"/>
  <c r="M129"/>
  <c r="N129"/>
  <c r="Q129"/>
  <c r="Q107"/>
  <c r="Q106"/>
  <c r="Q120"/>
  <c r="H150"/>
  <c r="G150"/>
  <c r="B150"/>
  <c r="O150"/>
  <c r="K150"/>
  <c r="R143"/>
  <c r="J143"/>
  <c r="O143"/>
  <c r="L143"/>
  <c r="K143"/>
  <c r="N143"/>
  <c r="M140"/>
  <c r="I140"/>
  <c r="N140"/>
  <c r="O140"/>
  <c r="R140"/>
  <c r="J140"/>
  <c r="Q140"/>
  <c r="B134"/>
  <c r="N134"/>
  <c r="H134"/>
  <c r="R134"/>
  <c r="L134"/>
  <c r="Q134"/>
  <c r="K134"/>
  <c r="M134"/>
  <c r="H132"/>
  <c r="I132"/>
  <c r="L132"/>
  <c r="K132"/>
  <c r="N132"/>
  <c r="Q132"/>
  <c r="J132"/>
  <c r="B114"/>
  <c r="J114"/>
  <c r="N114"/>
  <c r="I114"/>
  <c r="M114"/>
  <c r="R114"/>
  <c r="L114"/>
  <c r="Q114"/>
  <c r="K114"/>
  <c r="P114"/>
  <c r="B110"/>
  <c r="M110"/>
  <c r="N110"/>
  <c r="G110"/>
  <c r="Q110"/>
  <c r="R110"/>
  <c r="L110"/>
  <c r="H110"/>
  <c r="I110"/>
  <c r="P110"/>
  <c r="R152"/>
  <c r="I152"/>
  <c r="L152"/>
  <c r="B152"/>
  <c r="M152"/>
  <c r="P152"/>
  <c r="H152"/>
  <c r="G152"/>
  <c r="N152"/>
  <c r="K121"/>
  <c r="P121"/>
  <c r="Q121"/>
  <c r="H121"/>
  <c r="O121"/>
  <c r="G121"/>
  <c r="N121"/>
  <c r="I121"/>
  <c r="J121"/>
  <c r="K117"/>
  <c r="P117"/>
  <c r="Q117"/>
  <c r="H117"/>
  <c r="O117"/>
  <c r="G117"/>
  <c r="N117"/>
  <c r="I117"/>
  <c r="J117"/>
  <c r="I137"/>
  <c r="K129"/>
  <c r="Q131"/>
  <c r="P129"/>
  <c r="Q144"/>
  <c r="I146"/>
  <c r="O129"/>
  <c r="I108"/>
  <c r="H156"/>
  <c r="K156"/>
  <c r="Q156"/>
  <c r="I156"/>
  <c r="R156"/>
  <c r="L156"/>
  <c r="P156"/>
  <c r="J156"/>
  <c r="Q127"/>
  <c r="K127"/>
  <c r="L127"/>
  <c r="J127"/>
  <c r="H127"/>
  <c r="G131"/>
  <c r="M131" i="12"/>
  <c r="R131"/>
  <c r="M127"/>
  <c r="R127"/>
  <c r="N119"/>
  <c r="I143"/>
  <c r="J143"/>
  <c r="K143"/>
  <c r="P143"/>
  <c r="B139"/>
  <c r="G139"/>
  <c r="L139"/>
  <c r="N107"/>
  <c r="K115"/>
  <c r="K119"/>
  <c r="G107"/>
  <c r="G111"/>
  <c r="M152"/>
  <c r="N152"/>
  <c r="O152"/>
  <c r="Q111"/>
  <c r="L134"/>
  <c r="L126"/>
  <c r="L131"/>
  <c r="L135"/>
  <c r="N153"/>
  <c r="R153"/>
  <c r="G153"/>
  <c r="P133"/>
  <c r="P131"/>
  <c r="P129"/>
  <c r="P127"/>
  <c r="H122"/>
  <c r="P120"/>
  <c r="L119"/>
  <c r="H118"/>
  <c r="P116"/>
  <c r="L115"/>
  <c r="H114"/>
  <c r="P111"/>
  <c r="L110"/>
  <c r="H109"/>
  <c r="P107"/>
  <c r="L106"/>
  <c r="Q157"/>
  <c r="R157"/>
  <c r="H157"/>
  <c r="P140"/>
  <c r="B131"/>
  <c r="G131"/>
  <c r="B127"/>
  <c r="G127"/>
  <c r="R107"/>
  <c r="M143"/>
  <c r="N143"/>
  <c r="O143"/>
  <c r="I139"/>
  <c r="J139"/>
  <c r="K139"/>
  <c r="P139"/>
  <c r="O135"/>
  <c r="N111"/>
  <c r="K107"/>
  <c r="K111"/>
  <c r="Q152"/>
  <c r="R152"/>
  <c r="H152"/>
  <c r="L132"/>
  <c r="L122"/>
  <c r="Q115"/>
  <c r="L127"/>
  <c r="O153"/>
  <c r="H153"/>
  <c r="P153"/>
  <c r="B111"/>
  <c r="B115"/>
  <c r="P138"/>
  <c r="H133"/>
  <c r="H131"/>
  <c r="H129"/>
  <c r="H127"/>
  <c r="P121"/>
  <c r="L120"/>
  <c r="H119"/>
  <c r="P117"/>
  <c r="L116"/>
  <c r="H115"/>
  <c r="P112"/>
  <c r="L111"/>
  <c r="H110"/>
  <c r="P108"/>
  <c r="L107"/>
  <c r="H106"/>
  <c r="B157"/>
  <c r="G157"/>
  <c r="J131"/>
  <c r="J127"/>
  <c r="R115"/>
  <c r="R111"/>
  <c r="Q143"/>
  <c r="R143"/>
  <c r="M139"/>
  <c r="N139"/>
  <c r="J111"/>
  <c r="J115"/>
  <c r="O107"/>
  <c r="O119"/>
  <c r="B152"/>
  <c r="G152"/>
  <c r="Q107"/>
  <c r="Q153"/>
  <c r="L153"/>
  <c r="B127" i="4"/>
  <c r="B151" l="1"/>
  <c r="B151" i="12"/>
  <c r="B113"/>
  <c r="B136"/>
  <c r="B105"/>
  <c r="B159" i="9"/>
  <c r="B51"/>
  <c r="B119" i="8"/>
  <c r="B43"/>
  <c r="B114" i="9"/>
  <c r="B42" i="8"/>
  <c r="B57" i="9"/>
  <c r="B65" i="8"/>
  <c r="B15" i="9"/>
  <c r="B105" i="4"/>
  <c r="B106" i="8"/>
  <c r="B19" i="11"/>
  <c r="B51" i="3"/>
  <c r="B11" i="10"/>
  <c r="B19"/>
  <c r="B58"/>
  <c r="B19" i="4"/>
  <c r="B32"/>
  <c r="B114"/>
  <c r="B120"/>
  <c r="B24" i="8"/>
  <c r="B137"/>
  <c r="B20" i="9"/>
  <c r="B119" i="12"/>
  <c r="B157" i="9"/>
  <c r="B109"/>
  <c r="B136" i="4"/>
  <c r="B109"/>
  <c r="E4" i="1"/>
  <c r="B11" i="11"/>
  <c r="B15" i="3"/>
  <c r="B20"/>
  <c r="B15" i="10"/>
  <c r="B109"/>
  <c r="B23" i="4"/>
  <c r="B15" i="8"/>
  <c r="B20"/>
  <c r="O8" i="9"/>
  <c r="O102" s="1"/>
  <c r="B144" i="12"/>
  <c r="B159"/>
  <c r="B137" i="9"/>
  <c r="B158" i="8"/>
  <c r="B59"/>
  <c r="B136" i="9"/>
  <c r="B26"/>
  <c r="B120"/>
  <c r="B160" i="8"/>
  <c r="L8"/>
  <c r="L103" s="1"/>
  <c r="B15" i="4"/>
  <c r="B105" i="9"/>
  <c r="B156" i="10"/>
  <c r="B117"/>
  <c r="B117" i="12"/>
  <c r="B109"/>
  <c r="G247" i="2"/>
  <c r="B63" i="9"/>
  <c r="B128" i="8"/>
  <c r="B51"/>
  <c r="B127" i="9"/>
  <c r="B66" i="8"/>
  <c r="B65" i="9"/>
  <c r="B138" i="8"/>
  <c r="G8"/>
  <c r="G103" s="1"/>
  <c r="B11" i="4"/>
  <c r="B151" i="9"/>
  <c r="B121" i="8"/>
  <c r="B65" i="11"/>
  <c r="B11" i="3"/>
  <c r="B43"/>
  <c r="B42" i="10"/>
  <c r="B113"/>
  <c r="B126"/>
  <c r="B119"/>
  <c r="B41" i="4"/>
  <c r="B64"/>
  <c r="B11" i="8"/>
  <c r="B142" i="9"/>
  <c r="B140" i="10"/>
  <c r="B139"/>
  <c r="B141" i="9"/>
  <c r="B157" i="8"/>
  <c r="B117" i="9"/>
  <c r="B143" i="12"/>
  <c r="N8" i="9"/>
  <c r="N102" s="1"/>
  <c r="B28"/>
  <c r="B50" i="8"/>
  <c r="B149" i="4"/>
  <c r="B30"/>
  <c r="B46" i="9"/>
  <c r="B125"/>
  <c r="B56" i="4"/>
  <c r="B131" i="10"/>
  <c r="B131" i="9"/>
  <c r="B145" i="8"/>
  <c r="E3" i="1"/>
  <c r="B14" i="11"/>
  <c r="B18"/>
  <c r="B22"/>
  <c r="B36"/>
  <c r="B46"/>
  <c r="B56"/>
  <c r="B31" i="3"/>
  <c r="B18" i="10"/>
  <c r="J8"/>
  <c r="J102" s="1"/>
  <c r="E3" i="4"/>
  <c r="B45"/>
  <c r="B37" i="8"/>
  <c r="B29" i="9"/>
  <c r="B35"/>
  <c r="B40"/>
  <c r="B54"/>
  <c r="I8"/>
  <c r="I102" s="1"/>
  <c r="B150"/>
  <c r="B149" i="12"/>
  <c r="B116"/>
  <c r="G244" i="2"/>
  <c r="R8" i="9"/>
  <c r="R102" s="1"/>
  <c r="B140"/>
  <c r="J8"/>
  <c r="J102" s="1"/>
  <c r="B23"/>
  <c r="B141" i="8"/>
  <c r="B46"/>
  <c r="B22" i="4"/>
  <c r="B132" i="9"/>
  <c r="B31"/>
  <c r="B57" i="8"/>
  <c r="B36" i="4"/>
  <c r="B112" i="10"/>
  <c r="B37" i="11"/>
  <c r="N7" i="3"/>
  <c r="B28"/>
  <c r="B37"/>
  <c r="B46"/>
  <c r="B50"/>
  <c r="B64"/>
  <c r="B14" i="10"/>
  <c r="B30"/>
  <c r="B56"/>
  <c r="B124"/>
  <c r="B148"/>
  <c r="B27" i="4"/>
  <c r="B37"/>
  <c r="B122"/>
  <c r="B14" i="8"/>
  <c r="B23"/>
  <c r="B28"/>
  <c r="B14" i="9"/>
  <c r="B112" i="12"/>
  <c r="B108"/>
  <c r="B149" i="9"/>
  <c r="B47"/>
  <c r="B19"/>
  <c r="B126" i="8"/>
  <c r="B31"/>
  <c r="B62" i="4"/>
  <c r="B18"/>
  <c r="B55" i="9"/>
  <c r="B122"/>
  <c r="B150" i="8"/>
  <c r="B38"/>
  <c r="B121" i="10"/>
  <c r="R8"/>
  <c r="R102" s="1"/>
  <c r="B30" i="11"/>
  <c r="B63"/>
  <c r="B23" i="3"/>
  <c r="B38"/>
  <c r="B47"/>
  <c r="B27" i="10"/>
  <c r="B36"/>
  <c r="B45"/>
  <c r="B49"/>
  <c r="B108"/>
  <c r="B14" i="4"/>
  <c r="B125"/>
  <c r="B140"/>
  <c r="B19" i="8"/>
  <c r="B47"/>
  <c r="B63"/>
  <c r="K8"/>
  <c r="K103" s="1"/>
  <c r="B38" i="9"/>
  <c r="B62"/>
  <c r="J61" i="13"/>
  <c r="N62" i="11" s="1"/>
  <c r="G66"/>
  <c r="T60"/>
  <c r="S60"/>
  <c r="Q60"/>
  <c r="P60"/>
  <c r="I61" i="13"/>
  <c r="O6" i="11"/>
  <c r="B157" i="4"/>
  <c r="B25" i="11"/>
  <c r="B41"/>
  <c r="B58"/>
  <c r="B66"/>
  <c r="B12" i="3"/>
  <c r="B16"/>
  <c r="B24"/>
  <c r="B65"/>
  <c r="B23" i="10"/>
  <c r="B63"/>
  <c r="B42" i="4"/>
  <c r="B65"/>
  <c r="B137"/>
  <c r="B145"/>
  <c r="B21" i="8"/>
  <c r="B64"/>
  <c r="B24" i="9"/>
  <c r="G8"/>
  <c r="G102" s="1"/>
  <c r="B118"/>
  <c r="B42" i="11"/>
  <c r="B50"/>
  <c r="B21" i="3"/>
  <c r="B33"/>
  <c r="B66"/>
  <c r="B12" i="10"/>
  <c r="B16"/>
  <c r="B20"/>
  <c r="B32"/>
  <c r="B64"/>
  <c r="G8"/>
  <c r="G102" s="1"/>
  <c r="K8"/>
  <c r="K102" s="1"/>
  <c r="O8"/>
  <c r="O102" s="1"/>
  <c r="B136"/>
  <c r="B157"/>
  <c r="B144"/>
  <c r="B106"/>
  <c r="B20" i="4"/>
  <c r="B25"/>
  <c r="B23" i="11"/>
  <c r="B64"/>
  <c r="B26" i="3"/>
  <c r="B42"/>
  <c r="B59"/>
  <c r="B67"/>
  <c r="B25" i="10"/>
  <c r="B41"/>
  <c r="B65"/>
  <c r="B158"/>
  <c r="B16" i="4"/>
  <c r="B58"/>
  <c r="B63"/>
  <c r="S7"/>
  <c r="S101" s="1"/>
  <c r="W7" i="8"/>
  <c r="W102" s="1"/>
  <c r="B146"/>
  <c r="B16" i="9"/>
  <c r="B21"/>
  <c r="B64"/>
  <c r="K8"/>
  <c r="K102" s="1"/>
  <c r="N150" i="4"/>
  <c r="L143" i="9"/>
  <c r="Q143"/>
  <c r="M10" i="4"/>
  <c r="DD192" i="6" s="1"/>
  <c r="K10" i="4"/>
  <c r="DB192" i="6" s="1"/>
  <c r="I10" i="4"/>
  <c r="CZ192" i="6" s="1"/>
  <c r="G10" i="4"/>
  <c r="CX192" i="6" s="1"/>
  <c r="EE218"/>
  <c r="EA218"/>
  <c r="DW218"/>
  <c r="P8" i="3"/>
  <c r="S8" s="1"/>
  <c r="Q144" i="8"/>
  <c r="W144" s="1"/>
  <c r="X144" s="1"/>
  <c r="H107"/>
  <c r="H106" s="1"/>
  <c r="E251" i="2"/>
  <c r="N7" i="11"/>
  <c r="E2" i="13"/>
  <c r="E2" i="12"/>
  <c r="B21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/>
  <c r="DZ218"/>
  <c r="R131" i="4"/>
  <c r="S131" s="1"/>
  <c r="T131" s="1"/>
  <c r="DJ270" i="6"/>
  <c r="E3" i="13"/>
  <c r="E3" i="12"/>
  <c r="H156" i="13"/>
  <c r="R156"/>
  <c r="M156"/>
  <c r="H157"/>
  <c r="R157"/>
  <c r="M157"/>
  <c r="H158"/>
  <c r="R158"/>
  <c r="M158"/>
  <c r="O156"/>
  <c r="I156"/>
  <c r="O157"/>
  <c r="I157"/>
  <c r="N158"/>
  <c r="P156"/>
  <c r="J156"/>
  <c r="P157"/>
  <c r="P158"/>
  <c r="N156"/>
  <c r="N157"/>
  <c r="O158"/>
  <c r="I158"/>
  <c r="J157"/>
  <c r="J158"/>
  <c r="I123"/>
  <c r="K156"/>
  <c r="K157"/>
  <c r="K158"/>
  <c r="Q123"/>
  <c r="L156"/>
  <c r="G156"/>
  <c r="Q156"/>
  <c r="L157"/>
  <c r="G157"/>
  <c r="Q157"/>
  <c r="L158"/>
  <c r="G158"/>
  <c r="Q158"/>
  <c r="P142" i="10"/>
  <c r="S142" s="1"/>
  <c r="T142" s="1"/>
  <c r="E4" i="13"/>
  <c r="E4" i="12"/>
  <c r="CX5" i="6"/>
  <c r="CX4" s="1"/>
  <c r="DF5"/>
  <c r="DF4" s="1"/>
  <c r="Q58" i="8"/>
  <c r="S49" i="10"/>
  <c r="T49" s="1"/>
  <c r="N57"/>
  <c r="K57"/>
  <c r="Q57"/>
  <c r="U58" i="8"/>
  <c r="P58"/>
  <c r="K58"/>
  <c r="R56" i="9"/>
  <c r="Q56"/>
  <c r="N56"/>
  <c r="I56"/>
  <c r="J16" i="8"/>
  <c r="J12"/>
  <c r="N17"/>
  <c r="R19"/>
  <c r="R14"/>
  <c r="V20"/>
  <c r="V15"/>
  <c r="L57" i="12"/>
  <c r="P57"/>
  <c r="O57" i="10"/>
  <c r="J57" i="12"/>
  <c r="N57"/>
  <c r="R57"/>
  <c r="M57" i="10"/>
  <c r="I57"/>
  <c r="G58" i="8"/>
  <c r="P11" i="10"/>
  <c r="P10" s="1"/>
  <c r="J42"/>
  <c r="J149"/>
  <c r="N114" i="9"/>
  <c r="P150" i="12"/>
  <c r="H136"/>
  <c r="P31" i="10"/>
  <c r="O42"/>
  <c r="K42"/>
  <c r="W23" i="8"/>
  <c r="X23" s="1"/>
  <c r="T58"/>
  <c r="Q43" i="9"/>
  <c r="L43"/>
  <c r="K56"/>
  <c r="W49" i="8"/>
  <c r="X49" s="1"/>
  <c r="W29"/>
  <c r="X29" s="1"/>
  <c r="W52"/>
  <c r="X52" s="1"/>
  <c r="W35"/>
  <c r="X35" s="1"/>
  <c r="P43"/>
  <c r="O42" i="4"/>
  <c r="O29" s="1"/>
  <c r="O30" s="1"/>
  <c r="L11" i="12"/>
  <c r="L10" s="1"/>
  <c r="J11"/>
  <c r="J10" s="1"/>
  <c r="R11"/>
  <c r="R10" s="1"/>
  <c r="L31"/>
  <c r="K31"/>
  <c r="J31"/>
  <c r="R31"/>
  <c r="L42"/>
  <c r="K42"/>
  <c r="N42"/>
  <c r="Q114" i="9"/>
  <c r="L58" i="8"/>
  <c r="N14"/>
  <c r="R15"/>
  <c r="K57" i="12"/>
  <c r="O57"/>
  <c r="G114" i="9"/>
  <c r="T115" i="8"/>
  <c r="S41" i="10"/>
  <c r="T41" s="1"/>
  <c r="S40"/>
  <c r="T40" s="1"/>
  <c r="W53" i="8"/>
  <c r="X53" s="1"/>
  <c r="W36"/>
  <c r="X36" s="1"/>
  <c r="W25"/>
  <c r="X25" s="1"/>
  <c r="W28"/>
  <c r="X28" s="1"/>
  <c r="W51"/>
  <c r="X51" s="1"/>
  <c r="W34"/>
  <c r="X34" s="1"/>
  <c r="J19"/>
  <c r="K43"/>
  <c r="R17"/>
  <c r="V17"/>
  <c r="K42" i="4"/>
  <c r="K29" s="1"/>
  <c r="K30" s="1"/>
  <c r="P11" i="12"/>
  <c r="P10" s="1"/>
  <c r="O11"/>
  <c r="O10" s="1"/>
  <c r="N11"/>
  <c r="N10" s="1"/>
  <c r="M11"/>
  <c r="M10" s="1"/>
  <c r="P31"/>
  <c r="M42"/>
  <c r="P42"/>
  <c r="R42"/>
  <c r="S21"/>
  <c r="T21" s="1"/>
  <c r="S15" i="10"/>
  <c r="T15" s="1"/>
  <c r="M149"/>
  <c r="I105" i="9"/>
  <c r="O31" i="10"/>
  <c r="O29" s="1"/>
  <c r="O30" s="1"/>
  <c r="S45"/>
  <c r="T45" s="1"/>
  <c r="W22" i="8"/>
  <c r="X22" s="1"/>
  <c r="K105" i="9"/>
  <c r="S64" i="10"/>
  <c r="T64" s="1"/>
  <c r="J57"/>
  <c r="H32" i="9"/>
  <c r="S29"/>
  <c r="T29" s="1"/>
  <c r="K138" i="8"/>
  <c r="P126" i="9"/>
  <c r="S54" i="10"/>
  <c r="T54" s="1"/>
  <c r="I11"/>
  <c r="I10" s="1"/>
  <c r="S46"/>
  <c r="T46" s="1"/>
  <c r="W24" i="8"/>
  <c r="X24" s="1"/>
  <c r="M32" i="9"/>
  <c r="J32"/>
  <c r="S15"/>
  <c r="T15" s="1"/>
  <c r="H43" i="8"/>
  <c r="K32"/>
  <c r="W59"/>
  <c r="X59" s="1"/>
  <c r="O105" i="9"/>
  <c r="S59" i="10"/>
  <c r="T59" s="1"/>
  <c r="P32" i="9"/>
  <c r="J43"/>
  <c r="S62"/>
  <c r="T62" s="1"/>
  <c r="W54" i="8"/>
  <c r="X54" s="1"/>
  <c r="T43"/>
  <c r="S45" i="4"/>
  <c r="T45" s="1"/>
  <c r="G42"/>
  <c r="G29" s="1"/>
  <c r="CX193" i="6" s="1"/>
  <c r="J150" i="9"/>
  <c r="R105"/>
  <c r="J150" i="12"/>
  <c r="H57" i="10"/>
  <c r="S58" i="8"/>
  <c r="M58"/>
  <c r="H58"/>
  <c r="L11" i="10"/>
  <c r="L10" s="1"/>
  <c r="S63"/>
  <c r="T63" s="1"/>
  <c r="G11"/>
  <c r="G10" s="1"/>
  <c r="S22" i="9"/>
  <c r="T22" s="1"/>
  <c r="R32"/>
  <c r="S46"/>
  <c r="T46" s="1"/>
  <c r="S44"/>
  <c r="T44" s="1"/>
  <c r="G32"/>
  <c r="I32" i="8"/>
  <c r="P32"/>
  <c r="M31" i="10"/>
  <c r="S46" i="4"/>
  <c r="T46" s="1"/>
  <c r="M31" i="12"/>
  <c r="L150" i="9"/>
  <c r="S14" i="10"/>
  <c r="T14" s="1"/>
  <c r="S58"/>
  <c r="T58" s="1"/>
  <c r="S38" i="9"/>
  <c r="T38" s="1"/>
  <c r="W50" i="8"/>
  <c r="X50" s="1"/>
  <c r="O31" i="12"/>
  <c r="S43" i="4"/>
  <c r="T43" s="1"/>
  <c r="L126" i="9"/>
  <c r="G138" i="8"/>
  <c r="G150" i="4"/>
  <c r="M150" i="9"/>
  <c r="H114"/>
  <c r="M138" i="8"/>
  <c r="M113" i="12"/>
  <c r="S117" i="9"/>
  <c r="T117" s="1"/>
  <c r="S53" i="10"/>
  <c r="T53" s="1"/>
  <c r="O32" i="9"/>
  <c r="S50"/>
  <c r="T50" s="1"/>
  <c r="I32"/>
  <c r="S40"/>
  <c r="T40" s="1"/>
  <c r="S16"/>
  <c r="T16" s="1"/>
  <c r="S48"/>
  <c r="T48" s="1"/>
  <c r="S43" i="8"/>
  <c r="S44" i="4"/>
  <c r="T44" s="1"/>
  <c r="S12" i="10"/>
  <c r="T12" s="1"/>
  <c r="O113" i="12"/>
  <c r="G57" i="10"/>
  <c r="W132" i="8"/>
  <c r="X132" s="1"/>
  <c r="W108"/>
  <c r="X108" s="1"/>
  <c r="W131"/>
  <c r="X131" s="1"/>
  <c r="L105" i="9"/>
  <c r="O106" i="8"/>
  <c r="S158" i="12"/>
  <c r="T158" s="1"/>
  <c r="G113"/>
  <c r="H114" i="4"/>
  <c r="W122" i="8"/>
  <c r="X122" s="1"/>
  <c r="N126" i="9"/>
  <c r="P137"/>
  <c r="W130" i="8"/>
  <c r="X130" s="1"/>
  <c r="W139"/>
  <c r="X139" s="1"/>
  <c r="W134"/>
  <c r="X134" s="1"/>
  <c r="H138"/>
  <c r="K106"/>
  <c r="P137" i="4"/>
  <c r="J105" i="10"/>
  <c r="S21"/>
  <c r="T21" s="1"/>
  <c r="S23"/>
  <c r="T23" s="1"/>
  <c r="R31"/>
  <c r="R11"/>
  <c r="R10" s="1"/>
  <c r="Q31"/>
  <c r="Q11"/>
  <c r="Q10" s="1"/>
  <c r="R42"/>
  <c r="O11"/>
  <c r="O10" s="1"/>
  <c r="S13"/>
  <c r="T13" s="1"/>
  <c r="S48"/>
  <c r="T48" s="1"/>
  <c r="L42"/>
  <c r="L31"/>
  <c r="S37"/>
  <c r="T37" s="1"/>
  <c r="K31"/>
  <c r="S24"/>
  <c r="T24" s="1"/>
  <c r="S16"/>
  <c r="T16" s="1"/>
  <c r="S36"/>
  <c r="T36" s="1"/>
  <c r="J11"/>
  <c r="J10" s="1"/>
  <c r="I42"/>
  <c r="S39"/>
  <c r="T39" s="1"/>
  <c r="I31"/>
  <c r="S25"/>
  <c r="T25" s="1"/>
  <c r="S17"/>
  <c r="T17" s="1"/>
  <c r="S50"/>
  <c r="T50" s="1"/>
  <c r="H42"/>
  <c r="S33"/>
  <c r="T33" s="1"/>
  <c r="S26"/>
  <c r="T26" s="1"/>
  <c r="S18"/>
  <c r="T18" s="1"/>
  <c r="H11"/>
  <c r="H10" s="1"/>
  <c r="S62"/>
  <c r="T62" s="1"/>
  <c r="P57"/>
  <c r="L57"/>
  <c r="S52"/>
  <c r="T52" s="1"/>
  <c r="S47"/>
  <c r="T47" s="1"/>
  <c r="G42"/>
  <c r="S38"/>
  <c r="T38" s="1"/>
  <c r="G31"/>
  <c r="S27"/>
  <c r="T27" s="1"/>
  <c r="W21" i="8"/>
  <c r="X21" s="1"/>
  <c r="O58"/>
  <c r="W65"/>
  <c r="X65" s="1"/>
  <c r="I58"/>
  <c r="W63"/>
  <c r="X63" s="1"/>
  <c r="S21" i="9"/>
  <c r="T21" s="1"/>
  <c r="S23"/>
  <c r="T23" s="1"/>
  <c r="S24"/>
  <c r="T24" s="1"/>
  <c r="R43"/>
  <c r="P56"/>
  <c r="O56"/>
  <c r="O43"/>
  <c r="N43"/>
  <c r="M56"/>
  <c r="M43"/>
  <c r="L56"/>
  <c r="L32"/>
  <c r="N32"/>
  <c r="K32"/>
  <c r="J56"/>
  <c r="S41"/>
  <c r="T41" s="1"/>
  <c r="S26"/>
  <c r="T26" s="1"/>
  <c r="S17"/>
  <c r="T17" s="1"/>
  <c r="S53"/>
  <c r="T53" s="1"/>
  <c r="I43"/>
  <c r="H56"/>
  <c r="H43"/>
  <c r="S39"/>
  <c r="T39" s="1"/>
  <c r="S35"/>
  <c r="T35" s="1"/>
  <c r="S28"/>
  <c r="T28" s="1"/>
  <c r="S64"/>
  <c r="T64" s="1"/>
  <c r="S58"/>
  <c r="T58" s="1"/>
  <c r="S51"/>
  <c r="T51" s="1"/>
  <c r="S47"/>
  <c r="T47" s="1"/>
  <c r="S42"/>
  <c r="T42" s="1"/>
  <c r="S34"/>
  <c r="T34" s="1"/>
  <c r="S27"/>
  <c r="T27" s="1"/>
  <c r="S19"/>
  <c r="T19" s="1"/>
  <c r="S14"/>
  <c r="T14" s="1"/>
  <c r="W48" i="8"/>
  <c r="X48" s="1"/>
  <c r="G43"/>
  <c r="W39"/>
  <c r="X39" s="1"/>
  <c r="G32"/>
  <c r="J20"/>
  <c r="J15"/>
  <c r="W55"/>
  <c r="X55" s="1"/>
  <c r="W47"/>
  <c r="X47" s="1"/>
  <c r="W42"/>
  <c r="X42" s="1"/>
  <c r="W38"/>
  <c r="X38" s="1"/>
  <c r="H32"/>
  <c r="W27"/>
  <c r="X27" s="1"/>
  <c r="I43"/>
  <c r="W41"/>
  <c r="X41" s="1"/>
  <c r="W37"/>
  <c r="X37" s="1"/>
  <c r="W33"/>
  <c r="X33" s="1"/>
  <c r="W26"/>
  <c r="X26" s="1"/>
  <c r="J17"/>
  <c r="J13"/>
  <c r="W45"/>
  <c r="X45" s="1"/>
  <c r="N16"/>
  <c r="L43"/>
  <c r="L32"/>
  <c r="N20"/>
  <c r="N15"/>
  <c r="M32"/>
  <c r="N19"/>
  <c r="O43"/>
  <c r="O32"/>
  <c r="R13"/>
  <c r="R16"/>
  <c r="R12"/>
  <c r="Q43"/>
  <c r="Q32"/>
  <c r="R20"/>
  <c r="S32"/>
  <c r="V19"/>
  <c r="V14"/>
  <c r="T32"/>
  <c r="V13"/>
  <c r="U43"/>
  <c r="V16"/>
  <c r="V12"/>
  <c r="N42" i="10"/>
  <c r="N31"/>
  <c r="N11"/>
  <c r="N10" s="1"/>
  <c r="M42"/>
  <c r="M11"/>
  <c r="M10" s="1"/>
  <c r="Q42" i="4"/>
  <c r="Q29" s="1"/>
  <c r="DH193" i="6" s="1"/>
  <c r="DH194" s="1"/>
  <c r="P42" i="4"/>
  <c r="P29" s="1"/>
  <c r="P30" s="1"/>
  <c r="N42"/>
  <c r="N29" s="1"/>
  <c r="N30" s="1"/>
  <c r="M42"/>
  <c r="M29" s="1"/>
  <c r="DD193" i="6" s="1"/>
  <c r="L42" i="4"/>
  <c r="L29" s="1"/>
  <c r="DC193" i="6" s="1"/>
  <c r="J42" i="4"/>
  <c r="J29" s="1"/>
  <c r="J30" s="1"/>
  <c r="I42"/>
  <c r="I29" s="1"/>
  <c r="CZ193" i="6" s="1"/>
  <c r="S47" i="4"/>
  <c r="T47" s="1"/>
  <c r="H42"/>
  <c r="H29" s="1"/>
  <c r="H30" s="1"/>
  <c r="R42"/>
  <c r="R29" s="1"/>
  <c r="R30" s="1"/>
  <c r="Q11" i="12"/>
  <c r="Q10" s="1"/>
  <c r="K11"/>
  <c r="K10" s="1"/>
  <c r="Q31"/>
  <c r="N31"/>
  <c r="J42"/>
  <c r="Q42"/>
  <c r="S54"/>
  <c r="T54" s="1"/>
  <c r="M57"/>
  <c r="Q57"/>
  <c r="S28" i="10"/>
  <c r="T28" s="1"/>
  <c r="S63" i="9"/>
  <c r="T63" s="1"/>
  <c r="S49"/>
  <c r="T49" s="1"/>
  <c r="U32" i="8"/>
  <c r="Q11" i="9"/>
  <c r="Q10" s="1"/>
  <c r="T11" i="8"/>
  <c r="T10" s="1"/>
  <c r="CV192" i="6" s="1"/>
  <c r="J150" i="4"/>
  <c r="R150" i="9"/>
  <c r="M105" i="12"/>
  <c r="S144" i="9"/>
  <c r="T144" s="1"/>
  <c r="S20" i="10"/>
  <c r="T20" s="1"/>
  <c r="P42"/>
  <c r="K11"/>
  <c r="K10" s="1"/>
  <c r="W64" i="8"/>
  <c r="X64" s="1"/>
  <c r="Q32" i="9"/>
  <c r="P43"/>
  <c r="K43"/>
  <c r="S57"/>
  <c r="T57" s="1"/>
  <c r="S37"/>
  <c r="T37" s="1"/>
  <c r="S13"/>
  <c r="T13" s="1"/>
  <c r="S45"/>
  <c r="T45" s="1"/>
  <c r="S36"/>
  <c r="T36" s="1"/>
  <c r="S25"/>
  <c r="T25" s="1"/>
  <c r="S12"/>
  <c r="T12" s="1"/>
  <c r="S52"/>
  <c r="T52" s="1"/>
  <c r="G43"/>
  <c r="S20"/>
  <c r="T20" s="1"/>
  <c r="M43" i="8"/>
  <c r="S32" i="12"/>
  <c r="T32" s="1"/>
  <c r="S45"/>
  <c r="T45" s="1"/>
  <c r="J11" i="9"/>
  <c r="J10" s="1"/>
  <c r="S136"/>
  <c r="T136" s="1"/>
  <c r="K136" i="12"/>
  <c r="P114" i="4"/>
  <c r="H105" i="9"/>
  <c r="M11"/>
  <c r="M10" s="1"/>
  <c r="W44" i="8"/>
  <c r="X44" s="1"/>
  <c r="S32" i="10"/>
  <c r="T32" s="1"/>
  <c r="J31"/>
  <c r="K11" i="9"/>
  <c r="K10" s="1"/>
  <c r="P11" i="8"/>
  <c r="P10" s="1"/>
  <c r="CS192" i="6" s="1"/>
  <c r="S59" i="9"/>
  <c r="T59" s="1"/>
  <c r="O105" i="10"/>
  <c r="L11" i="9"/>
  <c r="L10" s="1"/>
  <c r="H11"/>
  <c r="H10" s="1"/>
  <c r="R11"/>
  <c r="R10" s="1"/>
  <c r="N11"/>
  <c r="N10" s="1"/>
  <c r="Q11" i="8"/>
  <c r="Q10" s="1"/>
  <c r="CT192" i="6" s="1"/>
  <c r="T151" i="8"/>
  <c r="M150" i="4"/>
  <c r="S33" i="9"/>
  <c r="T33" s="1"/>
  <c r="S19" i="4"/>
  <c r="T19" s="1"/>
  <c r="W60" i="8"/>
  <c r="X60" s="1"/>
  <c r="O137" i="9"/>
  <c r="O114"/>
  <c r="R137"/>
  <c r="I150" i="4"/>
  <c r="I115" i="8"/>
  <c r="S44" i="10"/>
  <c r="T44" s="1"/>
  <c r="G56" i="9"/>
  <c r="W46" i="8"/>
  <c r="X46" s="1"/>
  <c r="R149" i="10"/>
  <c r="H31"/>
  <c r="O11" i="9"/>
  <c r="O10" s="1"/>
  <c r="I11"/>
  <c r="I10" s="1"/>
  <c r="I105" i="4"/>
  <c r="P11" i="9"/>
  <c r="P10" s="1"/>
  <c r="U11" i="8"/>
  <c r="U10" s="1"/>
  <c r="CW192" i="6" s="1"/>
  <c r="P114" i="9"/>
  <c r="K151" i="8"/>
  <c r="S115"/>
  <c r="L8" i="11"/>
  <c r="I137" i="9"/>
  <c r="S130"/>
  <c r="T130" s="1"/>
  <c r="K150" i="4"/>
  <c r="M113" i="10"/>
  <c r="O12" i="11"/>
  <c r="O16"/>
  <c r="O20"/>
  <c r="O24"/>
  <c r="O28"/>
  <c r="O32"/>
  <c r="O36"/>
  <c r="O40"/>
  <c r="O44"/>
  <c r="O48"/>
  <c r="O52"/>
  <c r="O13"/>
  <c r="O17"/>
  <c r="O21"/>
  <c r="O25"/>
  <c r="O33"/>
  <c r="O37"/>
  <c r="O41"/>
  <c r="O45"/>
  <c r="O49"/>
  <c r="O11"/>
  <c r="O19"/>
  <c r="O23"/>
  <c r="O31"/>
  <c r="O39"/>
  <c r="O47"/>
  <c r="O59"/>
  <c r="O14"/>
  <c r="O18"/>
  <c r="O22"/>
  <c r="O26"/>
  <c r="O34"/>
  <c r="O38"/>
  <c r="O42"/>
  <c r="O46"/>
  <c r="O50"/>
  <c r="O58"/>
  <c r="O10"/>
  <c r="O15"/>
  <c r="O27"/>
  <c r="O35"/>
  <c r="O43"/>
  <c r="O51"/>
  <c r="O42" i="12"/>
  <c r="H149" i="10"/>
  <c r="M105"/>
  <c r="S142" i="12"/>
  <c r="T142" s="1"/>
  <c r="S144"/>
  <c r="T144" s="1"/>
  <c r="L22" i="11"/>
  <c r="M16"/>
  <c r="L39"/>
  <c r="L44"/>
  <c r="M48"/>
  <c r="L43"/>
  <c r="M37"/>
  <c r="L54"/>
  <c r="L24"/>
  <c r="M26"/>
  <c r="L41"/>
  <c r="M27"/>
  <c r="M14"/>
  <c r="M33"/>
  <c r="L20"/>
  <c r="M38"/>
  <c r="M35"/>
  <c r="M64"/>
  <c r="L25"/>
  <c r="L49"/>
  <c r="M21"/>
  <c r="M18"/>
  <c r="L13"/>
  <c r="L28"/>
  <c r="M23"/>
  <c r="M50"/>
  <c r="L46"/>
  <c r="M19"/>
  <c r="L32"/>
  <c r="M45"/>
  <c r="M40"/>
  <c r="M59"/>
  <c r="M17"/>
  <c r="L12"/>
  <c r="L53"/>
  <c r="L58"/>
  <c r="L15"/>
  <c r="L63"/>
  <c r="R8" i="12"/>
  <c r="R102" s="1"/>
  <c r="H8"/>
  <c r="H102" s="1"/>
  <c r="B54"/>
  <c r="J8"/>
  <c r="J102" s="1"/>
  <c r="M8"/>
  <c r="M102" s="1"/>
  <c r="P8"/>
  <c r="P102" s="1"/>
  <c r="B33" i="13"/>
  <c r="B127"/>
  <c r="B36"/>
  <c r="B130"/>
  <c r="B43"/>
  <c r="B137"/>
  <c r="B45"/>
  <c r="B139"/>
  <c r="B47"/>
  <c r="B141"/>
  <c r="B49"/>
  <c r="B143"/>
  <c r="B55"/>
  <c r="B148"/>
  <c r="G8" i="12"/>
  <c r="G102" s="1"/>
  <c r="O8"/>
  <c r="O102" s="1"/>
  <c r="B7"/>
  <c r="B105" i="13"/>
  <c r="B11"/>
  <c r="B107"/>
  <c r="B13"/>
  <c r="B109"/>
  <c r="B15"/>
  <c r="B17"/>
  <c r="B111"/>
  <c r="B19"/>
  <c r="B113"/>
  <c r="B115"/>
  <c r="B23"/>
  <c r="B117"/>
  <c r="B64"/>
  <c r="B158"/>
  <c r="B27"/>
  <c r="B121"/>
  <c r="B28"/>
  <c r="B122"/>
  <c r="B63"/>
  <c r="B157"/>
  <c r="B31"/>
  <c r="B125"/>
  <c r="B32"/>
  <c r="B126"/>
  <c r="B34"/>
  <c r="B128"/>
  <c r="B35"/>
  <c r="B129"/>
  <c r="B37"/>
  <c r="B131"/>
  <c r="B38"/>
  <c r="B132"/>
  <c r="B44"/>
  <c r="B138"/>
  <c r="B46"/>
  <c r="B140"/>
  <c r="B48"/>
  <c r="B142"/>
  <c r="B58"/>
  <c r="B151"/>
  <c r="B52"/>
  <c r="B146"/>
  <c r="B53"/>
  <c r="B153"/>
  <c r="B60"/>
  <c r="B154"/>
  <c r="I8" i="12"/>
  <c r="I102" s="1"/>
  <c r="L8"/>
  <c r="L102" s="1"/>
  <c r="N8"/>
  <c r="N102" s="1"/>
  <c r="Q8"/>
  <c r="Q102" s="1"/>
  <c r="B10" i="13"/>
  <c r="B104"/>
  <c r="B26"/>
  <c r="B120"/>
  <c r="B39"/>
  <c r="B133"/>
  <c r="B42"/>
  <c r="B136"/>
  <c r="B41"/>
  <c r="B135"/>
  <c r="B57"/>
  <c r="B150"/>
  <c r="B56"/>
  <c r="B149"/>
  <c r="B65"/>
  <c r="B159"/>
  <c r="K8" i="12"/>
  <c r="K102" s="1"/>
  <c r="S7"/>
  <c r="S101" s="1"/>
  <c r="B101"/>
  <c r="B12" i="13"/>
  <c r="B106"/>
  <c r="B14"/>
  <c r="B108"/>
  <c r="B16"/>
  <c r="B110"/>
  <c r="B18"/>
  <c r="B112"/>
  <c r="B20"/>
  <c r="B114"/>
  <c r="B22"/>
  <c r="B116"/>
  <c r="B24"/>
  <c r="B118"/>
  <c r="B25"/>
  <c r="B119"/>
  <c r="B62"/>
  <c r="B156"/>
  <c r="B29"/>
  <c r="B123"/>
  <c r="B30"/>
  <c r="B124"/>
  <c r="B40"/>
  <c r="B134"/>
  <c r="B50"/>
  <c r="B144"/>
  <c r="B59"/>
  <c r="B152"/>
  <c r="B51"/>
  <c r="B145"/>
  <c r="B61"/>
  <c r="B155"/>
  <c r="G251" i="2"/>
  <c r="G271"/>
  <c r="H11" i="1" s="1"/>
  <c r="S65" i="13"/>
  <c r="T65" s="1"/>
  <c r="G61"/>
  <c r="I150" i="12"/>
  <c r="L106" i="8"/>
  <c r="K150" i="12"/>
  <c r="I151" i="8"/>
  <c r="J105" i="4"/>
  <c r="J126" i="9"/>
  <c r="S111"/>
  <c r="T111" s="1"/>
  <c r="S123"/>
  <c r="T123" s="1"/>
  <c r="S106"/>
  <c r="T106" s="1"/>
  <c r="S128"/>
  <c r="T128" s="1"/>
  <c r="M137"/>
  <c r="I106" i="8"/>
  <c r="G115"/>
  <c r="Q115"/>
  <c r="O115"/>
  <c r="S35" i="10"/>
  <c r="T35" s="1"/>
  <c r="S120" i="9"/>
  <c r="T120" s="1"/>
  <c r="S147"/>
  <c r="T147" s="1"/>
  <c r="S115"/>
  <c r="T115" s="1"/>
  <c r="S156"/>
  <c r="T156" s="1"/>
  <c r="S131"/>
  <c r="T131" s="1"/>
  <c r="H137"/>
  <c r="W114" i="8"/>
  <c r="X114" s="1"/>
  <c r="W109"/>
  <c r="X109" s="1"/>
  <c r="W142"/>
  <c r="X142" s="1"/>
  <c r="H127"/>
  <c r="G127"/>
  <c r="L114" i="4"/>
  <c r="L150"/>
  <c r="S144"/>
  <c r="T144" s="1"/>
  <c r="K105"/>
  <c r="S119" i="9"/>
  <c r="T119" s="1"/>
  <c r="O150"/>
  <c r="L127" i="8"/>
  <c r="P138"/>
  <c r="R105" i="4"/>
  <c r="K127" i="8"/>
  <c r="W145"/>
  <c r="X145" s="1"/>
  <c r="I127"/>
  <c r="I113" i="12"/>
  <c r="Q136"/>
  <c r="N113"/>
  <c r="S156"/>
  <c r="T156" s="1"/>
  <c r="Q105" i="9"/>
  <c r="S109"/>
  <c r="T109" s="1"/>
  <c r="W118" i="8"/>
  <c r="X118" s="1"/>
  <c r="T127"/>
  <c r="Q137" i="9"/>
  <c r="S135"/>
  <c r="T135" s="1"/>
  <c r="T138" i="8"/>
  <c r="U151"/>
  <c r="M126" i="9"/>
  <c r="S138"/>
  <c r="T138" s="1"/>
  <c r="I126"/>
  <c r="G150"/>
  <c r="U138" i="8"/>
  <c r="S152" i="9"/>
  <c r="T152" s="1"/>
  <c r="P150"/>
  <c r="W154" i="8"/>
  <c r="X154" s="1"/>
  <c r="M105" i="4"/>
  <c r="S22" i="10"/>
  <c r="T22" s="1"/>
  <c r="S19"/>
  <c r="T19" s="1"/>
  <c r="S44" i="12"/>
  <c r="T44" s="1"/>
  <c r="I136"/>
  <c r="I32" i="11"/>
  <c r="G136" i="12"/>
  <c r="N149" i="10"/>
  <c r="S128" i="12"/>
  <c r="T128" s="1"/>
  <c r="N105" i="9"/>
  <c r="J105" i="12"/>
  <c r="S132"/>
  <c r="T132" s="1"/>
  <c r="S140"/>
  <c r="T140" s="1"/>
  <c r="S118"/>
  <c r="T118" s="1"/>
  <c r="S138" i="8"/>
  <c r="I114" i="4"/>
  <c r="M114"/>
  <c r="S107" i="9"/>
  <c r="T107" s="1"/>
  <c r="I137" i="4"/>
  <c r="S106" i="8"/>
  <c r="Q150" i="9"/>
  <c r="Q106" i="8"/>
  <c r="N105" i="10"/>
  <c r="I114" i="9"/>
  <c r="J129" i="4"/>
  <c r="W159" i="8"/>
  <c r="X159" s="1"/>
  <c r="T106"/>
  <c r="S110" i="4"/>
  <c r="T110" s="1"/>
  <c r="W120" i="8"/>
  <c r="X120" s="1"/>
  <c r="H137" i="4"/>
  <c r="W123" i="8"/>
  <c r="X123" s="1"/>
  <c r="S133" i="9"/>
  <c r="T133" s="1"/>
  <c r="M105"/>
  <c r="K137"/>
  <c r="O114" i="4"/>
  <c r="P150"/>
  <c r="L144" i="10"/>
  <c r="S144" s="1"/>
  <c r="T144" s="1"/>
  <c r="W157" i="8"/>
  <c r="X157" s="1"/>
  <c r="H151"/>
  <c r="P143" i="4"/>
  <c r="S143" s="1"/>
  <c r="T143" s="1"/>
  <c r="R129"/>
  <c r="N136" i="12"/>
  <c r="H150" i="4"/>
  <c r="M121" i="10"/>
  <c r="S121" s="1"/>
  <c r="T121" s="1"/>
  <c r="P148" i="8"/>
  <c r="W148" s="1"/>
  <c r="X148" s="1"/>
  <c r="S124"/>
  <c r="W124" s="1"/>
  <c r="X124" s="1"/>
  <c r="I134" i="4"/>
  <c r="S134" s="1"/>
  <c r="T134" s="1"/>
  <c r="J133"/>
  <c r="S133" s="1"/>
  <c r="T133" s="1"/>
  <c r="K128"/>
  <c r="K126" s="1"/>
  <c r="L136"/>
  <c r="S136" s="1"/>
  <c r="T136" s="1"/>
  <c r="N138" i="10"/>
  <c r="S138" s="1"/>
  <c r="T138" s="1"/>
  <c r="J14" i="8"/>
  <c r="O18"/>
  <c r="R18" s="1"/>
  <c r="N12"/>
  <c r="G18"/>
  <c r="H18"/>
  <c r="H11" s="1"/>
  <c r="H10" s="1"/>
  <c r="CM192" i="6" s="1"/>
  <c r="I18" i="8"/>
  <c r="I11" s="1"/>
  <c r="I10" s="1"/>
  <c r="CN192" i="6" s="1"/>
  <c r="K18" i="8"/>
  <c r="L18"/>
  <c r="L11" s="1"/>
  <c r="L10" s="1"/>
  <c r="CP192" i="6" s="1"/>
  <c r="M18" i="8"/>
  <c r="M11" s="1"/>
  <c r="M10" s="1"/>
  <c r="CQ192" i="6" s="1"/>
  <c r="W137" i="8"/>
  <c r="X137" s="1"/>
  <c r="S158" i="4"/>
  <c r="T158" s="1"/>
  <c r="W135" i="8"/>
  <c r="X135" s="1"/>
  <c r="S153" i="4"/>
  <c r="T153" s="1"/>
  <c r="P127" i="8"/>
  <c r="K149" i="10"/>
  <c r="O149"/>
  <c r="Q114" i="4"/>
  <c r="S151" i="8"/>
  <c r="S37" i="12"/>
  <c r="T37" s="1"/>
  <c r="S11" i="8"/>
  <c r="S10" s="1"/>
  <c r="CU192" i="6" s="1"/>
  <c r="W153" i="8"/>
  <c r="X153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M126" i="4"/>
  <c r="S15" i="12"/>
  <c r="T15" s="1"/>
  <c r="S50"/>
  <c r="T50" s="1"/>
  <c r="S142" i="9"/>
  <c r="T142" s="1"/>
  <c r="M115" i="8"/>
  <c r="S28" i="12"/>
  <c r="T28" s="1"/>
  <c r="S115" i="4"/>
  <c r="T115" s="1"/>
  <c r="S13" i="12"/>
  <c r="T13" s="1"/>
  <c r="U127" i="8"/>
  <c r="N105" i="4"/>
  <c r="P105"/>
  <c r="Q150"/>
  <c r="S34" i="12"/>
  <c r="T34" s="1"/>
  <c r="S38"/>
  <c r="T38" s="1"/>
  <c r="O137" i="4"/>
  <c r="S157" i="10"/>
  <c r="T157" s="1"/>
  <c r="S20" i="12"/>
  <c r="T20" s="1"/>
  <c r="H11"/>
  <c r="H10" s="1"/>
  <c r="S108" i="4"/>
  <c r="T108" s="1"/>
  <c r="J136" i="10"/>
  <c r="S109" i="4"/>
  <c r="T109" s="1"/>
  <c r="I149" i="10"/>
  <c r="Q127" i="8"/>
  <c r="S49" i="12"/>
  <c r="T49" s="1"/>
  <c r="R57" i="10"/>
  <c r="K125" i="12"/>
  <c r="S138" i="4"/>
  <c r="T138" s="1"/>
  <c r="S121"/>
  <c r="T121" s="1"/>
  <c r="S152"/>
  <c r="T152" s="1"/>
  <c r="S24" i="12"/>
  <c r="T24" s="1"/>
  <c r="S17"/>
  <c r="T17" s="1"/>
  <c r="O136"/>
  <c r="W136" i="8"/>
  <c r="X136" s="1"/>
  <c r="S106" i="4"/>
  <c r="T106" s="1"/>
  <c r="W141" i="8"/>
  <c r="X141" s="1"/>
  <c r="S127"/>
  <c r="S130" i="4"/>
  <c r="T130" s="1"/>
  <c r="N137" i="9"/>
  <c r="O150" i="4"/>
  <c r="L136" i="12"/>
  <c r="G150"/>
  <c r="M150"/>
  <c r="W152" i="8"/>
  <c r="X152" s="1"/>
  <c r="Q105" i="4"/>
  <c r="W140" i="8"/>
  <c r="X140" s="1"/>
  <c r="Q149" i="10"/>
  <c r="O126" i="9"/>
  <c r="H113" i="10"/>
  <c r="S41" i="12"/>
  <c r="T41" s="1"/>
  <c r="S36"/>
  <c r="T36" s="1"/>
  <c r="I42"/>
  <c r="I52" i="11"/>
  <c r="S118" i="4"/>
  <c r="T118" s="1"/>
  <c r="J114"/>
  <c r="O138" i="8"/>
  <c r="G136" i="10"/>
  <c r="S119" i="4"/>
  <c r="T119" s="1"/>
  <c r="S63" i="12"/>
  <c r="T63" s="1"/>
  <c r="L137" i="4"/>
  <c r="S135" i="10"/>
  <c r="T135" s="1"/>
  <c r="S126"/>
  <c r="T126" s="1"/>
  <c r="S155"/>
  <c r="T155" s="1"/>
  <c r="S113" i="4"/>
  <c r="T113" s="1"/>
  <c r="W158" i="8"/>
  <c r="X158" s="1"/>
  <c r="N126" i="4"/>
  <c r="S132"/>
  <c r="T132" s="1"/>
  <c r="S122"/>
  <c r="T122" s="1"/>
  <c r="M137"/>
  <c r="S147"/>
  <c r="T147" s="1"/>
  <c r="S156"/>
  <c r="T156" s="1"/>
  <c r="S151" i="10"/>
  <c r="T151" s="1"/>
  <c r="P136"/>
  <c r="S142" i="4"/>
  <c r="T142" s="1"/>
  <c r="G31" i="12"/>
  <c r="S14"/>
  <c r="T14" s="1"/>
  <c r="S16"/>
  <c r="T16" s="1"/>
  <c r="I11"/>
  <c r="I10" s="1"/>
  <c r="S39"/>
  <c r="T39" s="1"/>
  <c r="S64"/>
  <c r="T64" s="1"/>
  <c r="S33"/>
  <c r="T33" s="1"/>
  <c r="S48"/>
  <c r="T48" s="1"/>
  <c r="H42"/>
  <c r="G57"/>
  <c r="G42"/>
  <c r="S62"/>
  <c r="T62" s="1"/>
  <c r="S51"/>
  <c r="T51" s="1"/>
  <c r="S40"/>
  <c r="T40" s="1"/>
  <c r="S52"/>
  <c r="T52" s="1"/>
  <c r="L105" i="4"/>
  <c r="H105"/>
  <c r="O105"/>
  <c r="Q126" i="9"/>
  <c r="K126"/>
  <c r="G105"/>
  <c r="S105" s="1"/>
  <c r="T105" s="1"/>
  <c r="G126" i="4"/>
  <c r="S117"/>
  <c r="T117" s="1"/>
  <c r="S107"/>
  <c r="T107" s="1"/>
  <c r="S139"/>
  <c r="T139" s="1"/>
  <c r="P151" i="8"/>
  <c r="Q126" i="4"/>
  <c r="S18" i="12"/>
  <c r="T18" s="1"/>
  <c r="S146" i="4"/>
  <c r="T146" s="1"/>
  <c r="O126"/>
  <c r="N137"/>
  <c r="G149" i="10"/>
  <c r="S128"/>
  <c r="T128" s="1"/>
  <c r="S139"/>
  <c r="T139" s="1"/>
  <c r="H136"/>
  <c r="W147" i="8"/>
  <c r="X147" s="1"/>
  <c r="S123" i="4"/>
  <c r="T123" s="1"/>
  <c r="S140"/>
  <c r="T140" s="1"/>
  <c r="S145"/>
  <c r="T145" s="1"/>
  <c r="L136" i="10"/>
  <c r="W133" i="8"/>
  <c r="X133" s="1"/>
  <c r="P126" i="4"/>
  <c r="L115" i="8"/>
  <c r="O151"/>
  <c r="S27" i="12"/>
  <c r="T27" s="1"/>
  <c r="I31"/>
  <c r="P106" i="8"/>
  <c r="M127"/>
  <c r="Q151"/>
  <c r="S43" i="12"/>
  <c r="T43" s="1"/>
  <c r="S47"/>
  <c r="T47" s="1"/>
  <c r="S129"/>
  <c r="T129" s="1"/>
  <c r="S137" i="10"/>
  <c r="T137" s="1"/>
  <c r="S116" i="4"/>
  <c r="T116" s="1"/>
  <c r="W110" i="8"/>
  <c r="X110" s="1"/>
  <c r="S120" i="12"/>
  <c r="T120" s="1"/>
  <c r="J114" i="9"/>
  <c r="Q42" i="10"/>
  <c r="S43"/>
  <c r="T43" s="1"/>
  <c r="S51"/>
  <c r="T51" s="1"/>
  <c r="G11" i="9"/>
  <c r="G10" s="1"/>
  <c r="W121" i="8"/>
  <c r="X121" s="1"/>
  <c r="G137" i="4"/>
  <c r="S137" i="12"/>
  <c r="T137" s="1"/>
  <c r="S141" i="4"/>
  <c r="T141" s="1"/>
  <c r="S135"/>
  <c r="T135" s="1"/>
  <c r="R137"/>
  <c r="G105"/>
  <c r="S105" s="1"/>
  <c r="T105" s="1"/>
  <c r="K114"/>
  <c r="G137" i="9"/>
  <c r="S140"/>
  <c r="T140" s="1"/>
  <c r="S129"/>
  <c r="T129" s="1"/>
  <c r="S121"/>
  <c r="T121" s="1"/>
  <c r="S134"/>
  <c r="T134" s="1"/>
  <c r="S122"/>
  <c r="T122" s="1"/>
  <c r="S141"/>
  <c r="T141" s="1"/>
  <c r="H126"/>
  <c r="K114"/>
  <c r="S139"/>
  <c r="T139" s="1"/>
  <c r="S113"/>
  <c r="T113" s="1"/>
  <c r="I150"/>
  <c r="J105"/>
  <c r="S108"/>
  <c r="T108" s="1"/>
  <c r="U115" i="8"/>
  <c r="R114" i="4"/>
  <c r="U106" i="8"/>
  <c r="W143"/>
  <c r="X143" s="1"/>
  <c r="W111"/>
  <c r="X111" s="1"/>
  <c r="S153" i="9"/>
  <c r="T153" s="1"/>
  <c r="S132"/>
  <c r="T132" s="1"/>
  <c r="S145" i="12"/>
  <c r="T145" s="1"/>
  <c r="S141"/>
  <c r="T141" s="1"/>
  <c r="W40" i="8"/>
  <c r="X40" s="1"/>
  <c r="R125" i="12"/>
  <c r="G105" i="10"/>
  <c r="R113"/>
  <c r="S26" i="12"/>
  <c r="T26" s="1"/>
  <c r="S22"/>
  <c r="T22" s="1"/>
  <c r="S23"/>
  <c r="T23" s="1"/>
  <c r="S53"/>
  <c r="T53" s="1"/>
  <c r="S46"/>
  <c r="T46" s="1"/>
  <c r="S25"/>
  <c r="T25" s="1"/>
  <c r="J51" i="11"/>
  <c r="S111" i="4"/>
  <c r="T111" s="1"/>
  <c r="S145" i="9"/>
  <c r="T145" s="1"/>
  <c r="K115" i="8"/>
  <c r="J137" i="9"/>
  <c r="R136" i="12"/>
  <c r="S109"/>
  <c r="T109" s="1"/>
  <c r="S119" i="10"/>
  <c r="T119" s="1"/>
  <c r="Q138" i="8"/>
  <c r="S120" i="4"/>
  <c r="T120" s="1"/>
  <c r="W117" i="8"/>
  <c r="X117" s="1"/>
  <c r="P115"/>
  <c r="M114" i="9"/>
  <c r="S151"/>
  <c r="T151" s="1"/>
  <c r="I138" i="8"/>
  <c r="G106"/>
  <c r="W129"/>
  <c r="X129" s="1"/>
  <c r="S157" i="4"/>
  <c r="T157" s="1"/>
  <c r="S151"/>
  <c r="T151" s="1"/>
  <c r="Q137"/>
  <c r="W112" i="8"/>
  <c r="X112" s="1"/>
  <c r="S12" i="12"/>
  <c r="T12" s="1"/>
  <c r="G11"/>
  <c r="H57"/>
  <c r="S58"/>
  <c r="T58" s="1"/>
  <c r="S19"/>
  <c r="T19" s="1"/>
  <c r="H31"/>
  <c r="S59"/>
  <c r="T59" s="1"/>
  <c r="I57"/>
  <c r="S112" i="10"/>
  <c r="T112" s="1"/>
  <c r="H126" i="4"/>
  <c r="S127"/>
  <c r="T127" s="1"/>
  <c r="S35" i="12"/>
  <c r="T35" s="1"/>
  <c r="S135"/>
  <c r="T135" s="1"/>
  <c r="G105"/>
  <c r="L149" i="10"/>
  <c r="S118" i="9"/>
  <c r="T118" s="1"/>
  <c r="G126"/>
  <c r="M106" i="8"/>
  <c r="S127" i="9"/>
  <c r="T127" s="1"/>
  <c r="S116"/>
  <c r="T116" s="1"/>
  <c r="P105"/>
  <c r="L114"/>
  <c r="S110"/>
  <c r="T110" s="1"/>
  <c r="S157"/>
  <c r="T157" s="1"/>
  <c r="L138" i="8"/>
  <c r="W128"/>
  <c r="X128" s="1"/>
  <c r="R150" i="4"/>
  <c r="W119" i="8"/>
  <c r="X119" s="1"/>
  <c r="H115"/>
  <c r="Q125" i="12"/>
  <c r="I105"/>
  <c r="N125"/>
  <c r="S158" i="9"/>
  <c r="T158" s="1"/>
  <c r="S146"/>
  <c r="T146" s="1"/>
  <c r="R126"/>
  <c r="W116" i="8"/>
  <c r="X116" s="1"/>
  <c r="W146"/>
  <c r="X146" s="1"/>
  <c r="O127"/>
  <c r="N114" i="4"/>
  <c r="S151" i="12"/>
  <c r="T151" s="1"/>
  <c r="S146"/>
  <c r="T146" s="1"/>
  <c r="I125"/>
  <c r="K137" i="4"/>
  <c r="L137" i="9"/>
  <c r="L151" i="8"/>
  <c r="K150" i="9"/>
  <c r="G114" i="4"/>
  <c r="N150" i="9"/>
  <c r="Q105" i="12"/>
  <c r="R113"/>
  <c r="Q113"/>
  <c r="J136"/>
  <c r="G125"/>
  <c r="K113"/>
  <c r="H125" i="10"/>
  <c r="S146"/>
  <c r="T146" s="1"/>
  <c r="N113"/>
  <c r="P149"/>
  <c r="H105"/>
  <c r="J113"/>
  <c r="S122"/>
  <c r="T122" s="1"/>
  <c r="S108"/>
  <c r="T108" s="1"/>
  <c r="S141"/>
  <c r="T141" s="1"/>
  <c r="R125"/>
  <c r="S133"/>
  <c r="T133" s="1"/>
  <c r="S130" i="12"/>
  <c r="T130" s="1"/>
  <c r="J137" i="4"/>
  <c r="S34" i="10"/>
  <c r="T34" s="1"/>
  <c r="R114" i="9"/>
  <c r="H150"/>
  <c r="M151" i="8"/>
  <c r="S134" i="10"/>
  <c r="T134" s="1"/>
  <c r="L113"/>
  <c r="P113"/>
  <c r="O136"/>
  <c r="S120"/>
  <c r="T120" s="1"/>
  <c r="S111"/>
  <c r="T111" s="1"/>
  <c r="S109"/>
  <c r="T109" s="1"/>
  <c r="S116"/>
  <c r="T116" s="1"/>
  <c r="I113"/>
  <c r="M136"/>
  <c r="K105"/>
  <c r="S112" i="12"/>
  <c r="T112" s="1"/>
  <c r="S110"/>
  <c r="T110" s="1"/>
  <c r="S152" i="10"/>
  <c r="T152" s="1"/>
  <c r="H113" i="12"/>
  <c r="H150"/>
  <c r="P125"/>
  <c r="S117" i="10"/>
  <c r="T117" s="1"/>
  <c r="I125"/>
  <c r="R136"/>
  <c r="I105"/>
  <c r="S118"/>
  <c r="T118" s="1"/>
  <c r="S108" i="12"/>
  <c r="T108" s="1"/>
  <c r="S129" i="10"/>
  <c r="T129" s="1"/>
  <c r="S132"/>
  <c r="T132" s="1"/>
  <c r="S130"/>
  <c r="T130" s="1"/>
  <c r="R150" i="12"/>
  <c r="P105"/>
  <c r="S115" i="10"/>
  <c r="T115" s="1"/>
  <c r="S106" i="12"/>
  <c r="T106" s="1"/>
  <c r="R105"/>
  <c r="Q125" i="10"/>
  <c r="S126" i="12"/>
  <c r="T126" s="1"/>
  <c r="J32" i="11"/>
  <c r="S140" i="10"/>
  <c r="T140" s="1"/>
  <c r="O125"/>
  <c r="L105"/>
  <c r="K113"/>
  <c r="Q105"/>
  <c r="S145"/>
  <c r="T145" s="1"/>
  <c r="K105" i="12"/>
  <c r="L125"/>
  <c r="S131" i="10"/>
  <c r="T131" s="1"/>
  <c r="P125"/>
  <c r="P105"/>
  <c r="R105"/>
  <c r="I136"/>
  <c r="S133" i="12"/>
  <c r="T133" s="1"/>
  <c r="O125"/>
  <c r="S127" i="10"/>
  <c r="T127" s="1"/>
  <c r="S131" i="12"/>
  <c r="T131" s="1"/>
  <c r="S121"/>
  <c r="T121" s="1"/>
  <c r="S134"/>
  <c r="T134" s="1"/>
  <c r="S143"/>
  <c r="T143" s="1"/>
  <c r="O105"/>
  <c r="N105"/>
  <c r="S143" i="10"/>
  <c r="T143" s="1"/>
  <c r="M125"/>
  <c r="L113" i="12"/>
  <c r="S116"/>
  <c r="T116" s="1"/>
  <c r="S107"/>
  <c r="T107" s="1"/>
  <c r="S114"/>
  <c r="T114" s="1"/>
  <c r="G113" i="10"/>
  <c r="G125"/>
  <c r="Q136"/>
  <c r="K136"/>
  <c r="S107"/>
  <c r="T107" s="1"/>
  <c r="O113"/>
  <c r="N125"/>
  <c r="S156"/>
  <c r="T156" s="1"/>
  <c r="Q113"/>
  <c r="L125"/>
  <c r="K125"/>
  <c r="S150"/>
  <c r="T150" s="1"/>
  <c r="S106"/>
  <c r="T106" s="1"/>
  <c r="Q150" i="12"/>
  <c r="S119"/>
  <c r="T119" s="1"/>
  <c r="N150"/>
  <c r="M125"/>
  <c r="G151" i="8"/>
  <c r="S110" i="10"/>
  <c r="T110" s="1"/>
  <c r="J125" i="12"/>
  <c r="L150"/>
  <c r="S153"/>
  <c r="T153" s="1"/>
  <c r="S114" i="10"/>
  <c r="T114" s="1"/>
  <c r="H105" i="12"/>
  <c r="J125" i="10"/>
  <c r="I54" i="11"/>
  <c r="J54"/>
  <c r="I45"/>
  <c r="P113" i="12"/>
  <c r="S127"/>
  <c r="T127" s="1"/>
  <c r="P136"/>
  <c r="S122"/>
  <c r="T122" s="1"/>
  <c r="N13" i="8"/>
  <c r="J113" i="12"/>
  <c r="S115"/>
  <c r="T115" s="1"/>
  <c r="S139"/>
  <c r="T139" s="1"/>
  <c r="M136"/>
  <c r="S157"/>
  <c r="T157" s="1"/>
  <c r="S138"/>
  <c r="T138" s="1"/>
  <c r="S111"/>
  <c r="T111" s="1"/>
  <c r="S117"/>
  <c r="T117" s="1"/>
  <c r="L105"/>
  <c r="H125"/>
  <c r="O150"/>
  <c r="S152"/>
  <c r="T152" s="1"/>
  <c r="T9" i="13" l="1"/>
  <c r="T103" s="1"/>
  <c r="T9" i="9"/>
  <c r="T103" s="1"/>
  <c r="E13" i="1"/>
  <c r="X9" i="8"/>
  <c r="X104" s="1"/>
  <c r="T9" i="10"/>
  <c r="T103" s="1"/>
  <c r="T9" i="12"/>
  <c r="T103" s="1"/>
  <c r="T9" i="4"/>
  <c r="T103" s="1"/>
  <c r="S102" i="13"/>
  <c r="W103" i="8"/>
  <c r="S102" i="12"/>
  <c r="S102" i="9"/>
  <c r="S102" i="4"/>
  <c r="S102" i="10"/>
  <c r="G62" i="11"/>
  <c r="O63"/>
  <c r="P63" s="1"/>
  <c r="O65"/>
  <c r="Q65" s="1"/>
  <c r="O64"/>
  <c r="Q64" s="1"/>
  <c r="W107" i="8"/>
  <c r="X107" s="1"/>
  <c r="L30" i="9"/>
  <c r="L54" s="1"/>
  <c r="L60" s="1"/>
  <c r="L65" s="1"/>
  <c r="L61" s="1"/>
  <c r="T30" i="8"/>
  <c r="T56" s="1"/>
  <c r="T57" s="1"/>
  <c r="S30"/>
  <c r="CU193" i="6" s="1"/>
  <c r="DD194"/>
  <c r="CZ194"/>
  <c r="S143" i="9"/>
  <c r="T143" s="1"/>
  <c r="CX194" i="6"/>
  <c r="DC194"/>
  <c r="H58" i="11"/>
  <c r="H59"/>
  <c r="I59" s="1"/>
  <c r="H60"/>
  <c r="H123" i="13"/>
  <c r="R126" i="4"/>
  <c r="R124" s="1"/>
  <c r="R125" s="1"/>
  <c r="S10"/>
  <c r="T10" s="1"/>
  <c r="Q15" i="11"/>
  <c r="R150" i="13"/>
  <c r="K123"/>
  <c r="K148" s="1"/>
  <c r="G159"/>
  <c r="M150"/>
  <c r="L150"/>
  <c r="R123"/>
  <c r="R124" s="1"/>
  <c r="M123"/>
  <c r="M148" s="1"/>
  <c r="H65" i="11"/>
  <c r="I65" s="1"/>
  <c r="S158" i="13"/>
  <c r="T158" s="1"/>
  <c r="I124"/>
  <c r="I148"/>
  <c r="Q150"/>
  <c r="P123"/>
  <c r="S153"/>
  <c r="T153" s="1"/>
  <c r="O150"/>
  <c r="S142"/>
  <c r="T142" s="1"/>
  <c r="H48" i="11"/>
  <c r="J48" s="1"/>
  <c r="O29"/>
  <c r="I150" i="13"/>
  <c r="H63" i="11"/>
  <c r="J63" s="1"/>
  <c r="S156" i="13"/>
  <c r="T156" s="1"/>
  <c r="L123"/>
  <c r="P150"/>
  <c r="N150"/>
  <c r="Q124"/>
  <c r="Q148"/>
  <c r="K150"/>
  <c r="H49" i="11"/>
  <c r="I49" s="1"/>
  <c r="S143" i="13"/>
  <c r="T143" s="1"/>
  <c r="O123"/>
  <c r="S151"/>
  <c r="T151" s="1"/>
  <c r="H150"/>
  <c r="S157"/>
  <c r="T157" s="1"/>
  <c r="H64" i="11"/>
  <c r="I64" s="1"/>
  <c r="J150" i="13"/>
  <c r="S152"/>
  <c r="T152" s="1"/>
  <c r="J123"/>
  <c r="N123"/>
  <c r="W17" i="8"/>
  <c r="X17" s="1"/>
  <c r="M125"/>
  <c r="M126" s="1"/>
  <c r="R29" i="10"/>
  <c r="R30" s="1"/>
  <c r="R104" i="9"/>
  <c r="J30"/>
  <c r="J31" s="1"/>
  <c r="Q23" i="11"/>
  <c r="I104" i="9"/>
  <c r="K29" i="12"/>
  <c r="K30" s="1"/>
  <c r="N124" i="9"/>
  <c r="N125" s="1"/>
  <c r="M29" i="12"/>
  <c r="M30" s="1"/>
  <c r="G125" i="8"/>
  <c r="G126" s="1"/>
  <c r="O104" i="10"/>
  <c r="W14" i="8"/>
  <c r="X14" s="1"/>
  <c r="K29" i="10"/>
  <c r="K30" s="1"/>
  <c r="N29"/>
  <c r="N30" s="1"/>
  <c r="J29"/>
  <c r="J55" s="1"/>
  <c r="J56" s="1"/>
  <c r="O124" i="9"/>
  <c r="O125" s="1"/>
  <c r="P104" i="4"/>
  <c r="I104"/>
  <c r="G29" i="10"/>
  <c r="G55" s="1"/>
  <c r="I29"/>
  <c r="I30" s="1"/>
  <c r="P29" i="12"/>
  <c r="P30" s="1"/>
  <c r="L29"/>
  <c r="L30" s="1"/>
  <c r="DE193" i="6"/>
  <c r="DE194" s="1"/>
  <c r="L30" i="4"/>
  <c r="K30" i="8"/>
  <c r="K31" s="1"/>
  <c r="P104" i="9"/>
  <c r="H55" i="4"/>
  <c r="H56" s="1"/>
  <c r="N104" i="12"/>
  <c r="CY193" i="6"/>
  <c r="CY194" s="1"/>
  <c r="G30" i="4"/>
  <c r="DF193" i="6"/>
  <c r="DF194" s="1"/>
  <c r="O55" i="4"/>
  <c r="O60" s="1"/>
  <c r="G30" i="8"/>
  <c r="G31" s="1"/>
  <c r="G30" i="9"/>
  <c r="G31" s="1"/>
  <c r="P30" i="8"/>
  <c r="P56" s="1"/>
  <c r="P57" s="1"/>
  <c r="N104" i="9"/>
  <c r="N148" s="1"/>
  <c r="N154" s="1"/>
  <c r="N159" s="1"/>
  <c r="N155" s="1"/>
  <c r="Q30"/>
  <c r="Q31" s="1"/>
  <c r="R29" i="12"/>
  <c r="R30" s="1"/>
  <c r="W12" i="8"/>
  <c r="X12" s="1"/>
  <c r="Q104" i="9"/>
  <c r="K55" i="4"/>
  <c r="K60" s="1"/>
  <c r="S11" i="10"/>
  <c r="T11" s="1"/>
  <c r="K104" i="9"/>
  <c r="H104" i="4"/>
  <c r="DB193" i="6"/>
  <c r="DB194" s="1"/>
  <c r="N29" i="12"/>
  <c r="N30" s="1"/>
  <c r="L30" i="8"/>
  <c r="CP193" i="6" s="1"/>
  <c r="W15" i="8"/>
  <c r="X15" s="1"/>
  <c r="M55" i="4"/>
  <c r="M60" s="1"/>
  <c r="P29" i="10"/>
  <c r="P55" s="1"/>
  <c r="P56" s="1"/>
  <c r="W19" i="8"/>
  <c r="X19" s="1"/>
  <c r="M29" i="10"/>
  <c r="M30" s="1"/>
  <c r="DG193" i="6"/>
  <c r="DG194" s="1"/>
  <c r="P30" i="9"/>
  <c r="P31" s="1"/>
  <c r="J29" i="12"/>
  <c r="J30" s="1"/>
  <c r="N30" i="9"/>
  <c r="N31" s="1"/>
  <c r="R124"/>
  <c r="R125" s="1"/>
  <c r="M104" i="12"/>
  <c r="H30" i="9"/>
  <c r="H31" s="1"/>
  <c r="M30"/>
  <c r="M31" s="1"/>
  <c r="J104" i="10"/>
  <c r="T105" i="8"/>
  <c r="O29" i="12"/>
  <c r="O30" s="1"/>
  <c r="DI193" i="6"/>
  <c r="DI194" s="1"/>
  <c r="U30" i="8"/>
  <c r="U31" s="1"/>
  <c r="Q30"/>
  <c r="Q31" s="1"/>
  <c r="L29" i="10"/>
  <c r="L30" s="1"/>
  <c r="Q55" i="4"/>
  <c r="L55"/>
  <c r="Q30"/>
  <c r="W43" i="8"/>
  <c r="X43" s="1"/>
  <c r="W16"/>
  <c r="X16" s="1"/>
  <c r="H30"/>
  <c r="H56" s="1"/>
  <c r="CM194" i="6" s="1"/>
  <c r="S56" i="9"/>
  <c r="T56" s="1"/>
  <c r="S31" i="10"/>
  <c r="T31" s="1"/>
  <c r="S10"/>
  <c r="T10" s="1"/>
  <c r="H29"/>
  <c r="H55" s="1"/>
  <c r="H56" s="1"/>
  <c r="P124" i="9"/>
  <c r="P125" s="1"/>
  <c r="O105" i="8"/>
  <c r="Q29" i="12"/>
  <c r="Q30" s="1"/>
  <c r="O30" i="8"/>
  <c r="O31" s="1"/>
  <c r="W20"/>
  <c r="X20" s="1"/>
  <c r="W32"/>
  <c r="X32" s="1"/>
  <c r="S32" i="9"/>
  <c r="T32" s="1"/>
  <c r="H104"/>
  <c r="I30" i="8"/>
  <c r="CN193" i="6" s="1"/>
  <c r="L104" i="9"/>
  <c r="G104" i="12"/>
  <c r="K123"/>
  <c r="K124" s="1"/>
  <c r="G55" i="4"/>
  <c r="G56" s="1"/>
  <c r="K125" i="8"/>
  <c r="K126" s="1"/>
  <c r="I124" i="9"/>
  <c r="I125" s="1"/>
  <c r="O104"/>
  <c r="L11" i="11"/>
  <c r="M30" i="4"/>
  <c r="S29"/>
  <c r="T29" s="1"/>
  <c r="L124" i="9"/>
  <c r="L125" s="1"/>
  <c r="K105" i="8"/>
  <c r="I30" i="4"/>
  <c r="I55"/>
  <c r="I60" s="1"/>
  <c r="S43" i="9"/>
  <c r="T43" s="1"/>
  <c r="N55" i="4"/>
  <c r="N60" s="1"/>
  <c r="Q105" i="8"/>
  <c r="H125"/>
  <c r="H126" s="1"/>
  <c r="I105"/>
  <c r="M30"/>
  <c r="M31" s="1"/>
  <c r="I30" i="9"/>
  <c r="I54" s="1"/>
  <c r="R30"/>
  <c r="R31" s="1"/>
  <c r="W58" i="8"/>
  <c r="X58" s="1"/>
  <c r="O30" i="9"/>
  <c r="O31" s="1"/>
  <c r="W13" i="8"/>
  <c r="X13" s="1"/>
  <c r="H105"/>
  <c r="P55" i="4"/>
  <c r="P60" s="1"/>
  <c r="S42"/>
  <c r="T42" s="1"/>
  <c r="J55"/>
  <c r="J56" s="1"/>
  <c r="K30" i="9"/>
  <c r="K31" s="1"/>
  <c r="R55" i="4"/>
  <c r="R60" s="1"/>
  <c r="DA193" i="6"/>
  <c r="DA194" s="1"/>
  <c r="N104" i="10"/>
  <c r="M49" i="11"/>
  <c r="Q36"/>
  <c r="L45"/>
  <c r="L125" i="8"/>
  <c r="L126" s="1"/>
  <c r="G105"/>
  <c r="M54" i="11"/>
  <c r="P32"/>
  <c r="M104" i="9"/>
  <c r="M58" i="11"/>
  <c r="I125" i="8"/>
  <c r="I126" s="1"/>
  <c r="T18" i="11"/>
  <c r="S18"/>
  <c r="J124" i="9"/>
  <c r="J125" s="1"/>
  <c r="K104" i="4"/>
  <c r="M32" i="11"/>
  <c r="L21"/>
  <c r="T21"/>
  <c r="T48"/>
  <c r="S34"/>
  <c r="S15"/>
  <c r="T53"/>
  <c r="S28"/>
  <c r="T52"/>
  <c r="S65"/>
  <c r="S26"/>
  <c r="H124" i="4"/>
  <c r="H125" s="1"/>
  <c r="T65" i="11"/>
  <c r="K124" i="9"/>
  <c r="K125" s="1"/>
  <c r="N123" i="12"/>
  <c r="N124" s="1"/>
  <c r="L126" i="4"/>
  <c r="L124" s="1"/>
  <c r="L125" s="1"/>
  <c r="S105" i="8"/>
  <c r="Q63" i="11"/>
  <c r="P50"/>
  <c r="P34"/>
  <c r="Q18"/>
  <c r="L105" i="8"/>
  <c r="T27" i="11"/>
  <c r="T49"/>
  <c r="S33"/>
  <c r="T23"/>
  <c r="T58"/>
  <c r="T45"/>
  <c r="T19"/>
  <c r="S16"/>
  <c r="T41"/>
  <c r="T25"/>
  <c r="T64"/>
  <c r="S47"/>
  <c r="Q45"/>
  <c r="S63"/>
  <c r="Q49"/>
  <c r="Q16"/>
  <c r="S19"/>
  <c r="T16"/>
  <c r="S41"/>
  <c r="Q41"/>
  <c r="S61" i="13"/>
  <c r="T61" s="1"/>
  <c r="M42" i="11"/>
  <c r="T57"/>
  <c r="M57"/>
  <c r="S31"/>
  <c r="M31"/>
  <c r="L23"/>
  <c r="P36"/>
  <c r="J104" i="4"/>
  <c r="T43" i="11"/>
  <c r="H124" i="9"/>
  <c r="H125" s="1"/>
  <c r="T59" i="11"/>
  <c r="Q38"/>
  <c r="J23"/>
  <c r="R104" i="4"/>
  <c r="S125" i="8"/>
  <c r="S126" s="1"/>
  <c r="P14" i="11"/>
  <c r="P39"/>
  <c r="Q58"/>
  <c r="O125" i="8"/>
  <c r="O126" s="1"/>
  <c r="S52" i="11"/>
  <c r="S54"/>
  <c r="N136" i="10"/>
  <c r="N123" s="1"/>
  <c r="Q104" i="4"/>
  <c r="S51" i="11"/>
  <c r="I126" i="4"/>
  <c r="I124" s="1"/>
  <c r="I125" s="1"/>
  <c r="T38" i="11"/>
  <c r="P124" i="4"/>
  <c r="P125" s="1"/>
  <c r="I46" i="11"/>
  <c r="Q34"/>
  <c r="T125" i="8"/>
  <c r="T126" s="1"/>
  <c r="S36" i="11"/>
  <c r="I47"/>
  <c r="O104" i="4"/>
  <c r="L104"/>
  <c r="T24" i="11"/>
  <c r="T15"/>
  <c r="G123" i="12"/>
  <c r="M124" i="9"/>
  <c r="M125" s="1"/>
  <c r="J28" i="11"/>
  <c r="I123" i="12"/>
  <c r="I124" s="1"/>
  <c r="Q123"/>
  <c r="Q124" s="1"/>
  <c r="T34" i="11"/>
  <c r="J13"/>
  <c r="S46"/>
  <c r="S13"/>
  <c r="S22"/>
  <c r="S128" i="4"/>
  <c r="T128" s="1"/>
  <c r="U125" i="8"/>
  <c r="U126" s="1"/>
  <c r="S45" i="11"/>
  <c r="I25"/>
  <c r="L37"/>
  <c r="Q42"/>
  <c r="T33"/>
  <c r="I104" i="12"/>
  <c r="S49" i="11"/>
  <c r="L52"/>
  <c r="S57" i="10"/>
  <c r="T57" s="1"/>
  <c r="I27" i="11"/>
  <c r="M105" i="8"/>
  <c r="P33" i="11"/>
  <c r="S129" i="4"/>
  <c r="T129" s="1"/>
  <c r="M104"/>
  <c r="S35" i="11"/>
  <c r="P125" i="8"/>
  <c r="P126" s="1"/>
  <c r="M28" i="11"/>
  <c r="M12"/>
  <c r="T63"/>
  <c r="G104" i="9"/>
  <c r="S104" s="1"/>
  <c r="T104" s="1"/>
  <c r="J22" i="11"/>
  <c r="Q124" i="9"/>
  <c r="I36" i="11"/>
  <c r="T46"/>
  <c r="P19"/>
  <c r="N124" i="4"/>
  <c r="N125" s="1"/>
  <c r="S20" i="11"/>
  <c r="I44"/>
  <c r="M104" i="10"/>
  <c r="I29" i="12"/>
  <c r="I55" s="1"/>
  <c r="J44" i="11"/>
  <c r="M44"/>
  <c r="I23"/>
  <c r="J123" i="10"/>
  <c r="J124" s="1"/>
  <c r="S11" i="11"/>
  <c r="Q52"/>
  <c r="Q20"/>
  <c r="T36"/>
  <c r="T20"/>
  <c r="J15"/>
  <c r="S50"/>
  <c r="M43"/>
  <c r="S40"/>
  <c r="P20"/>
  <c r="S39"/>
  <c r="T39"/>
  <c r="L123" i="10"/>
  <c r="L124" s="1"/>
  <c r="O55"/>
  <c r="O60" s="1"/>
  <c r="O65" s="1"/>
  <c r="O61" s="1"/>
  <c r="Q39" i="11"/>
  <c r="D16" i="1"/>
  <c r="E16" s="1"/>
  <c r="M22" i="11"/>
  <c r="T35"/>
  <c r="P18"/>
  <c r="Q27"/>
  <c r="Q28"/>
  <c r="L59"/>
  <c r="Q48"/>
  <c r="G123" i="10"/>
  <c r="G124" s="1"/>
  <c r="J24" i="11"/>
  <c r="M15"/>
  <c r="J38"/>
  <c r="L17"/>
  <c r="M24"/>
  <c r="I15"/>
  <c r="M25"/>
  <c r="S59"/>
  <c r="M124" i="4"/>
  <c r="M13" i="11"/>
  <c r="T50"/>
  <c r="Q50"/>
  <c r="M52"/>
  <c r="J52"/>
  <c r="M46"/>
  <c r="J126" i="4"/>
  <c r="J124" s="1"/>
  <c r="Q33" i="11"/>
  <c r="L50"/>
  <c r="J50"/>
  <c r="H29" i="12"/>
  <c r="H30" s="1"/>
  <c r="O11" i="8"/>
  <c r="O10" s="1"/>
  <c r="CR192" i="6" s="1"/>
  <c r="G11" i="8"/>
  <c r="J18"/>
  <c r="W18"/>
  <c r="X18" s="1"/>
  <c r="N18"/>
  <c r="K11"/>
  <c r="K10" s="1"/>
  <c r="P52" i="11"/>
  <c r="Q12"/>
  <c r="P105" i="8"/>
  <c r="P24" i="11"/>
  <c r="S43"/>
  <c r="P25"/>
  <c r="P49"/>
  <c r="Q24"/>
  <c r="P27"/>
  <c r="S27"/>
  <c r="Q44"/>
  <c r="I43"/>
  <c r="R104" i="10"/>
  <c r="S23" i="11"/>
  <c r="P123" i="10"/>
  <c r="P124" s="1"/>
  <c r="M53" i="11"/>
  <c r="H104" i="10"/>
  <c r="H123"/>
  <c r="H124" s="1"/>
  <c r="Q125" i="8"/>
  <c r="Q126" s="1"/>
  <c r="S58" i="11"/>
  <c r="P37"/>
  <c r="P35"/>
  <c r="Q124" i="4"/>
  <c r="Q125" s="1"/>
  <c r="P17" i="11"/>
  <c r="Q43"/>
  <c r="M63"/>
  <c r="P46"/>
  <c r="O124" i="4"/>
  <c r="O125" s="1"/>
  <c r="G29" i="12"/>
  <c r="P58" i="11"/>
  <c r="S17"/>
  <c r="T17"/>
  <c r="Q47"/>
  <c r="S24"/>
  <c r="P65"/>
  <c r="S48"/>
  <c r="P48"/>
  <c r="P28"/>
  <c r="T28"/>
  <c r="P47"/>
  <c r="T47"/>
  <c r="S11" i="9"/>
  <c r="T11" s="1"/>
  <c r="I50" i="11"/>
  <c r="G104" i="4"/>
  <c r="S104" s="1"/>
  <c r="T104" s="1"/>
  <c r="S11" i="12"/>
  <c r="T11" s="1"/>
  <c r="Q59" i="11"/>
  <c r="R104" i="12"/>
  <c r="P15" i="11"/>
  <c r="L27"/>
  <c r="L18"/>
  <c r="Q29" i="10"/>
  <c r="Q55" s="1"/>
  <c r="Q56" s="1"/>
  <c r="I18" i="11"/>
  <c r="S37"/>
  <c r="W127" i="8"/>
  <c r="X127" s="1"/>
  <c r="Q35" i="11"/>
  <c r="P59"/>
  <c r="K124" i="4"/>
  <c r="K125" s="1"/>
  <c r="P53" i="11"/>
  <c r="S53"/>
  <c r="J18"/>
  <c r="T37"/>
  <c r="G124" i="4"/>
  <c r="G125" s="1"/>
  <c r="T51" i="11"/>
  <c r="Q51"/>
  <c r="L123" i="12"/>
  <c r="L124" s="1"/>
  <c r="N104" i="4"/>
  <c r="S64" i="11"/>
  <c r="J16"/>
  <c r="M34"/>
  <c r="M20"/>
  <c r="Q31"/>
  <c r="S44"/>
  <c r="L16"/>
  <c r="S149" i="10"/>
  <c r="T149" s="1"/>
  <c r="U105" i="8"/>
  <c r="J104" i="9"/>
  <c r="S137" i="4"/>
  <c r="T137" s="1"/>
  <c r="P22" i="11"/>
  <c r="P11"/>
  <c r="L36"/>
  <c r="S42" i="12"/>
  <c r="T42" s="1"/>
  <c r="P16" i="11"/>
  <c r="Q53"/>
  <c r="S21"/>
  <c r="P23"/>
  <c r="J123" i="12"/>
  <c r="J124" s="1"/>
  <c r="G104" i="10"/>
  <c r="I53" i="11"/>
  <c r="M41"/>
  <c r="S150" i="4"/>
  <c r="T150" s="1"/>
  <c r="P40" i="11"/>
  <c r="P43"/>
  <c r="J36"/>
  <c r="M47"/>
  <c r="J14"/>
  <c r="T14"/>
  <c r="S42" i="10"/>
  <c r="T42" s="1"/>
  <c r="M36" i="11"/>
  <c r="P12"/>
  <c r="P38"/>
  <c r="G124" i="9"/>
  <c r="G125" s="1"/>
  <c r="I41" i="11"/>
  <c r="Q21"/>
  <c r="T13"/>
  <c r="I38"/>
  <c r="Q17"/>
  <c r="Q37"/>
  <c r="P26"/>
  <c r="Q40"/>
  <c r="I12"/>
  <c r="T40"/>
  <c r="S14"/>
  <c r="S32"/>
  <c r="S12"/>
  <c r="T12"/>
  <c r="Q14"/>
  <c r="T32"/>
  <c r="P54"/>
  <c r="Q54"/>
  <c r="L38"/>
  <c r="L40"/>
  <c r="J12"/>
  <c r="Q32"/>
  <c r="L47"/>
  <c r="P44"/>
  <c r="T22"/>
  <c r="Q26"/>
  <c r="Q22"/>
  <c r="S38"/>
  <c r="J46"/>
  <c r="L26"/>
  <c r="M39"/>
  <c r="J47"/>
  <c r="M65"/>
  <c r="S25"/>
  <c r="T44"/>
  <c r="Q46"/>
  <c r="G7"/>
  <c r="K8"/>
  <c r="K8" i="3"/>
  <c r="S8" i="12"/>
  <c r="S8" i="9"/>
  <c r="E252" i="2"/>
  <c r="F252"/>
  <c r="P51" i="11"/>
  <c r="L48"/>
  <c r="I26"/>
  <c r="L34"/>
  <c r="T26"/>
  <c r="T54"/>
  <c r="P104" i="12"/>
  <c r="P45" i="11"/>
  <c r="L64"/>
  <c r="S57" i="12"/>
  <c r="T57" s="1"/>
  <c r="I104" i="10"/>
  <c r="J27" i="11"/>
  <c r="S10" i="9"/>
  <c r="T10" s="1"/>
  <c r="P21" i="11"/>
  <c r="J34"/>
  <c r="I28"/>
  <c r="I34"/>
  <c r="S150" i="9"/>
  <c r="T150" s="1"/>
  <c r="J53" i="11"/>
  <c r="M51"/>
  <c r="S105" i="10"/>
  <c r="T105" s="1"/>
  <c r="R123" i="12"/>
  <c r="R124" s="1"/>
  <c r="R123" i="10"/>
  <c r="R124" s="1"/>
  <c r="I35" i="11"/>
  <c r="L33"/>
  <c r="I17"/>
  <c r="L65"/>
  <c r="I14"/>
  <c r="S31" i="12"/>
  <c r="T31" s="1"/>
  <c r="W115" i="8"/>
  <c r="X115" s="1"/>
  <c r="G10" i="12"/>
  <c r="J41" i="11"/>
  <c r="L14"/>
  <c r="I16"/>
  <c r="S126" i="9"/>
  <c r="T126" s="1"/>
  <c r="P104" i="10"/>
  <c r="L35" i="11"/>
  <c r="W138" i="8"/>
  <c r="X138" s="1"/>
  <c r="I39" i="11"/>
  <c r="P41"/>
  <c r="K104" i="12"/>
  <c r="S114" i="9"/>
  <c r="T114" s="1"/>
  <c r="S125" i="10"/>
  <c r="T125" s="1"/>
  <c r="O123"/>
  <c r="O104" i="12"/>
  <c r="P123"/>
  <c r="P124" s="1"/>
  <c r="J35" i="11"/>
  <c r="H104" i="12"/>
  <c r="Q104" i="10"/>
  <c r="M123"/>
  <c r="W106" i="8"/>
  <c r="X106" s="1"/>
  <c r="I123" i="10"/>
  <c r="I124" s="1"/>
  <c r="L51" i="11"/>
  <c r="J43"/>
  <c r="K104" i="10"/>
  <c r="I13" i="11"/>
  <c r="J25"/>
  <c r="J45"/>
  <c r="O123" i="12"/>
  <c r="O124" s="1"/>
  <c r="L104" i="10"/>
  <c r="S114" i="4"/>
  <c r="T114" s="1"/>
  <c r="W151" i="8"/>
  <c r="X151" s="1"/>
  <c r="Q123" i="10"/>
  <c r="Q124" s="1"/>
  <c r="S137" i="9"/>
  <c r="T137" s="1"/>
  <c r="I51" i="11"/>
  <c r="I24"/>
  <c r="L19"/>
  <c r="Q104" i="12"/>
  <c r="I22" i="11"/>
  <c r="J39"/>
  <c r="Q25"/>
  <c r="S113" i="10"/>
  <c r="T113" s="1"/>
  <c r="J17" i="11"/>
  <c r="K123" i="10"/>
  <c r="T11" i="11"/>
  <c r="J26"/>
  <c r="Q13"/>
  <c r="P13"/>
  <c r="I40"/>
  <c r="J40"/>
  <c r="J20"/>
  <c r="I20"/>
  <c r="I37"/>
  <c r="J37"/>
  <c r="J33"/>
  <c r="I33"/>
  <c r="J21"/>
  <c r="I21"/>
  <c r="S125" i="12"/>
  <c r="T125" s="1"/>
  <c r="H123"/>
  <c r="L104"/>
  <c r="S105"/>
  <c r="T105" s="1"/>
  <c r="S150"/>
  <c r="T150" s="1"/>
  <c r="M123"/>
  <c r="S136"/>
  <c r="T136" s="1"/>
  <c r="J104"/>
  <c r="S113"/>
  <c r="T113" s="1"/>
  <c r="I21" i="1" l="1"/>
  <c r="I13"/>
  <c r="E17"/>
  <c r="E21" s="1"/>
  <c r="I17"/>
  <c r="P64" i="11"/>
  <c r="L31" i="9"/>
  <c r="S56" i="8"/>
  <c r="S61" s="1"/>
  <c r="S66" s="1"/>
  <c r="S62" s="1"/>
  <c r="S31"/>
  <c r="CV193" i="6"/>
  <c r="T31" i="8"/>
  <c r="K149"/>
  <c r="K155" s="1"/>
  <c r="K160" s="1"/>
  <c r="K156" s="1"/>
  <c r="H29" i="11"/>
  <c r="I60"/>
  <c r="J60"/>
  <c r="O57"/>
  <c r="P57" s="1"/>
  <c r="H57"/>
  <c r="J57" s="1"/>
  <c r="K124" i="13"/>
  <c r="J66" i="11"/>
  <c r="J65"/>
  <c r="I63"/>
  <c r="J64"/>
  <c r="M124" i="13"/>
  <c r="J49" i="11"/>
  <c r="G155" i="13"/>
  <c r="R148"/>
  <c r="R154" s="1"/>
  <c r="R159" s="1"/>
  <c r="R155" s="1"/>
  <c r="I48" i="11"/>
  <c r="M149" i="13"/>
  <c r="M154"/>
  <c r="M159" s="1"/>
  <c r="M155" s="1"/>
  <c r="J59" i="11"/>
  <c r="J58"/>
  <c r="I58"/>
  <c r="O124" i="13"/>
  <c r="O148"/>
  <c r="Q154"/>
  <c r="Q159" s="1"/>
  <c r="Q155" s="1"/>
  <c r="Q149"/>
  <c r="J124"/>
  <c r="J148"/>
  <c r="I149"/>
  <c r="I154"/>
  <c r="I159" s="1"/>
  <c r="I155" s="1"/>
  <c r="S150"/>
  <c r="T150" s="1"/>
  <c r="L124"/>
  <c r="L148"/>
  <c r="P124"/>
  <c r="P148"/>
  <c r="H124"/>
  <c r="O30" i="11" s="1"/>
  <c r="P30" s="1"/>
  <c r="H148" i="13"/>
  <c r="S123"/>
  <c r="T123" s="1"/>
  <c r="N124"/>
  <c r="N148"/>
  <c r="K149"/>
  <c r="K154"/>
  <c r="K159" s="1"/>
  <c r="K155" s="1"/>
  <c r="P60" i="10"/>
  <c r="P65" s="1"/>
  <c r="P61" s="1"/>
  <c r="P148" i="9"/>
  <c r="P154" s="1"/>
  <c r="P159" s="1"/>
  <c r="P155" s="1"/>
  <c r="N55" i="10"/>
  <c r="N56" s="1"/>
  <c r="G149" i="8"/>
  <c r="W149" s="1"/>
  <c r="X149" s="1"/>
  <c r="R55" i="10"/>
  <c r="R56" s="1"/>
  <c r="M149" i="8"/>
  <c r="M155" s="1"/>
  <c r="M160" s="1"/>
  <c r="M156" s="1"/>
  <c r="G148" i="12"/>
  <c r="G149" s="1"/>
  <c r="J54" i="9"/>
  <c r="J55" s="1"/>
  <c r="M55" i="10"/>
  <c r="M56" s="1"/>
  <c r="M54" i="9"/>
  <c r="M55" s="1"/>
  <c r="O148"/>
  <c r="O149" s="1"/>
  <c r="K55" i="12"/>
  <c r="K56" s="1"/>
  <c r="M56" i="4"/>
  <c r="M55" i="12"/>
  <c r="M60" s="1"/>
  <c r="M65" s="1"/>
  <c r="M61" s="1"/>
  <c r="CS193" i="6"/>
  <c r="CS194"/>
  <c r="O55" i="12"/>
  <c r="O60" s="1"/>
  <c r="O147" i="10"/>
  <c r="O148" s="1"/>
  <c r="J30"/>
  <c r="K56" i="4"/>
  <c r="K55" i="10"/>
  <c r="K56" s="1"/>
  <c r="P55" i="12"/>
  <c r="P56" s="1"/>
  <c r="Q56" i="8"/>
  <c r="Q61" s="1"/>
  <c r="Q66" s="1"/>
  <c r="Q62" s="1"/>
  <c r="CO193" i="6"/>
  <c r="N54" i="9"/>
  <c r="N60" s="1"/>
  <c r="N65" s="1"/>
  <c r="N61" s="1"/>
  <c r="Q54"/>
  <c r="Q55" s="1"/>
  <c r="CL193" i="6"/>
  <c r="L55" i="12"/>
  <c r="L56" s="1"/>
  <c r="G54" i="9"/>
  <c r="J60" i="10"/>
  <c r="J65" s="1"/>
  <c r="J61" s="1"/>
  <c r="N55" i="12"/>
  <c r="N56" s="1"/>
  <c r="L55" i="10"/>
  <c r="L60" s="1"/>
  <c r="L65" s="1"/>
  <c r="L61" s="1"/>
  <c r="I56" i="4"/>
  <c r="I55" i="10"/>
  <c r="I60" s="1"/>
  <c r="I65" s="1"/>
  <c r="I61" s="1"/>
  <c r="H30"/>
  <c r="H60"/>
  <c r="H65" s="1"/>
  <c r="H61" s="1"/>
  <c r="CR193" i="6"/>
  <c r="L55" i="9"/>
  <c r="T61" i="8"/>
  <c r="T66" s="1"/>
  <c r="T62" s="1"/>
  <c r="G56" i="10"/>
  <c r="G60"/>
  <c r="G65" s="1"/>
  <c r="G30"/>
  <c r="L31" i="8"/>
  <c r="L56"/>
  <c r="CP194" i="6" s="1"/>
  <c r="H60" i="4"/>
  <c r="P61" i="8"/>
  <c r="P66" s="1"/>
  <c r="P62" s="1"/>
  <c r="P31"/>
  <c r="I148" i="9"/>
  <c r="I149" s="1"/>
  <c r="H54"/>
  <c r="H60" s="1"/>
  <c r="H65" s="1"/>
  <c r="H61" s="1"/>
  <c r="Q55" i="12"/>
  <c r="Q60" s="1"/>
  <c r="Q65" s="1"/>
  <c r="Q61" s="1"/>
  <c r="O56" i="4"/>
  <c r="U56" i="8"/>
  <c r="U57" s="1"/>
  <c r="J55" i="12"/>
  <c r="J56" s="1"/>
  <c r="R54" i="9"/>
  <c r="R60" s="1"/>
  <c r="R65" s="1"/>
  <c r="R61" s="1"/>
  <c r="Q148"/>
  <c r="Q154" s="1"/>
  <c r="Q159" s="1"/>
  <c r="Q155" s="1"/>
  <c r="CV194" i="6"/>
  <c r="R55" i="12"/>
  <c r="CW193" i="6"/>
  <c r="P30" i="10"/>
  <c r="P56" i="4"/>
  <c r="P54" i="9"/>
  <c r="P55" s="1"/>
  <c r="I56" i="8"/>
  <c r="I57" s="1"/>
  <c r="CT193" i="6"/>
  <c r="H149" i="8"/>
  <c r="H155" s="1"/>
  <c r="H160" s="1"/>
  <c r="H156" s="1"/>
  <c r="N148" i="12"/>
  <c r="N149" s="1"/>
  <c r="S30" i="4"/>
  <c r="T30" s="1"/>
  <c r="I31" i="8"/>
  <c r="L148" i="9"/>
  <c r="L154" s="1"/>
  <c r="L159" s="1"/>
  <c r="L155" s="1"/>
  <c r="R148"/>
  <c r="R149" s="1"/>
  <c r="Q60" i="4"/>
  <c r="Q56"/>
  <c r="S30" i="9"/>
  <c r="T30" s="1"/>
  <c r="CM193" i="6"/>
  <c r="H31" i="8"/>
  <c r="L60" i="4"/>
  <c r="L56"/>
  <c r="K54" i="9"/>
  <c r="K55" s="1"/>
  <c r="M56" i="8"/>
  <c r="CQ194" i="6" s="1"/>
  <c r="S55" i="4"/>
  <c r="T55" s="1"/>
  <c r="W105" i="8"/>
  <c r="X105" s="1"/>
  <c r="CQ193" i="6"/>
  <c r="K148" i="9"/>
  <c r="K149" s="1"/>
  <c r="K148" i="12"/>
  <c r="K154" s="1"/>
  <c r="K159" s="1"/>
  <c r="K155" s="1"/>
  <c r="G60" i="4"/>
  <c r="R56"/>
  <c r="N56"/>
  <c r="O54" i="9"/>
  <c r="O55" s="1"/>
  <c r="H61" i="8"/>
  <c r="H66" s="1"/>
  <c r="H62" s="1"/>
  <c r="I31" i="9"/>
  <c r="W30" i="8"/>
  <c r="X30" s="1"/>
  <c r="J60" i="4"/>
  <c r="H57" i="8"/>
  <c r="J148" i="9"/>
  <c r="J154" s="1"/>
  <c r="J159" s="1"/>
  <c r="J155" s="1"/>
  <c r="S136" i="10"/>
  <c r="T136" s="1"/>
  <c r="L149" i="8"/>
  <c r="L150" s="1"/>
  <c r="H148" i="4"/>
  <c r="H149" s="1"/>
  <c r="M148" i="9"/>
  <c r="M154" s="1"/>
  <c r="M159" s="1"/>
  <c r="M155" s="1"/>
  <c r="I149" i="8"/>
  <c r="I150" s="1"/>
  <c r="S149"/>
  <c r="S150" s="1"/>
  <c r="P148" i="4"/>
  <c r="P154" s="1"/>
  <c r="P159" s="1"/>
  <c r="P155" s="1"/>
  <c r="L147" i="10"/>
  <c r="L148" s="1"/>
  <c r="I148" i="4"/>
  <c r="R148"/>
  <c r="R149" s="1"/>
  <c r="T31" i="11"/>
  <c r="R60" i="10"/>
  <c r="R65" s="1"/>
  <c r="R61" s="1"/>
  <c r="O149" i="8"/>
  <c r="O150" s="1"/>
  <c r="H148" i="9"/>
  <c r="H149" s="1"/>
  <c r="Q125"/>
  <c r="S125" s="1"/>
  <c r="T125" s="1"/>
  <c r="M148" i="4"/>
  <c r="M154" s="1"/>
  <c r="M159" s="1"/>
  <c r="M155" s="1"/>
  <c r="N148"/>
  <c r="N154" s="1"/>
  <c r="N159" s="1"/>
  <c r="N155" s="1"/>
  <c r="S57" i="11"/>
  <c r="M10"/>
  <c r="S10"/>
  <c r="G30" i="12"/>
  <c r="S29" i="11"/>
  <c r="G252" i="2"/>
  <c r="B7" i="11" s="1"/>
  <c r="N124" i="10"/>
  <c r="N147"/>
  <c r="N153" s="1"/>
  <c r="N158" s="1"/>
  <c r="N154" s="1"/>
  <c r="O56"/>
  <c r="S126" i="4"/>
  <c r="T126" s="1"/>
  <c r="I148" i="12"/>
  <c r="I149" s="1"/>
  <c r="Q148"/>
  <c r="Q149" s="1"/>
  <c r="I30"/>
  <c r="G124"/>
  <c r="T149" i="8"/>
  <c r="T150" s="1"/>
  <c r="Q19" i="11"/>
  <c r="P149" i="8"/>
  <c r="P150" s="1"/>
  <c r="J147" i="10"/>
  <c r="J148" s="1"/>
  <c r="P42" i="11"/>
  <c r="U149" i="8"/>
  <c r="U150" s="1"/>
  <c r="L148" i="4"/>
  <c r="L154" s="1"/>
  <c r="L159" s="1"/>
  <c r="L155" s="1"/>
  <c r="K148"/>
  <c r="K149" s="1"/>
  <c r="H16" i="1"/>
  <c r="I16" s="1"/>
  <c r="W125" i="8"/>
  <c r="X125" s="1"/>
  <c r="S29" i="12"/>
  <c r="T29" s="1"/>
  <c r="G148" i="4"/>
  <c r="G149" s="1"/>
  <c r="S149" s="1"/>
  <c r="T149" s="1"/>
  <c r="P10" i="11"/>
  <c r="G147" i="10"/>
  <c r="G148" s="1"/>
  <c r="T42" i="11"/>
  <c r="S42"/>
  <c r="M125" i="4"/>
  <c r="H55" i="12"/>
  <c r="H60" s="1"/>
  <c r="H65" s="1"/>
  <c r="H61" s="1"/>
  <c r="W126" i="8"/>
  <c r="X126" s="1"/>
  <c r="Q149"/>
  <c r="Q150" s="1"/>
  <c r="P147" i="10"/>
  <c r="P153" s="1"/>
  <c r="P158" s="1"/>
  <c r="P154" s="1"/>
  <c r="G55" i="12"/>
  <c r="G148" i="9"/>
  <c r="S148" s="1"/>
  <c r="T148" s="1"/>
  <c r="Q148" i="4"/>
  <c r="Q154" s="1"/>
  <c r="Q159" s="1"/>
  <c r="Q155" s="1"/>
  <c r="S124" i="9"/>
  <c r="T124" s="1"/>
  <c r="O56" i="8"/>
  <c r="O61" s="1"/>
  <c r="O66" s="1"/>
  <c r="O62" s="1"/>
  <c r="J125" i="4"/>
  <c r="S124"/>
  <c r="T124" s="1"/>
  <c r="J148"/>
  <c r="J154" s="1"/>
  <c r="J159" s="1"/>
  <c r="J155" s="1"/>
  <c r="CO192" i="6"/>
  <c r="K56" i="8"/>
  <c r="W11"/>
  <c r="X11" s="1"/>
  <c r="G10"/>
  <c r="L31" i="11"/>
  <c r="Q60" i="10"/>
  <c r="Q65" s="1"/>
  <c r="Q61" s="1"/>
  <c r="O148" i="4"/>
  <c r="H147" i="10"/>
  <c r="H153" s="1"/>
  <c r="H158" s="1"/>
  <c r="H154" s="1"/>
  <c r="S29"/>
  <c r="T29" s="1"/>
  <c r="Q30"/>
  <c r="P31" i="11"/>
  <c r="M11"/>
  <c r="R148" i="12"/>
  <c r="R149" s="1"/>
  <c r="S10"/>
  <c r="T10" s="1"/>
  <c r="L148"/>
  <c r="L154" s="1"/>
  <c r="L159" s="1"/>
  <c r="L155" s="1"/>
  <c r="L42" i="11"/>
  <c r="L57"/>
  <c r="Q11"/>
  <c r="O124" i="10"/>
  <c r="R147"/>
  <c r="R153" s="1"/>
  <c r="R158" s="1"/>
  <c r="R154" s="1"/>
  <c r="S123"/>
  <c r="T123" s="1"/>
  <c r="I147"/>
  <c r="I153" s="1"/>
  <c r="I158" s="1"/>
  <c r="I154" s="1"/>
  <c r="P29" i="11"/>
  <c r="N149" i="9"/>
  <c r="O148" i="12"/>
  <c r="O154" s="1"/>
  <c r="O159" s="1"/>
  <c r="S104" i="10"/>
  <c r="T104" s="1"/>
  <c r="P148" i="12"/>
  <c r="Q147" i="10"/>
  <c r="M124"/>
  <c r="M147"/>
  <c r="I60" i="9"/>
  <c r="I65" s="1"/>
  <c r="I61" s="1"/>
  <c r="I55"/>
  <c r="K124" i="10"/>
  <c r="K147"/>
  <c r="D12" i="1"/>
  <c r="E12" s="1"/>
  <c r="I60" i="12"/>
  <c r="I65" s="1"/>
  <c r="I61" s="1"/>
  <c r="I56"/>
  <c r="I19" i="11"/>
  <c r="J19"/>
  <c r="I42"/>
  <c r="J42"/>
  <c r="H124" i="12"/>
  <c r="S123"/>
  <c r="T123" s="1"/>
  <c r="H148"/>
  <c r="I11" i="11"/>
  <c r="J11"/>
  <c r="J31"/>
  <c r="I31"/>
  <c r="S104" i="12"/>
  <c r="T104" s="1"/>
  <c r="J148"/>
  <c r="M148"/>
  <c r="M124"/>
  <c r="S57" i="8" l="1"/>
  <c r="S31" i="9"/>
  <c r="T31" s="1"/>
  <c r="O55" i="11"/>
  <c r="H55"/>
  <c r="CU194" i="6"/>
  <c r="I57" i="11"/>
  <c r="K150" i="8"/>
  <c r="G155"/>
  <c r="W155" s="1"/>
  <c r="X155" s="1"/>
  <c r="Q57" i="11"/>
  <c r="R149" i="13"/>
  <c r="N60" i="12"/>
  <c r="N65" s="1"/>
  <c r="N61" s="1"/>
  <c r="N60" i="10"/>
  <c r="N65" s="1"/>
  <c r="N61" s="1"/>
  <c r="N154" i="13"/>
  <c r="N159" s="1"/>
  <c r="N155" s="1"/>
  <c r="N149"/>
  <c r="H154"/>
  <c r="H149"/>
  <c r="S148"/>
  <c r="T148" s="1"/>
  <c r="L154"/>
  <c r="L159" s="1"/>
  <c r="L155" s="1"/>
  <c r="L149"/>
  <c r="J149"/>
  <c r="J154"/>
  <c r="J159" s="1"/>
  <c r="J155" s="1"/>
  <c r="O154"/>
  <c r="O159" s="1"/>
  <c r="O155" s="1"/>
  <c r="O149"/>
  <c r="S124"/>
  <c r="T124" s="1"/>
  <c r="H30" i="11"/>
  <c r="P154" i="13"/>
  <c r="P159" s="1"/>
  <c r="P155" s="1"/>
  <c r="P149"/>
  <c r="G150" i="8"/>
  <c r="W150" s="1"/>
  <c r="X150" s="1"/>
  <c r="P149" i="9"/>
  <c r="I56" i="10"/>
  <c r="G154" i="12"/>
  <c r="G159" s="1"/>
  <c r="G155" s="1"/>
  <c r="O154" i="9"/>
  <c r="O159" s="1"/>
  <c r="O155" s="1"/>
  <c r="Q60"/>
  <c r="Q65" s="1"/>
  <c r="Q61" s="1"/>
  <c r="M150" i="8"/>
  <c r="M60" i="9"/>
  <c r="M65" s="1"/>
  <c r="M61" s="1"/>
  <c r="O153" i="10"/>
  <c r="O158" s="1"/>
  <c r="O154" s="1"/>
  <c r="M56" i="12"/>
  <c r="M60" i="10"/>
  <c r="M65" s="1"/>
  <c r="M61" s="1"/>
  <c r="O56" i="12"/>
  <c r="H55" i="9"/>
  <c r="N55"/>
  <c r="K60" i="12"/>
  <c r="K65" s="1"/>
  <c r="K61" s="1"/>
  <c r="J60" i="9"/>
  <c r="J65" s="1"/>
  <c r="J61" s="1"/>
  <c r="R154" i="4"/>
  <c r="R159" s="1"/>
  <c r="R155" s="1"/>
  <c r="CT194" i="6"/>
  <c r="M57" i="8"/>
  <c r="Q57"/>
  <c r="I61"/>
  <c r="I66" s="1"/>
  <c r="I62" s="1"/>
  <c r="L56" i="10"/>
  <c r="Q149" i="9"/>
  <c r="K149" i="12"/>
  <c r="P60"/>
  <c r="P65" s="1"/>
  <c r="P61" s="1"/>
  <c r="L57" i="8"/>
  <c r="S55" i="10"/>
  <c r="T55" s="1"/>
  <c r="K60"/>
  <c r="K65" s="1"/>
  <c r="K61" s="1"/>
  <c r="G60" i="9"/>
  <c r="S54"/>
  <c r="T54" s="1"/>
  <c r="G55"/>
  <c r="S55" s="1"/>
  <c r="T55" s="1"/>
  <c r="T10" i="11"/>
  <c r="L60" i="12"/>
  <c r="L65" s="1"/>
  <c r="L61" s="1"/>
  <c r="J149" i="9"/>
  <c r="N154" i="12"/>
  <c r="N159" s="1"/>
  <c r="N155" s="1"/>
  <c r="R154" i="9"/>
  <c r="R159" s="1"/>
  <c r="R155" s="1"/>
  <c r="P60"/>
  <c r="P65" s="1"/>
  <c r="P61" s="1"/>
  <c r="J60" i="12"/>
  <c r="J65" s="1"/>
  <c r="J61" s="1"/>
  <c r="R55" i="9"/>
  <c r="Q56" i="12"/>
  <c r="CN194" i="6"/>
  <c r="L61" i="8"/>
  <c r="L66" s="1"/>
  <c r="L62" s="1"/>
  <c r="I154" i="9"/>
  <c r="I159" s="1"/>
  <c r="I155" s="1"/>
  <c r="H150" i="8"/>
  <c r="L149" i="9"/>
  <c r="U61" i="8"/>
  <c r="U66" s="1"/>
  <c r="U62" s="1"/>
  <c r="CW194" i="6"/>
  <c r="K60" i="9"/>
  <c r="K65" s="1"/>
  <c r="K61" s="1"/>
  <c r="R56" i="12"/>
  <c r="R60"/>
  <c r="R65" s="1"/>
  <c r="R61" s="1"/>
  <c r="S155" i="8"/>
  <c r="S160" s="1"/>
  <c r="S156" s="1"/>
  <c r="H154" i="9"/>
  <c r="H159" s="1"/>
  <c r="H155" s="1"/>
  <c r="L153" i="10"/>
  <c r="L158" s="1"/>
  <c r="L154" s="1"/>
  <c r="M61" i="8"/>
  <c r="M66" s="1"/>
  <c r="M62" s="1"/>
  <c r="O60" i="9"/>
  <c r="O65" s="1"/>
  <c r="O61" s="1"/>
  <c r="M149"/>
  <c r="W31" i="8"/>
  <c r="X31" s="1"/>
  <c r="L155"/>
  <c r="L160" s="1"/>
  <c r="L156" s="1"/>
  <c r="S60" i="4"/>
  <c r="T60" s="1"/>
  <c r="S56"/>
  <c r="T56" s="1"/>
  <c r="K154" i="9"/>
  <c r="K159" s="1"/>
  <c r="K155" s="1"/>
  <c r="I155" i="8"/>
  <c r="I160" s="1"/>
  <c r="I156" s="1"/>
  <c r="O155"/>
  <c r="O160" s="1"/>
  <c r="O156" s="1"/>
  <c r="P149" i="4"/>
  <c r="S148"/>
  <c r="T148" s="1"/>
  <c r="H154"/>
  <c r="H159" s="1"/>
  <c r="H155" s="1"/>
  <c r="N149"/>
  <c r="I149"/>
  <c r="I154"/>
  <c r="I159" s="1"/>
  <c r="I155" s="1"/>
  <c r="I154" i="12"/>
  <c r="I159" s="1"/>
  <c r="I155" s="1"/>
  <c r="N148" i="10"/>
  <c r="L149" i="4"/>
  <c r="M149"/>
  <c r="Q154" i="12"/>
  <c r="Q159" s="1"/>
  <c r="Q155" s="1"/>
  <c r="S30"/>
  <c r="T30" s="1"/>
  <c r="G60"/>
  <c r="S55" i="11"/>
  <c r="M55"/>
  <c r="L30"/>
  <c r="J153" i="10"/>
  <c r="J158" s="1"/>
  <c r="J154" s="1"/>
  <c r="U155" i="8"/>
  <c r="U160" s="1"/>
  <c r="U156" s="1"/>
  <c r="J149" i="4"/>
  <c r="T155" i="8"/>
  <c r="T160" s="1"/>
  <c r="T156" s="1"/>
  <c r="P148" i="10"/>
  <c r="P155" i="8"/>
  <c r="P160" s="1"/>
  <c r="P156" s="1"/>
  <c r="Q155"/>
  <c r="Q160" s="1"/>
  <c r="Q156" s="1"/>
  <c r="Q10" i="11"/>
  <c r="K154" i="4"/>
  <c r="K159" s="1"/>
  <c r="K155" s="1"/>
  <c r="H56" i="12"/>
  <c r="G154" i="4"/>
  <c r="S154" s="1"/>
  <c r="T154" s="1"/>
  <c r="Q149"/>
  <c r="L149" i="12"/>
  <c r="G153" i="10"/>
  <c r="G158" s="1"/>
  <c r="M29" i="11"/>
  <c r="T29"/>
  <c r="G149" i="9"/>
  <c r="S149" s="1"/>
  <c r="T149" s="1"/>
  <c r="G154"/>
  <c r="G159" s="1"/>
  <c r="L29" i="11"/>
  <c r="S125" i="4"/>
  <c r="T125" s="1"/>
  <c r="R154" i="12"/>
  <c r="R159" s="1"/>
  <c r="R155" s="1"/>
  <c r="G56"/>
  <c r="H148" i="10"/>
  <c r="S55" i="12"/>
  <c r="T55" s="1"/>
  <c r="S30" i="10"/>
  <c r="T30" s="1"/>
  <c r="S147"/>
  <c r="T147" s="1"/>
  <c r="I148"/>
  <c r="CR194" i="6"/>
  <c r="O57" i="8"/>
  <c r="R148" i="10"/>
  <c r="K61" i="8"/>
  <c r="K66" s="1"/>
  <c r="K62" s="1"/>
  <c r="CO194" i="6"/>
  <c r="K57" i="8"/>
  <c r="G56"/>
  <c r="W10"/>
  <c r="X10" s="1"/>
  <c r="CL192" i="6"/>
  <c r="O149" i="4"/>
  <c r="O154"/>
  <c r="O159" s="1"/>
  <c r="O155" s="1"/>
  <c r="S124" i="10"/>
  <c r="T124" s="1"/>
  <c r="Q30" i="11"/>
  <c r="L10"/>
  <c r="H12" i="1"/>
  <c r="I12" s="1"/>
  <c r="Q29" i="11"/>
  <c r="O149" i="12"/>
  <c r="P154"/>
  <c r="P149"/>
  <c r="M153" i="10"/>
  <c r="M158" s="1"/>
  <c r="M154" s="1"/>
  <c r="M148"/>
  <c r="Q153"/>
  <c r="Q158" s="1"/>
  <c r="Q154" s="1"/>
  <c r="Q148"/>
  <c r="K148"/>
  <c r="K153"/>
  <c r="K158" s="1"/>
  <c r="K154" s="1"/>
  <c r="O65" i="12"/>
  <c r="D20" i="1"/>
  <c r="E20" s="1"/>
  <c r="G61" i="10"/>
  <c r="S124" i="12"/>
  <c r="T124" s="1"/>
  <c r="H149"/>
  <c r="H154"/>
  <c r="S148"/>
  <c r="T148" s="1"/>
  <c r="J10" i="11"/>
  <c r="I10"/>
  <c r="O155" i="12"/>
  <c r="M154"/>
  <c r="M159" s="1"/>
  <c r="M155" s="1"/>
  <c r="M149"/>
  <c r="J29" i="11"/>
  <c r="I29"/>
  <c r="J154" i="12"/>
  <c r="J159" s="1"/>
  <c r="J155" s="1"/>
  <c r="J149"/>
  <c r="Q55" i="11" l="1"/>
  <c r="P55"/>
  <c r="O56"/>
  <c r="P56" s="1"/>
  <c r="H56"/>
  <c r="G160" i="8"/>
  <c r="W160" s="1"/>
  <c r="X160" s="1"/>
  <c r="O61" i="11"/>
  <c r="Q61" s="1"/>
  <c r="H61"/>
  <c r="I55"/>
  <c r="S149" i="13"/>
  <c r="T149" s="1"/>
  <c r="H159"/>
  <c r="O66" i="11" s="1"/>
  <c r="S154" i="13"/>
  <c r="T154" s="1"/>
  <c r="S56" i="10"/>
  <c r="T56" s="1"/>
  <c r="S60"/>
  <c r="T60" s="1"/>
  <c r="S65"/>
  <c r="T65" s="1"/>
  <c r="G65" i="9"/>
  <c r="S60"/>
  <c r="T60" s="1"/>
  <c r="S60" i="12"/>
  <c r="T60" s="1"/>
  <c r="G159" i="4"/>
  <c r="G155" s="1"/>
  <c r="S155" s="1"/>
  <c r="T155" s="1"/>
  <c r="M30" i="11"/>
  <c r="T55"/>
  <c r="S56" i="12"/>
  <c r="T56" s="1"/>
  <c r="L56" i="11"/>
  <c r="G65" i="12"/>
  <c r="S61" i="11"/>
  <c r="L61"/>
  <c r="S154" i="9"/>
  <c r="T154" s="1"/>
  <c r="L55" i="11"/>
  <c r="H20" i="1"/>
  <c r="I20" s="1"/>
  <c r="T30" i="11"/>
  <c r="S30"/>
  <c r="G61" i="8"/>
  <c r="G57"/>
  <c r="W57" s="1"/>
  <c r="X57" s="1"/>
  <c r="W56"/>
  <c r="X56" s="1"/>
  <c r="CL194" i="6"/>
  <c r="S153" i="10"/>
  <c r="T153" s="1"/>
  <c r="P159" i="12"/>
  <c r="S148" i="10"/>
  <c r="T148" s="1"/>
  <c r="O61" i="12"/>
  <c r="G155" i="9"/>
  <c r="S155" s="1"/>
  <c r="T155" s="1"/>
  <c r="S159"/>
  <c r="T159" s="1"/>
  <c r="I30" i="11"/>
  <c r="J30"/>
  <c r="S158" i="10"/>
  <c r="T158" s="1"/>
  <c r="G154"/>
  <c r="S154" s="1"/>
  <c r="T154" s="1"/>
  <c r="H159" i="12"/>
  <c r="S154"/>
  <c r="T154" s="1"/>
  <c r="S61" i="10"/>
  <c r="T61" s="1"/>
  <c r="S149" i="12"/>
  <c r="T149" s="1"/>
  <c r="G156" i="8" l="1"/>
  <c r="W156" s="1"/>
  <c r="X156" s="1"/>
  <c r="S159" i="4"/>
  <c r="T159" s="1"/>
  <c r="J55" i="11"/>
  <c r="H155" i="13"/>
  <c r="O62" i="11" s="1"/>
  <c r="H66"/>
  <c r="I66" s="1"/>
  <c r="S159" i="13"/>
  <c r="T159" s="1"/>
  <c r="G61" i="9"/>
  <c r="S61" s="1"/>
  <c r="T61" s="1"/>
  <c r="S65"/>
  <c r="T65" s="1"/>
  <c r="M61" i="11"/>
  <c r="T61"/>
  <c r="L66"/>
  <c r="S66"/>
  <c r="G61" i="12"/>
  <c r="S61" s="1"/>
  <c r="T61" s="1"/>
  <c r="S65"/>
  <c r="T65" s="1"/>
  <c r="S56" i="11"/>
  <c r="T56"/>
  <c r="M56"/>
  <c r="G66" i="8"/>
  <c r="W61"/>
  <c r="X61" s="1"/>
  <c r="Q56" i="11"/>
  <c r="P155" i="12"/>
  <c r="Q66" i="11"/>
  <c r="P61"/>
  <c r="H155" i="12"/>
  <c r="S159"/>
  <c r="T159" s="1"/>
  <c r="I56" i="11"/>
  <c r="J56"/>
  <c r="J61"/>
  <c r="I61"/>
  <c r="P62" l="1"/>
  <c r="S155" i="13"/>
  <c r="T155" s="1"/>
  <c r="H62" i="11"/>
  <c r="T66"/>
  <c r="M66"/>
  <c r="M62"/>
  <c r="G62" i="8"/>
  <c r="W62" s="1"/>
  <c r="X62" s="1"/>
  <c r="W66"/>
  <c r="X66" s="1"/>
  <c r="Q62" i="11"/>
  <c r="P66"/>
  <c r="S155" i="12"/>
  <c r="T155" s="1"/>
  <c r="S62" i="11" l="1"/>
  <c r="T62"/>
  <c r="L62"/>
  <c r="J62"/>
  <c r="I62"/>
  <c r="B101" i="16" l="1"/>
  <c r="B7"/>
  <c r="S7"/>
  <c r="S101" s="1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54"/>
  <c r="E3"/>
  <c r="E2"/>
  <c r="S102"/>
  <c r="E4" l="1"/>
  <c r="B105"/>
  <c r="B11"/>
  <c r="B109"/>
  <c r="B15"/>
  <c r="B113"/>
  <c r="B19"/>
  <c r="B117"/>
  <c r="B23"/>
  <c r="B119"/>
  <c r="B25"/>
  <c r="B64"/>
  <c r="B158"/>
  <c r="B63"/>
  <c r="B157"/>
  <c r="B32"/>
  <c r="B126"/>
  <c r="B42"/>
  <c r="B136"/>
  <c r="B135"/>
  <c r="B41"/>
  <c r="B144"/>
  <c r="B50"/>
  <c r="B58"/>
  <c r="B151"/>
  <c r="B65"/>
  <c r="B159"/>
  <c r="G8"/>
  <c r="G102" s="1"/>
  <c r="K8"/>
  <c r="K102" s="1"/>
  <c r="O8"/>
  <c r="O102" s="1"/>
  <c r="B12"/>
  <c r="B106"/>
  <c r="B16"/>
  <c r="B110"/>
  <c r="B20"/>
  <c r="B114"/>
  <c r="B118"/>
  <c r="B24"/>
  <c r="B123"/>
  <c r="B29"/>
  <c r="B129"/>
  <c r="B35"/>
  <c r="B137"/>
  <c r="B43"/>
  <c r="B138"/>
  <c r="B44"/>
  <c r="B141"/>
  <c r="B47"/>
  <c r="B48"/>
  <c r="B142"/>
  <c r="B59"/>
  <c r="B152"/>
  <c r="B53"/>
  <c r="B153"/>
  <c r="B60"/>
  <c r="B154"/>
  <c r="B10"/>
  <c r="B104"/>
  <c r="B107"/>
  <c r="B13"/>
  <c r="B111"/>
  <c r="B17"/>
  <c r="B115"/>
  <c r="B21"/>
  <c r="B120"/>
  <c r="B26"/>
  <c r="B28"/>
  <c r="B122"/>
  <c r="B125"/>
  <c r="B31"/>
  <c r="B127"/>
  <c r="B33"/>
  <c r="B128"/>
  <c r="B34"/>
  <c r="B132"/>
  <c r="B38"/>
  <c r="B133"/>
  <c r="B39"/>
  <c r="B40"/>
  <c r="B134"/>
  <c r="B57"/>
  <c r="B150"/>
  <c r="B146"/>
  <c r="B52"/>
  <c r="B145"/>
  <c r="B51"/>
  <c r="B55"/>
  <c r="B148"/>
  <c r="B61"/>
  <c r="B155"/>
  <c r="T9"/>
  <c r="T103" s="1"/>
  <c r="B14"/>
  <c r="B108"/>
  <c r="B18"/>
  <c r="B112"/>
  <c r="B22"/>
  <c r="B116"/>
  <c r="B121"/>
  <c r="B27"/>
  <c r="B62"/>
  <c r="B156"/>
  <c r="B124"/>
  <c r="B30"/>
  <c r="B36"/>
  <c r="B130"/>
  <c r="B131"/>
  <c r="B37"/>
  <c r="B139"/>
  <c r="B45"/>
  <c r="B140"/>
  <c r="B46"/>
  <c r="B49"/>
  <c r="B143"/>
  <c r="B56"/>
  <c r="B149"/>
  <c r="S8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<sst xmlns="http://schemas.openxmlformats.org/spreadsheetml/2006/main" count="1535" uniqueCount="778">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</sst>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2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35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/>
        <c:marker val="1"/>
        <c:axId val="102737792"/>
        <c:axId val="102739328"/>
      </c:lineChart>
      <c:catAx>
        <c:axId val="10273779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02739328"/>
        <c:crosses val="autoZero"/>
        <c:auto val="1"/>
        <c:lblAlgn val="ctr"/>
        <c:lblOffset val="100"/>
        <c:tickLblSkip val="3"/>
      </c:catAx>
      <c:valAx>
        <c:axId val="102739328"/>
        <c:scaling>
          <c:orientation val="minMax"/>
          <c:min val="40000000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0273779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58"/>
        </c:manualLayout>
      </c:layout>
      <c:lineChart>
        <c:grouping val="standard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/>
        <c:marker val="1"/>
        <c:axId val="107254144"/>
        <c:axId val="107255680"/>
      </c:lineChart>
      <c:catAx>
        <c:axId val="107254144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07255680"/>
        <c:crosses val="autoZero"/>
        <c:auto val="1"/>
        <c:lblAlgn val="ctr"/>
        <c:lblOffset val="100"/>
        <c:tickLblSkip val="3"/>
      </c:catAx>
      <c:valAx>
        <c:axId val="107255680"/>
        <c:scaling>
          <c:orientation val="minMax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07254144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6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6'!_2015plan"/><Relationship Id="rId5" Type="http://schemas.openxmlformats.org/officeDocument/2006/relationships/hyperlink" Target="#'2014'!A1"/><Relationship Id="rId10" Type="http://schemas.openxmlformats.org/officeDocument/2006/relationships/hyperlink" Target="#'2016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A1"/><Relationship Id="rId5" Type="http://schemas.openxmlformats.org/officeDocument/2006/relationships/hyperlink" Target="#Breakdown!A1"/><Relationship Id="rId10" Type="http://schemas.openxmlformats.org/officeDocument/2006/relationships/hyperlink" Target="#'2014'!A1"/><Relationship Id="rId4" Type="http://schemas.openxmlformats.org/officeDocument/2006/relationships/hyperlink" Target="#Breakdown!A1"/><Relationship Id="rId9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12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3'!A1"/><Relationship Id="rId5" Type="http://schemas.openxmlformats.org/officeDocument/2006/relationships/hyperlink" Target="#Breakdown!A1"/><Relationship Id="rId10" Type="http://schemas.openxmlformats.org/officeDocument/2006/relationships/hyperlink" Target="#DataEx!A1"/><Relationship Id="rId4" Type="http://schemas.openxmlformats.org/officeDocument/2006/relationships/hyperlink" Target="#Breakdown!A1"/><Relationship Id="rId9" Type="http://schemas.openxmlformats.org/officeDocument/2006/relationships/hyperlink" Target="#'2014'!_2014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DataEx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april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484,2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9,3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2,0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61,</a:t>
          </a:r>
          <a:r>
            <a:rPr lang="sr-Latn-C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aprilu prihodi budžeta iznosili su 156,8 mil.€ i u odnosu na plan viši su za 17,1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12,2% i u odnosu na isti mjesec 2017. godine za 31,8 mil.€ ili 25,5%.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544,5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12,4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BPD-a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35,2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6,9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plan izdaci su niži za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41,8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,1%.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aprilu iznosili su 147,0 mil.€ ili 3,3% i u odnosu na april 2017. viši su za 5,8 mil.€ ili 4,1%, dok su u odnosu na plan niži 2,0 mil.€ ili 1,3%.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april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60,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mil.€ ili 1,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dok je u aprilu ostvaren suficit budžeta u iznosu od 9,7 mil.€ ili 0,2%.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ME"/>
            <a:t>Tatjana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35652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30639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170180</xdr:colOff>
      <xdr:row>1</xdr:row>
      <xdr:rowOff>57150</xdr:rowOff>
    </xdr:from>
    <xdr:to>
      <xdr:col>21</xdr:col>
      <xdr:colOff>509045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179705</xdr:colOff>
      <xdr:row>2</xdr:row>
      <xdr:rowOff>152400</xdr:rowOff>
    </xdr:from>
    <xdr:to>
      <xdr:col>21</xdr:col>
      <xdr:colOff>518570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189230</xdr:colOff>
      <xdr:row>4</xdr:row>
      <xdr:rowOff>66675</xdr:rowOff>
    </xdr:from>
    <xdr:to>
      <xdr:col>21</xdr:col>
      <xdr:colOff>510950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10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11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10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11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12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194523433.11999997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135181723.14999998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562336.28</v>
          </cell>
          <cell r="EJ24">
            <v>753295.71</v>
          </cell>
          <cell r="EK24">
            <v>635024.81000000006</v>
          </cell>
          <cell r="EL24">
            <v>751416.92</v>
          </cell>
          <cell r="EM24">
            <v>893728.47</v>
          </cell>
          <cell r="EN24">
            <v>860436.57</v>
          </cell>
          <cell r="EO24">
            <v>854527.97</v>
          </cell>
          <cell r="EP24">
            <v>755364.68</v>
          </cell>
          <cell r="EQ24">
            <v>790697.27</v>
          </cell>
          <cell r="ER24">
            <v>699678.47</v>
          </cell>
          <cell r="ES24">
            <v>721117.53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129924.87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29925.06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275120.73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10957.79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1458878.89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36337751.869999997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37251539.810000002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1439453.4</v>
          </cell>
          <cell r="EI76">
            <v>3317597.8</v>
          </cell>
          <cell r="EJ76">
            <v>7050406.4900000002</v>
          </cell>
          <cell r="EK76">
            <v>5446746.7800000003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4338671.4800000004</v>
          </cell>
          <cell r="EQ76">
            <v>4884082.33</v>
          </cell>
          <cell r="ER76">
            <v>4047161.45</v>
          </cell>
          <cell r="ES76">
            <v>17901369.530000001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1548888.06</v>
          </cell>
          <cell r="EL86">
            <v>2002570.68</v>
          </cell>
          <cell r="EM86">
            <v>1160043.8799999999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4024462.06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13588572.92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13530239.57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1491590.34</v>
          </cell>
          <cell r="EJ159">
            <v>7362820.4900000002</v>
          </cell>
          <cell r="EK159">
            <v>6918517.2599999998</v>
          </cell>
          <cell r="EL159">
            <v>2511744.17</v>
          </cell>
          <cell r="EM159">
            <v>22683622.390000001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82878761.950000003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821880.98</v>
          </cell>
          <cell r="EJ160">
            <v>1824216.99</v>
          </cell>
          <cell r="EK160">
            <v>2350979.62</v>
          </cell>
          <cell r="EL160">
            <v>1579796.93</v>
          </cell>
          <cell r="EM160">
            <v>5012270.07</v>
          </cell>
          <cell r="EN160">
            <v>1775062.82</v>
          </cell>
          <cell r="EO160">
            <v>2480710.67</v>
          </cell>
          <cell r="EP160">
            <v>1700685.94</v>
          </cell>
          <cell r="EQ160">
            <v>3540984.99</v>
          </cell>
          <cell r="ER160">
            <v>1800507.48</v>
          </cell>
          <cell r="ES160">
            <v>12838734.09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Total Revenues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Total Expenditures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Surplus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Montenegro</v>
          </cell>
        </row>
        <row r="7">
          <cell r="G7" t="str">
            <v>Ministry of Finance</v>
          </cell>
        </row>
        <row r="8">
          <cell r="G8" t="str">
            <v>Direcorate for Economic Policy and Developement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Total Revenues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Current Revenues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Taxes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Personal Income Tax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Corporate Income Tax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 xml:space="preserve">Taxes on Sales of Property 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Value Added Tax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Excises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Tax on International Trade and Transactions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Other Republic Taxes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Contributions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Contributions for Pension and Disability Insurance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Contributions for Health Insurance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Contributions for  Unemployment Insurance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Other contributions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Duties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Administrative Duties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Court Duties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Residential Duties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Registration Duties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Local Duties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Other duties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Fees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Fees for Use of Goods of Common Interest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Fees for Use of Natural Resources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Ecological Fees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Fees for Organizing Games of Chance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Fees for Usage of Construction Land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Fees for Regulation and Upkeep of Construction Land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>Fees for Construction and Upkeep of Local Roads and Other Local Facilities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Road fees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Other fees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Other revenues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Revenues from Capital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Fines and Seized Property Gains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Revenues from Government Body Activities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Self contributions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Other Revenues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Revenues from Selling Assets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Revenues from Selling Non-Financial Assets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Revenues from Selling Financial Assets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Receipts from Repayment of Loans and Funds Carried over from Previous Year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Receipts from Repayment of Loans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Funds Carried over from Previous Year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Grants and Transfers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Grants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Transfers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>Loans and borrowings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Loans and borrowings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Domestic Loans and Borrowings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Foreign Loans and Borrowings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Total Expenditures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Current Budgetary Expenditures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Current Expenditures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Gross Salaries and Contributions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 Salaries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Personal Income Tax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Contributions Charged to Employee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Contributions Charged to Employer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Surtax on PIT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Other Personal Income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Compensation for Meals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Compensation for Living Costs and Separate Living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Compensation for Transport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Annual awards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Compensation for Early Retirement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Parliament Members Compensation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Other Compensations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 xml:space="preserve">Other 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Expenditures for Supplies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Administrative Supplies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Health Protection Supplies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Special Supplies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Expenditures for Energy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Expenditures for Fuel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Other Expenditures for Supplies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Expenditures for Services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Business trips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Representation Costs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Communication Services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 Services and FX Conversion Loss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Transport Services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Legal Services (lawyers, notars and others)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Consultancy Services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Professional Training Services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Other Services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Current Maintenance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Current Maintenance of Public Infrastructure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Current Maintenance of Buildings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Current Maintenance of Equipment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Interests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Interests on Domestic Debt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Interests on Foreign Debt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Rent of Real Estate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Rent of Equipment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Rent of Property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Subsidies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Production and Services Subsidies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Export Subsidies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Import Subsidies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Other expenditures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 xml:space="preserve">Expenditures for Service Contracts 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Expenditures for Judicial Proceeding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Expenditures for Software Maintenance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Insurance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Contribution for Domestic and International Institutions Membership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Utility Charges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Penalties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Fees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Others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Social Security Transfers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Social Security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Children benefits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Veteran and disability benefits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Assistance for the Family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Maternity leave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Care and Assistance Benefits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Pre-school Meal Plans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Support to Nurse Homes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Other rights from social protection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Funds for redundant labor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Guaranteed Earnings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Redundant Labor Benefits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Additional Insurance Payment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Compensation to Unemployed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Other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Pension and Disability Insurance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Age pension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Disability pension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Family pension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Compensations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Addendums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Other rughts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Contribution to Health Protection of Pensioners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Other Health Care Transfers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Health Treatment Abroad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Other Health Care Insurance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Orthopedic Devices and Supplies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 xml:space="preserve">Compensation for Health Leave 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Compensation for Travel Costs of Insured Person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Transfers to Institutions, Individuals, NGO and Public Sector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Transfers to Institutions, Individuals, NGO and Public Sector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>Transfers for Health Protection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 for Education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Transfers for Culture and Sports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Transfers to NGOs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Transfers to Political Parties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Transfers for Non-refundable Social Help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Trasfers for Intern's Salary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Other Transfers to Individuals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Other Transfers to Institutions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>Other Transfers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Transfers to Fund for Pension and Disability Insurance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Transfers to Health Fund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Transfers to Employment Fund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Transfers to Municipalities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Transfers to State Budget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Transfers to State Owned Enterprises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Capital Expenditure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Current Capital Expenditure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Capital Expenditure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Capital Expenditure for Public Infrastructure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Capital Expenditure for Local Infrastructure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Capital Expenditure for Building Construction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Capital Expenditure for Land Construction/Improvement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Capital Expenditure for Equipment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Capital Expenditure for Investment Upkeep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Capital Expenditure for Stock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Capital Expenditure for Securities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Other Capital Expenditure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Credits and Borrowings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Credits and Borrowings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Credits and Borrowings to Non-Financial Institutions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Credits and Borrowings to Financial Institutions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Credits and Borrowings to Individuals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Credits and Borrowings to Municipalities and State Funds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Other Credits and Borrowings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Repayment of Debt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Repayment of Debt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Repayment of Domestic Debt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Repayment of Foreign Debt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Repayment of Guarantees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Repayment of Domestic Guarantees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Repayment of Foreign Guarantees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Repayments of Arrears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Reserves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Current Budget Reserve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Permanent Budget Reserve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Other Reserves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Surplus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Primary balance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 xml:space="preserve"> 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Financing needs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Financing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Increase / decrease of deposits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 increase of liabilities</v>
          </cell>
        </row>
        <row r="229">
          <cell r="G229" t="str">
            <v>January</v>
          </cell>
        </row>
        <row r="230">
          <cell r="G230" t="str">
            <v>February</v>
          </cell>
        </row>
        <row r="231">
          <cell r="G231" t="str">
            <v>March</v>
          </cell>
        </row>
        <row r="232">
          <cell r="G232" t="str">
            <v>April</v>
          </cell>
        </row>
        <row r="233">
          <cell r="G233" t="str">
            <v>May</v>
          </cell>
        </row>
        <row r="234">
          <cell r="G234" t="str">
            <v>June</v>
          </cell>
        </row>
        <row r="235">
          <cell r="G235" t="str">
            <v>July</v>
          </cell>
        </row>
        <row r="236">
          <cell r="G236" t="str">
            <v>August</v>
          </cell>
        </row>
        <row r="237">
          <cell r="G237" t="str">
            <v>September</v>
          </cell>
        </row>
        <row r="238">
          <cell r="G238" t="str">
            <v>October</v>
          </cell>
        </row>
        <row r="239">
          <cell r="G239" t="str">
            <v>November</v>
          </cell>
        </row>
        <row r="240">
          <cell r="G240" t="str">
            <v>December</v>
          </cell>
        </row>
        <row r="243">
          <cell r="G243" t="str">
            <v>Jan - 12</v>
          </cell>
        </row>
        <row r="244">
          <cell r="G244" t="str">
            <v>Jan - Dec</v>
          </cell>
        </row>
        <row r="246">
          <cell r="G246" t="str">
            <v>GDP</v>
          </cell>
        </row>
        <row r="247">
          <cell r="G247" t="str">
            <v>% GDP</v>
          </cell>
        </row>
        <row r="249">
          <cell r="G249" t="str">
            <v>Budget Execution</v>
          </cell>
        </row>
        <row r="250">
          <cell r="G250" t="str">
            <v>Planned Budget Execution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2018-04</v>
      </c>
      <c r="O6" s="169" t="str">
        <f>+CONCATENATE(N6,"p")</f>
        <v>2018-04p</v>
      </c>
      <c r="P6" s="153"/>
      <c r="Q6" s="153"/>
      <c r="R6" s="169" t="str">
        <f>+IF(Master!B3-10&gt;=0,CONCATENATE(Master!B4-1,"-",Master!B3),CONCATENATE(Master!B4-1,"-0",Master!B3))</f>
        <v>2017-04</v>
      </c>
      <c r="S6" s="153"/>
      <c r="T6" s="153"/>
    </row>
    <row r="7" spans="1:20">
      <c r="A7" s="170"/>
      <c r="B7" s="438" t="s">
        <v>708</v>
      </c>
      <c r="C7" s="439"/>
      <c r="D7" s="439"/>
      <c r="E7" s="439"/>
      <c r="F7" s="439"/>
      <c r="G7" s="447" t="s">
        <v>706</v>
      </c>
      <c r="H7" s="448"/>
      <c r="I7" s="448"/>
      <c r="J7" s="448"/>
      <c r="K7" s="448"/>
      <c r="L7" s="448"/>
      <c r="M7" s="449"/>
      <c r="N7" s="450" t="str">
        <f>+Master!G240</f>
        <v>Decembar</v>
      </c>
      <c r="O7" s="448"/>
      <c r="P7" s="448"/>
      <c r="Q7" s="448"/>
      <c r="R7" s="448"/>
      <c r="S7" s="448"/>
      <c r="T7" s="451"/>
    </row>
    <row r="8" spans="1:20">
      <c r="A8" s="170"/>
      <c r="B8" s="440"/>
      <c r="C8" s="441"/>
      <c r="D8" s="441"/>
      <c r="E8" s="441"/>
      <c r="F8" s="442"/>
      <c r="G8" s="171" t="str">
        <f>+Master!G21</f>
        <v>Ostvarenje</v>
      </c>
      <c r="H8" s="171" t="str">
        <f>+Master!G20</f>
        <v>Plan</v>
      </c>
      <c r="I8" s="434" t="str">
        <f>+Master!G258</f>
        <v>Odstupanje</v>
      </c>
      <c r="J8" s="434"/>
      <c r="K8" s="171" t="str">
        <f>+CONCATENATE(Master!G243," ",Master!B4-1)</f>
        <v>Jan - Apr 2017</v>
      </c>
      <c r="L8" s="434" t="str">
        <f>+I8</f>
        <v>Odstupanje</v>
      </c>
      <c r="M8" s="446"/>
      <c r="N8" s="172" t="str">
        <f>+G8</f>
        <v>Ostvarenje</v>
      </c>
      <c r="O8" s="171" t="str">
        <f>+H8</f>
        <v>Plan</v>
      </c>
      <c r="P8" s="434" t="str">
        <f>+I8</f>
        <v>Odstupanje</v>
      </c>
      <c r="Q8" s="434"/>
      <c r="R8" s="171" t="str">
        <f>+CONCATENATE(Master!G242," ",Master!B4-1)</f>
        <v>April 2017</v>
      </c>
      <c r="S8" s="434" t="str">
        <f>+P8</f>
        <v>Odstupanje</v>
      </c>
      <c r="T8" s="435"/>
    </row>
    <row r="9" spans="1:20" ht="15.7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68" t="e">
        <f>+VLOOKUP($A18,Master!$D$25:$G$223,4,FALSE)</f>
        <v>#N/A</v>
      </c>
      <c r="C18" s="469"/>
      <c r="D18" s="469"/>
      <c r="E18" s="469"/>
      <c r="F18" s="469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68" t="str">
        <f>+VLOOKUP($A19,Master!$D$25:$G$223,4,FALSE)</f>
        <v>Ostali državni porezi</v>
      </c>
      <c r="C19" s="469"/>
      <c r="D19" s="469"/>
      <c r="E19" s="469"/>
      <c r="F19" s="469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78" t="str">
        <f>+VLOOKUP($A20,Master!$D$25:$G$223,4,FALSE)</f>
        <v>Doprinosi</v>
      </c>
      <c r="C20" s="479"/>
      <c r="D20" s="479"/>
      <c r="E20" s="479"/>
      <c r="F20" s="479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68" t="str">
        <f>+VLOOKUP($A21,Master!$D$25:$G$223,4,FALSE)</f>
        <v>Doprinosi za penzijsko i invalidsko osiguranje</v>
      </c>
      <c r="C21" s="469"/>
      <c r="D21" s="469"/>
      <c r="E21" s="469"/>
      <c r="F21" s="469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68" t="str">
        <f>+VLOOKUP($A22,Master!$D$25:$G$223,4,FALSE)</f>
        <v>Doprinosi za zdravstveno osiguranje</v>
      </c>
      <c r="C22" s="469"/>
      <c r="D22" s="469"/>
      <c r="E22" s="469"/>
      <c r="F22" s="469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68" t="str">
        <f>+VLOOKUP($A23,Master!$D$25:$G$223,4,FALSE)</f>
        <v>Doprinosi za osiguranje od nezaposlenosti</v>
      </c>
      <c r="C23" s="469"/>
      <c r="D23" s="469"/>
      <c r="E23" s="469"/>
      <c r="F23" s="469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68" t="str">
        <f>+VLOOKUP($A24,Master!$D$25:$G$223,4,FALSE)</f>
        <v>Ostali doprinosi</v>
      </c>
      <c r="C24" s="469"/>
      <c r="D24" s="469"/>
      <c r="E24" s="469"/>
      <c r="F24" s="469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70" t="str">
        <f>+VLOOKUP($A25,Master!$D$25:$G$223,4,FALSE)</f>
        <v>Takse</v>
      </c>
      <c r="C25" s="471"/>
      <c r="D25" s="471"/>
      <c r="E25" s="471"/>
      <c r="F25" s="47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70" t="str">
        <f>+VLOOKUP($A26,Master!$D$25:$G$223,4,FALSE)</f>
        <v>Naknade</v>
      </c>
      <c r="C26" s="471"/>
      <c r="D26" s="471"/>
      <c r="E26" s="471"/>
      <c r="F26" s="47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70" t="str">
        <f>+VLOOKUP($A27,Master!$D$25:$G$223,4,FALSE)</f>
        <v>Ostali prihodi</v>
      </c>
      <c r="C27" s="471"/>
      <c r="D27" s="471"/>
      <c r="E27" s="471"/>
      <c r="F27" s="47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70" t="str">
        <f>+VLOOKUP($A28,Master!$D$25:$G$223,4,FALSE)</f>
        <v>Primici od otplate kredita i sredstva prenesena iz prethodne godine</v>
      </c>
      <c r="C28" s="471"/>
      <c r="D28" s="471"/>
      <c r="E28" s="471"/>
      <c r="F28" s="47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72" t="str">
        <f>+VLOOKUP($A29,Master!$D$25:$G$223,4,FALSE)</f>
        <v>Donacije i transferi</v>
      </c>
      <c r="C29" s="473"/>
      <c r="D29" s="473"/>
      <c r="E29" s="473"/>
      <c r="F29" s="473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58" t="str">
        <f>+VLOOKUP($A30,Master!$D$25:$G$223,4,FALSE)</f>
        <v>Budžetski izdaci</v>
      </c>
      <c r="C30" s="459"/>
      <c r="D30" s="459"/>
      <c r="E30" s="459"/>
      <c r="F30" s="45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74" t="str">
        <f>+VLOOKUP($A31,Master!$D$25:$G$223,4,FALSE)</f>
        <v>Tekući izdaci</v>
      </c>
      <c r="C31" s="475"/>
      <c r="D31" s="475"/>
      <c r="E31" s="475"/>
      <c r="F31" s="475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76" t="str">
        <f>+VLOOKUP($A32,Master!$D$25:$G$223,4,FALSE)</f>
        <v>Tekući budžetski izdaci</v>
      </c>
      <c r="C32" s="477"/>
      <c r="D32" s="477"/>
      <c r="E32" s="477"/>
      <c r="F32" s="477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68" t="str">
        <f>+VLOOKUP($A33,Master!$D$25:$G$223,4,FALSE)</f>
        <v>Bruto zarade i doprinosi na teret poslodavca</v>
      </c>
      <c r="C33" s="469"/>
      <c r="D33" s="469"/>
      <c r="E33" s="469"/>
      <c r="F33" s="469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68" t="str">
        <f>+VLOOKUP($A34,Master!$D$25:$G$223,4,FALSE)</f>
        <v>Ostala lična primanja</v>
      </c>
      <c r="C34" s="469"/>
      <c r="D34" s="469"/>
      <c r="E34" s="469"/>
      <c r="F34" s="469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68" t="str">
        <f>+VLOOKUP($A35,Master!$D$25:$G$223,4,FALSE)</f>
        <v>Rashodi za materijal</v>
      </c>
      <c r="C35" s="469"/>
      <c r="D35" s="469"/>
      <c r="E35" s="469"/>
      <c r="F35" s="469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68" t="str">
        <f>+VLOOKUP($A36,Master!$D$25:$G$223,4,FALSE)</f>
        <v>Rashodi za usluge</v>
      </c>
      <c r="C36" s="469"/>
      <c r="D36" s="469"/>
      <c r="E36" s="469"/>
      <c r="F36" s="469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68" t="str">
        <f>+VLOOKUP($A37,Master!$D$25:$G$223,4,FALSE)</f>
        <v>Rashodi za tekuće održavanje</v>
      </c>
      <c r="C37" s="469"/>
      <c r="D37" s="469"/>
      <c r="E37" s="469"/>
      <c r="F37" s="469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68" t="str">
        <f>+VLOOKUP($A38,Master!$D$25:$G$223,4,FALSE)</f>
        <v>Kamate</v>
      </c>
      <c r="C38" s="469"/>
      <c r="D38" s="469"/>
      <c r="E38" s="469"/>
      <c r="F38" s="469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68" t="str">
        <f>+VLOOKUP($A39,Master!$D$25:$G$223,4,FALSE)</f>
        <v>Renta</v>
      </c>
      <c r="C39" s="469"/>
      <c r="D39" s="469"/>
      <c r="E39" s="469"/>
      <c r="F39" s="469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68" t="str">
        <f>+VLOOKUP($A40,Master!$D$25:$G$223,4,FALSE)</f>
        <v>Subvencije</v>
      </c>
      <c r="C40" s="469"/>
      <c r="D40" s="469"/>
      <c r="E40" s="469"/>
      <c r="F40" s="469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68" t="str">
        <f>+VLOOKUP($A41,Master!$D$25:$G$223,4,FALSE)</f>
        <v>Ostali izdaci</v>
      </c>
      <c r="C41" s="469"/>
      <c r="D41" s="469"/>
      <c r="E41" s="469"/>
      <c r="F41" s="469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68" t="str">
        <f>+VLOOKUP($A42,Master!$D$25:$G$223,4,FALSE)</f>
        <v>Kapitalni izdaci u tekućem budžetu</v>
      </c>
      <c r="C42" s="469"/>
      <c r="D42" s="469"/>
      <c r="E42" s="469"/>
      <c r="F42" s="469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64" t="str">
        <f>+VLOOKUP($A43,Master!$D$25:$G$223,4,FALSE)</f>
        <v>Transferi za socijalnu zaštitu</v>
      </c>
      <c r="C43" s="465"/>
      <c r="D43" s="465"/>
      <c r="E43" s="465"/>
      <c r="F43" s="465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68" t="str">
        <f>+VLOOKUP($A44,Master!$D$25:$G$223,4,FALSE)</f>
        <v>Prava iz oblasti socijalne zaštite</v>
      </c>
      <c r="C44" s="469"/>
      <c r="D44" s="469"/>
      <c r="E44" s="469"/>
      <c r="F44" s="469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68" t="str">
        <f>+VLOOKUP($A45,Master!$D$25:$G$223,4,FALSE)</f>
        <v>Sredstva za tehnološke viškove</v>
      </c>
      <c r="C45" s="469"/>
      <c r="D45" s="469"/>
      <c r="E45" s="469"/>
      <c r="F45" s="469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68" t="str">
        <f>+VLOOKUP($A46,Master!$D$25:$G$223,4,FALSE)</f>
        <v>Prava iz oblasti penzijskog i invalidskog osiguranja</v>
      </c>
      <c r="C46" s="469"/>
      <c r="D46" s="469"/>
      <c r="E46" s="469"/>
      <c r="F46" s="469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68" t="str">
        <f>+VLOOKUP($A47,Master!$D$25:$G$223,4,FALSE)</f>
        <v>Ostala prava iz oblasti zdravstvene zaštite</v>
      </c>
      <c r="C47" s="469"/>
      <c r="D47" s="469"/>
      <c r="E47" s="469"/>
      <c r="F47" s="469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68" t="str">
        <f>+VLOOKUP($A48,Master!$D$25:$G$223,4,FALSE)</f>
        <v>Ostala prava iz zdravstvenog osiguranja</v>
      </c>
      <c r="C48" s="469"/>
      <c r="D48" s="469"/>
      <c r="E48" s="469"/>
      <c r="F48" s="469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66" t="str">
        <f>+VLOOKUP($A49,Master!$D$25:$G$223,4,FALSE)</f>
        <v xml:space="preserve">Transferi institucijama, pojedincima, nevladinom i javnom sektoru </v>
      </c>
      <c r="C49" s="467"/>
      <c r="D49" s="467"/>
      <c r="E49" s="467"/>
      <c r="F49" s="46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66" t="str">
        <f>+VLOOKUP($A50,Master!$D$25:$G$223,4,FALSE)</f>
        <v>Kapitalni budžet</v>
      </c>
      <c r="C50" s="467"/>
      <c r="D50" s="467"/>
      <c r="E50" s="467"/>
      <c r="F50" s="46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6" t="str">
        <f>+VLOOKUP($A51,Master!$D$25:$G$223,4,FALSE)</f>
        <v>Pozajmice i krediti</v>
      </c>
      <c r="C51" s="437"/>
      <c r="D51" s="437"/>
      <c r="E51" s="437"/>
      <c r="F51" s="437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6" t="str">
        <f>+VLOOKUP($A52,Master!$D$25:$G$223,4,FALSE)</f>
        <v>Rezerve</v>
      </c>
      <c r="C52" s="437"/>
      <c r="D52" s="437"/>
      <c r="E52" s="437"/>
      <c r="F52" s="437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54" t="str">
        <f>+VLOOKUP($A53,Master!$D$25:$G$223,4,FALSE)</f>
        <v>Otplata garancija</v>
      </c>
      <c r="C53" s="455"/>
      <c r="D53" s="455"/>
      <c r="E53" s="455"/>
      <c r="F53" s="455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54" t="str">
        <f>+VLOOKUP($A54,Master!$D$25:$G$223,4,FALSE)</f>
        <v>Otplata obaveza iz prethodnih godina</v>
      </c>
      <c r="C54" s="455"/>
      <c r="D54" s="455"/>
      <c r="E54" s="455"/>
      <c r="F54" s="455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54" t="str">
        <f>+VLOOKUP($A55,Master!$D$25:$G$225,4,FALSE)</f>
        <v>Neto povećanje obaveza</v>
      </c>
      <c r="C55" s="455"/>
      <c r="D55" s="455"/>
      <c r="E55" s="455"/>
      <c r="F55" s="455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60" t="str">
        <f>+VLOOKUP($A56,Master!$D$25:$G$223,4,FALSE)</f>
        <v>Suficit / deficit</v>
      </c>
      <c r="C56" s="461"/>
      <c r="D56" s="461"/>
      <c r="E56" s="461"/>
      <c r="F56" s="461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62" t="str">
        <f>+VLOOKUP($A57,Master!$D$25:$G$223,4,FALSE)</f>
        <v>Primarni bilans</v>
      </c>
      <c r="C57" s="463"/>
      <c r="D57" s="463"/>
      <c r="E57" s="463"/>
      <c r="F57" s="463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64" t="str">
        <f>+VLOOKUP($A58,Master!$D$25:$G$223,4,FALSE)</f>
        <v>Otplata dugova</v>
      </c>
      <c r="C58" s="465"/>
      <c r="D58" s="465"/>
      <c r="E58" s="465"/>
      <c r="F58" s="465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52" t="str">
        <f>+VLOOKUP($A59,Master!$D$25:$G$223,4,FALSE)</f>
        <v>Otplata hartija od vrijednosti i kredita rezidentima</v>
      </c>
      <c r="C59" s="453"/>
      <c r="D59" s="453"/>
      <c r="E59" s="453"/>
      <c r="F59" s="453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6" t="str">
        <f>+VLOOKUP($A60,Master!$D$25:$G$223,4,FALSE)</f>
        <v>Otplata hartija od vrijednosti i kredita nerezidentima</v>
      </c>
      <c r="C60" s="437"/>
      <c r="D60" s="437"/>
      <c r="E60" s="437"/>
      <c r="F60" s="437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56" t="str">
        <f>+VLOOKUP($A62,Master!$D$25:$G$223,4,FALSE)</f>
        <v>Nedostajuća sredstva</v>
      </c>
      <c r="C62" s="457"/>
      <c r="D62" s="457"/>
      <c r="E62" s="457"/>
      <c r="F62" s="45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52" t="str">
        <f>+VLOOKUP($A64,Master!$D$25:$G$223,4,FALSE)</f>
        <v>Pozajmice i krediti od domaćih izvora</v>
      </c>
      <c r="C64" s="453"/>
      <c r="D64" s="453"/>
      <c r="E64" s="453"/>
      <c r="F64" s="453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6" t="str">
        <f>+VLOOKUP($A65,Master!$D$25:$G$223,4,FALSE)</f>
        <v>Pozajmice i krediti od inostranih izvora</v>
      </c>
      <c r="C65" s="437"/>
      <c r="D65" s="437"/>
      <c r="E65" s="437"/>
      <c r="F65" s="437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6" t="str">
        <f>+VLOOKUP($A66,Master!$D$25:$G$223,4,FALSE)</f>
        <v>Primici od prodaje imovine</v>
      </c>
      <c r="C66" s="437"/>
      <c r="D66" s="437"/>
      <c r="E66" s="437"/>
      <c r="F66" s="437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22" t="str">
        <f>+Master!G249</f>
        <v>Ostvarenje budžeta</v>
      </c>
      <c r="C7" s="523"/>
      <c r="D7" s="523"/>
      <c r="E7" s="523"/>
      <c r="F7" s="523"/>
      <c r="G7" s="516">
        <v>2013</v>
      </c>
      <c r="H7" s="530"/>
      <c r="I7" s="530"/>
      <c r="J7" s="530"/>
      <c r="K7" s="530"/>
      <c r="L7" s="530"/>
      <c r="M7" s="530"/>
      <c r="N7" s="530"/>
      <c r="O7" s="530"/>
      <c r="P7" s="530"/>
      <c r="Q7" s="530"/>
      <c r="R7" s="517"/>
      <c r="S7" s="116" t="str">
        <f>+Master!G246</f>
        <v>BDP</v>
      </c>
      <c r="T7" s="117">
        <v>3393200615</v>
      </c>
    </row>
    <row r="8" spans="1:20" ht="16.5" customHeight="1">
      <c r="B8" s="524"/>
      <c r="C8" s="525"/>
      <c r="D8" s="525"/>
      <c r="E8" s="525"/>
      <c r="F8" s="52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16" t="str">
        <f>+Master!G243</f>
        <v>Jan - Apr</v>
      </c>
      <c r="T8" s="517"/>
    </row>
    <row r="9" spans="1:20" ht="13.5" thickBot="1">
      <c r="B9" s="527"/>
      <c r="C9" s="528"/>
      <c r="D9" s="528"/>
      <c r="E9" s="528"/>
      <c r="F9" s="529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18" t="str">
        <f>+VLOOKUP($A10,Master!$D$25:$G$223,4,FALSE)</f>
        <v>Prihodi budžeta</v>
      </c>
      <c r="C10" s="519"/>
      <c r="D10" s="519"/>
      <c r="E10" s="519"/>
      <c r="F10" s="519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20" t="str">
        <f>+VLOOKUP($A11,Master!$D$25:$G$223,4,FALSE)</f>
        <v>Porezi</v>
      </c>
      <c r="C11" s="521"/>
      <c r="D11" s="521"/>
      <c r="E11" s="521"/>
      <c r="F11" s="521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502" t="str">
        <f>+VLOOKUP($A12,Master!$D$25:$G$223,4,FALSE)</f>
        <v>Porez na dohodak fizičkih lica</v>
      </c>
      <c r="C12" s="503"/>
      <c r="D12" s="503"/>
      <c r="E12" s="503"/>
      <c r="F12" s="50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502" t="str">
        <f>+VLOOKUP($A13,Master!$D$25:$G$223,4,FALSE)</f>
        <v>Porez na dobit pravnih lica</v>
      </c>
      <c r="C13" s="503"/>
      <c r="D13" s="503"/>
      <c r="E13" s="503"/>
      <c r="F13" s="50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502" t="str">
        <f>+VLOOKUP($A14,Master!$D$25:$G$223,4,FALSE)</f>
        <v>Porez na promet nepokretnosti</v>
      </c>
      <c r="C14" s="503"/>
      <c r="D14" s="503"/>
      <c r="E14" s="503"/>
      <c r="F14" s="50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502" t="str">
        <f>+VLOOKUP($A15,Master!$D$25:$G$223,4,FALSE)</f>
        <v>Porez na dodatu vrijednost</v>
      </c>
      <c r="C15" s="503"/>
      <c r="D15" s="503"/>
      <c r="E15" s="503"/>
      <c r="F15" s="50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502" t="str">
        <f>+VLOOKUP($A16,Master!$D$25:$G$223,4,FALSE)</f>
        <v>Akcize</v>
      </c>
      <c r="C16" s="503"/>
      <c r="D16" s="503"/>
      <c r="E16" s="503"/>
      <c r="F16" s="50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502" t="str">
        <f>+VLOOKUP($A17,Master!$D$25:$G$223,4,FALSE)</f>
        <v>Porez na međunarodnu trgovinu i transakcije</v>
      </c>
      <c r="C17" s="503"/>
      <c r="D17" s="503"/>
      <c r="E17" s="503"/>
      <c r="F17" s="50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502" t="e">
        <f>+VLOOKUP($A18,Master!$D$25:$G$223,4,FALSE)</f>
        <v>#N/A</v>
      </c>
      <c r="C18" s="503"/>
      <c r="D18" s="503"/>
      <c r="E18" s="503"/>
      <c r="F18" s="50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502" t="str">
        <f>+VLOOKUP($A19,Master!$D$25:$G$223,4,FALSE)</f>
        <v>Ostali državni porezi</v>
      </c>
      <c r="C19" s="503"/>
      <c r="D19" s="503"/>
      <c r="E19" s="503"/>
      <c r="F19" s="50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14" t="str">
        <f>+VLOOKUP($A20,Master!$D$25:$G$223,4,FALSE)</f>
        <v>Doprinosi</v>
      </c>
      <c r="C20" s="515"/>
      <c r="D20" s="515"/>
      <c r="E20" s="515"/>
      <c r="F20" s="515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502" t="str">
        <f>+VLOOKUP($A21,Master!$D$25:$G$223,4,FALSE)</f>
        <v>Doprinosi za penzijsko i invalidsko osiguranje</v>
      </c>
      <c r="C21" s="503"/>
      <c r="D21" s="503"/>
      <c r="E21" s="503"/>
      <c r="F21" s="50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502" t="str">
        <f>+VLOOKUP($A22,Master!$D$25:$G$223,4,FALSE)</f>
        <v>Doprinosi za zdravstveno osiguranje</v>
      </c>
      <c r="C22" s="503"/>
      <c r="D22" s="503"/>
      <c r="E22" s="503"/>
      <c r="F22" s="50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502" t="str">
        <f>+VLOOKUP($A23,Master!$D$25:$G$223,4,FALSE)</f>
        <v>Doprinosi za osiguranje od nezaposlenosti</v>
      </c>
      <c r="C23" s="503"/>
      <c r="D23" s="503"/>
      <c r="E23" s="503"/>
      <c r="F23" s="50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502" t="str">
        <f>+VLOOKUP($A24,Master!$D$25:$G$223,4,FALSE)</f>
        <v>Ostali doprinosi</v>
      </c>
      <c r="C24" s="503"/>
      <c r="D24" s="503"/>
      <c r="E24" s="503"/>
      <c r="F24" s="50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06" t="str">
        <f>+VLOOKUP($A25,Master!$D$25:$G$223,4,FALSE)</f>
        <v>Takse</v>
      </c>
      <c r="C25" s="507"/>
      <c r="D25" s="507"/>
      <c r="E25" s="507"/>
      <c r="F25" s="50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06" t="str">
        <f>+VLOOKUP($A26,Master!$D$25:$G$223,4,FALSE)</f>
        <v>Naknade</v>
      </c>
      <c r="C26" s="507"/>
      <c r="D26" s="507"/>
      <c r="E26" s="507"/>
      <c r="F26" s="50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06" t="str">
        <f>+VLOOKUP($A27,Master!$D$25:$G$223,4,FALSE)</f>
        <v>Ostali prihodi</v>
      </c>
      <c r="C27" s="507"/>
      <c r="D27" s="507"/>
      <c r="E27" s="507"/>
      <c r="F27" s="50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06" t="str">
        <f>+VLOOKUP($A28,Master!$D$25:$G$223,4,FALSE)</f>
        <v>Primici od otplate kredita i sredstva prenesena iz prethodne godine</v>
      </c>
      <c r="C28" s="507"/>
      <c r="D28" s="507"/>
      <c r="E28" s="507"/>
      <c r="F28" s="50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8" t="str">
        <f>+VLOOKUP($A29,Master!$D$25:$G$223,4,FALSE)</f>
        <v>Donacije i transferi</v>
      </c>
      <c r="C29" s="509"/>
      <c r="D29" s="509"/>
      <c r="E29" s="509"/>
      <c r="F29" s="509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2" t="str">
        <f>+VLOOKUP($A30,Master!$D$25:$G$223,4,FALSE)</f>
        <v>Budžetski izdaci</v>
      </c>
      <c r="C30" s="493"/>
      <c r="D30" s="493"/>
      <c r="E30" s="493"/>
      <c r="F30" s="49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10" t="str">
        <f>+VLOOKUP($A31,Master!$D$25:$G$223,4,FALSE)</f>
        <v>Tekući izdaci</v>
      </c>
      <c r="C31" s="511"/>
      <c r="D31" s="511"/>
      <c r="E31" s="511"/>
      <c r="F31" s="511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12" t="str">
        <f>+VLOOKUP($A32,Master!$D$25:$G$223,4,FALSE)</f>
        <v>Tekući budžetski izdaci</v>
      </c>
      <c r="C32" s="513"/>
      <c r="D32" s="513"/>
      <c r="E32" s="513"/>
      <c r="F32" s="51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502" t="str">
        <f>+VLOOKUP($A33,Master!$D$25:$G$223,4,FALSE)</f>
        <v>Bruto zarade i doprinosi na teret poslodavca</v>
      </c>
      <c r="C33" s="503"/>
      <c r="D33" s="503"/>
      <c r="E33" s="503"/>
      <c r="F33" s="50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502" t="str">
        <f>+VLOOKUP($A34,Master!$D$25:$G$223,4,FALSE)</f>
        <v>Ostala lična primanja</v>
      </c>
      <c r="C34" s="503"/>
      <c r="D34" s="503"/>
      <c r="E34" s="503"/>
      <c r="F34" s="50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502" t="str">
        <f>+VLOOKUP($A35,Master!$D$25:$G$223,4,FALSE)</f>
        <v>Rashodi za materijal</v>
      </c>
      <c r="C35" s="503"/>
      <c r="D35" s="503"/>
      <c r="E35" s="503"/>
      <c r="F35" s="50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502" t="str">
        <f>+VLOOKUP($A36,Master!$D$25:$G$223,4,FALSE)</f>
        <v>Rashodi za usluge</v>
      </c>
      <c r="C36" s="503"/>
      <c r="D36" s="503"/>
      <c r="E36" s="503"/>
      <c r="F36" s="50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502" t="str">
        <f>+VLOOKUP($A37,Master!$D$25:$G$223,4,FALSE)</f>
        <v>Rashodi za tekuće održavanje</v>
      </c>
      <c r="C37" s="503"/>
      <c r="D37" s="503"/>
      <c r="E37" s="503"/>
      <c r="F37" s="50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502" t="str">
        <f>+VLOOKUP($A38,Master!$D$25:$G$223,4,FALSE)</f>
        <v>Kamate</v>
      </c>
      <c r="C38" s="503"/>
      <c r="D38" s="503"/>
      <c r="E38" s="503"/>
      <c r="F38" s="50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502" t="str">
        <f>+VLOOKUP($A39,Master!$D$25:$G$223,4,FALSE)</f>
        <v>Renta</v>
      </c>
      <c r="C39" s="503"/>
      <c r="D39" s="503"/>
      <c r="E39" s="503"/>
      <c r="F39" s="50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502" t="str">
        <f>+VLOOKUP($A40,Master!$D$25:$G$223,4,FALSE)</f>
        <v>Subvencije</v>
      </c>
      <c r="C40" s="503"/>
      <c r="D40" s="503"/>
      <c r="E40" s="503"/>
      <c r="F40" s="50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502" t="str">
        <f>+VLOOKUP($A41,Master!$D$25:$G$223,4,FALSE)</f>
        <v>Ostali izdaci</v>
      </c>
      <c r="C41" s="503"/>
      <c r="D41" s="503"/>
      <c r="E41" s="503"/>
      <c r="F41" s="50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502" t="str">
        <f>+VLOOKUP($A42,Master!$D$25:$G$223,4,FALSE)</f>
        <v>Kapitalni izdaci u tekućem budžetu</v>
      </c>
      <c r="C42" s="503"/>
      <c r="D42" s="503"/>
      <c r="E42" s="503"/>
      <c r="F42" s="50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0" t="str">
        <f>+VLOOKUP($A43,Master!$D$25:$G$223,4,FALSE)</f>
        <v>Transferi za socijalnu zaštitu</v>
      </c>
      <c r="C43" s="501"/>
      <c r="D43" s="501"/>
      <c r="E43" s="501"/>
      <c r="F43" s="50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502" t="str">
        <f>+VLOOKUP($A44,Master!$D$25:$G$223,4,FALSE)</f>
        <v>Prava iz oblasti socijalne zaštite</v>
      </c>
      <c r="C44" s="503"/>
      <c r="D44" s="503"/>
      <c r="E44" s="503"/>
      <c r="F44" s="50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502" t="str">
        <f>+VLOOKUP($A45,Master!$D$25:$G$223,4,FALSE)</f>
        <v>Sredstva za tehnološke viškove</v>
      </c>
      <c r="C45" s="503"/>
      <c r="D45" s="503"/>
      <c r="E45" s="503"/>
      <c r="F45" s="50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502" t="str">
        <f>+VLOOKUP($A46,Master!$D$25:$G$223,4,FALSE)</f>
        <v>Prava iz oblasti penzijskog i invalidskog osiguranja</v>
      </c>
      <c r="C46" s="503"/>
      <c r="D46" s="503"/>
      <c r="E46" s="503"/>
      <c r="F46" s="50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502" t="str">
        <f>+VLOOKUP($A47,Master!$D$25:$G$223,4,FALSE)</f>
        <v>Ostala prava iz oblasti zdravstvene zaštite</v>
      </c>
      <c r="C47" s="503"/>
      <c r="D47" s="503"/>
      <c r="E47" s="503"/>
      <c r="F47" s="50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502" t="str">
        <f>+VLOOKUP($A48,Master!$D$25:$G$223,4,FALSE)</f>
        <v>Ostala prava iz zdravstvenog osiguranja</v>
      </c>
      <c r="C48" s="503"/>
      <c r="D48" s="503"/>
      <c r="E48" s="503"/>
      <c r="F48" s="50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4" t="str">
        <f>+VLOOKUP($A49,Master!$D$25:$G$223,4,FALSE)</f>
        <v xml:space="preserve">Transferi institucijama, pojedincima, nevladinom i javnom sektoru </v>
      </c>
      <c r="C49" s="505"/>
      <c r="D49" s="505"/>
      <c r="E49" s="505"/>
      <c r="F49" s="50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4" t="str">
        <f>+VLOOKUP($A50,Master!$D$25:$G$223,4,FALSE)</f>
        <v>Kapitalni budžet</v>
      </c>
      <c r="C50" s="505"/>
      <c r="D50" s="505"/>
      <c r="E50" s="505"/>
      <c r="F50" s="50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86" t="str">
        <f>+VLOOKUP($A51,Master!$D$25:$G$223,4,FALSE)</f>
        <v>Pozajmice i krediti</v>
      </c>
      <c r="C51" s="487"/>
      <c r="D51" s="487"/>
      <c r="E51" s="487"/>
      <c r="F51" s="48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86" t="str">
        <f>+VLOOKUP($A52,Master!$D$25:$G$223,4,FALSE)</f>
        <v>Rezerve</v>
      </c>
      <c r="C52" s="487"/>
      <c r="D52" s="487"/>
      <c r="E52" s="487"/>
      <c r="F52" s="48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8" t="str">
        <f>+VLOOKUP($A53,Master!$D$25:$G$223,4,FALSE)</f>
        <v>Otplata garancija</v>
      </c>
      <c r="C53" s="489"/>
      <c r="D53" s="489"/>
      <c r="E53" s="489"/>
      <c r="F53" s="48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96" t="str">
        <f>+VLOOKUP($A54,Master!$D$25:$G$223,4,FALSE)</f>
        <v>Suficit / deficit</v>
      </c>
      <c r="C54" s="497"/>
      <c r="D54" s="497"/>
      <c r="E54" s="497"/>
      <c r="F54" s="497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8" t="str">
        <f>+VLOOKUP($A55,Master!$D$25:$G$223,4,FALSE)</f>
        <v>Primarni bilans</v>
      </c>
      <c r="C55" s="499"/>
      <c r="D55" s="499"/>
      <c r="E55" s="499"/>
      <c r="F55" s="499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0" t="str">
        <f>+VLOOKUP($A56,Master!$D$25:$G$223,4,FALSE)</f>
        <v>Otplata dugova</v>
      </c>
      <c r="C56" s="501"/>
      <c r="D56" s="501"/>
      <c r="E56" s="501"/>
      <c r="F56" s="501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94" t="str">
        <f>+VLOOKUP($A57,Master!$D$25:$G$223,4,FALSE)</f>
        <v>Otplata hartija od vrijednosti i kredita rezidentima</v>
      </c>
      <c r="C57" s="495"/>
      <c r="D57" s="495"/>
      <c r="E57" s="495"/>
      <c r="F57" s="495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86" t="str">
        <f>+VLOOKUP($A58,Master!$D$25:$G$223,4,FALSE)</f>
        <v>Otplata hartija od vrijednosti i kredita nerezidentima</v>
      </c>
      <c r="C58" s="487"/>
      <c r="D58" s="487"/>
      <c r="E58" s="487"/>
      <c r="F58" s="48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8" t="str">
        <f>+VLOOKUP($A59,Master!$D$25:$G$223,4,FALSE)</f>
        <v>Otplata obaveza iz prethodnih godina</v>
      </c>
      <c r="C59" s="489"/>
      <c r="D59" s="489"/>
      <c r="E59" s="489"/>
      <c r="F59" s="48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90" t="str">
        <f>+VLOOKUP($A60,Master!$D$25:$G$223,4,FALSE)</f>
        <v>Nedostajuća sredstva</v>
      </c>
      <c r="C60" s="491"/>
      <c r="D60" s="491"/>
      <c r="E60" s="491"/>
      <c r="F60" s="491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2" t="str">
        <f>+VLOOKUP($A61,Master!$D$25:$G$223,4,FALSE)</f>
        <v>Finansiranje</v>
      </c>
      <c r="C61" s="493"/>
      <c r="D61" s="493"/>
      <c r="E61" s="493"/>
      <c r="F61" s="49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94" t="str">
        <f>+VLOOKUP($A62,Master!$D$25:$G$223,4,FALSE)</f>
        <v>Pozajmice i krediti od domaćih izvora</v>
      </c>
      <c r="C62" s="495"/>
      <c r="D62" s="495"/>
      <c r="E62" s="495"/>
      <c r="F62" s="495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86" t="str">
        <f>+VLOOKUP($A63,Master!$D$25:$G$223,4,FALSE)</f>
        <v>Pozajmice i krediti od inostranih izvora</v>
      </c>
      <c r="C63" s="487"/>
      <c r="D63" s="487"/>
      <c r="E63" s="487"/>
      <c r="F63" s="48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86" t="str">
        <f>+VLOOKUP($A64,Master!$D$25:$G$223,4,FALSE)</f>
        <v>Primici od prodaje imovine</v>
      </c>
      <c r="C64" s="487"/>
      <c r="D64" s="487"/>
      <c r="E64" s="487"/>
      <c r="F64" s="48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31" t="str">
        <f>+Master!G250</f>
        <v>Plan ostvarenja budžeta</v>
      </c>
      <c r="C101" s="439"/>
      <c r="D101" s="439"/>
      <c r="E101" s="439"/>
      <c r="F101" s="439"/>
      <c r="G101" s="447">
        <v>2014</v>
      </c>
      <c r="H101" s="448"/>
      <c r="I101" s="448"/>
      <c r="J101" s="448"/>
      <c r="K101" s="448"/>
      <c r="L101" s="448"/>
      <c r="M101" s="448"/>
      <c r="N101" s="448"/>
      <c r="O101" s="448"/>
      <c r="P101" s="448"/>
      <c r="Q101" s="448"/>
      <c r="R101" s="451"/>
      <c r="S101" s="261" t="str">
        <f>+S7</f>
        <v>BDP</v>
      </c>
      <c r="T101" s="262">
        <v>3393200615</v>
      </c>
    </row>
    <row r="102" spans="1:20" ht="15.75" customHeight="1">
      <c r="A102" s="170"/>
      <c r="B102" s="440"/>
      <c r="C102" s="441"/>
      <c r="D102" s="441"/>
      <c r="E102" s="441"/>
      <c r="F102" s="442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47" t="str">
        <f>+Master!G244</f>
        <v>Jan - Dec</v>
      </c>
      <c r="T102" s="451">
        <f t="shared" si="16"/>
        <v>0</v>
      </c>
    </row>
    <row r="103" spans="1:20" ht="13.5" thickBot="1">
      <c r="A103" s="170"/>
      <c r="B103" s="443"/>
      <c r="C103" s="444"/>
      <c r="D103" s="444"/>
      <c r="E103" s="444"/>
      <c r="F103" s="445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80" t="str">
        <f>+VLOOKUP(LEFT($A104,LEN(A104)-1)*1,Master!$D$25:$G$223,4,FALSE)</f>
        <v>Prihodi budžeta</v>
      </c>
      <c r="C104" s="481"/>
      <c r="D104" s="481"/>
      <c r="E104" s="481"/>
      <c r="F104" s="481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82" t="str">
        <f>+VLOOKUP(LEFT($A105,LEN(A105)-1)*1,Master!$D$25:$G$223,4,FALSE)</f>
        <v>Porezi</v>
      </c>
      <c r="C105" s="483"/>
      <c r="D105" s="483"/>
      <c r="E105" s="483"/>
      <c r="F105" s="483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68" t="str">
        <f>+VLOOKUP(LEFT($A106,LEN(A106)-1)*1,Master!$D$25:$G$223,4,FALSE)</f>
        <v>Porez na dohodak fizičkih lica</v>
      </c>
      <c r="C106" s="469"/>
      <c r="D106" s="469"/>
      <c r="E106" s="469"/>
      <c r="F106" s="469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68" t="str">
        <f>+VLOOKUP(LEFT($A107,LEN(A107)-1)*1,Master!$D$25:$G$223,4,FALSE)</f>
        <v>Porez na dobit pravnih lica</v>
      </c>
      <c r="C107" s="469"/>
      <c r="D107" s="469"/>
      <c r="E107" s="469"/>
      <c r="F107" s="469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68" t="str">
        <f>+VLOOKUP(LEFT($A108,LEN(A108)-1)*1,Master!$D$25:$G$223,4,FALSE)</f>
        <v>Porez na promet nepokretnosti</v>
      </c>
      <c r="C108" s="469"/>
      <c r="D108" s="469"/>
      <c r="E108" s="469"/>
      <c r="F108" s="469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68" t="str">
        <f>+VLOOKUP(LEFT($A109,LEN(A109)-1)*1,Master!$D$25:$G$223,4,FALSE)</f>
        <v>Porez na dodatu vrijednost</v>
      </c>
      <c r="C109" s="469"/>
      <c r="D109" s="469"/>
      <c r="E109" s="469"/>
      <c r="F109" s="469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68" t="str">
        <f>+VLOOKUP(LEFT($A110,LEN(A110)-1)*1,Master!$D$25:$G$223,4,FALSE)</f>
        <v>Akcize</v>
      </c>
      <c r="C110" s="469"/>
      <c r="D110" s="469"/>
      <c r="E110" s="469"/>
      <c r="F110" s="469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68" t="str">
        <f>+VLOOKUP(LEFT($A111,LEN(A111)-1)*1,Master!$D$25:$G$223,4,FALSE)</f>
        <v>Porez na međunarodnu trgovinu i transakcije</v>
      </c>
      <c r="C111" s="469"/>
      <c r="D111" s="469"/>
      <c r="E111" s="469"/>
      <c r="F111" s="469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68" t="e">
        <f>+VLOOKUP(LEFT($A112,LEN(A112)-1)*1,Master!$D$25:$G$223,4,FALSE)</f>
        <v>#N/A</v>
      </c>
      <c r="C112" s="469"/>
      <c r="D112" s="469"/>
      <c r="E112" s="469"/>
      <c r="F112" s="469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68" t="str">
        <f>+VLOOKUP(LEFT($A113,LEN(A113)-1)*1,Master!$D$25:$G$223,4,FALSE)</f>
        <v>Ostali državni porezi</v>
      </c>
      <c r="C113" s="469"/>
      <c r="D113" s="469"/>
      <c r="E113" s="469"/>
      <c r="F113" s="469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78" t="str">
        <f>+VLOOKUP(LEFT($A114,LEN(A114)-1)*1,Master!$D$25:$G$223,4,FALSE)</f>
        <v>Doprinosi</v>
      </c>
      <c r="C114" s="479"/>
      <c r="D114" s="479"/>
      <c r="E114" s="479"/>
      <c r="F114" s="479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68" t="str">
        <f>+VLOOKUP(LEFT($A115,LEN(A115)-1)*1,Master!$D$25:$G$223,4,FALSE)</f>
        <v>Doprinosi za penzijsko i invalidsko osiguranje</v>
      </c>
      <c r="C115" s="469"/>
      <c r="D115" s="469"/>
      <c r="E115" s="469"/>
      <c r="F115" s="469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68" t="str">
        <f>+VLOOKUP(LEFT($A116,LEN(A116)-1)*1,Master!$D$25:$G$223,4,FALSE)</f>
        <v>Doprinosi za zdravstveno osiguranje</v>
      </c>
      <c r="C116" s="469"/>
      <c r="D116" s="469"/>
      <c r="E116" s="469"/>
      <c r="F116" s="469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68" t="str">
        <f>+VLOOKUP(LEFT($A117,LEN(A117)-1)*1,Master!$D$25:$G$223,4,FALSE)</f>
        <v>Doprinosi za osiguranje od nezaposlenosti</v>
      </c>
      <c r="C117" s="469"/>
      <c r="D117" s="469"/>
      <c r="E117" s="469"/>
      <c r="F117" s="469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68" t="str">
        <f>+VLOOKUP(LEFT($A118,LEN(A118)-1)*1,Master!$D$25:$G$223,4,FALSE)</f>
        <v>Ostali doprinosi</v>
      </c>
      <c r="C118" s="469"/>
      <c r="D118" s="469"/>
      <c r="E118" s="469"/>
      <c r="F118" s="469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70" t="str">
        <f>+VLOOKUP(LEFT($A119,LEN(A119)-1)*1,Master!$D$25:$G$223,4,FALSE)</f>
        <v>Takse</v>
      </c>
      <c r="C119" s="471"/>
      <c r="D119" s="471"/>
      <c r="E119" s="471"/>
      <c r="F119" s="471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70" t="str">
        <f>+VLOOKUP(LEFT($A120,LEN(A120)-1)*1,Master!$D$25:$G$223,4,FALSE)</f>
        <v>Naknade</v>
      </c>
      <c r="C120" s="471"/>
      <c r="D120" s="471"/>
      <c r="E120" s="471"/>
      <c r="F120" s="471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70" t="str">
        <f>+VLOOKUP(LEFT($A121,LEN(A121)-1)*1,Master!$D$25:$G$223,4,FALSE)</f>
        <v>Ostali prihodi</v>
      </c>
      <c r="C121" s="471"/>
      <c r="D121" s="471"/>
      <c r="E121" s="471"/>
      <c r="F121" s="471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70" t="str">
        <f>+VLOOKUP(LEFT($A122,LEN(A122)-1)*1,Master!$D$25:$G$223,4,FALSE)</f>
        <v>Primici od otplate kredita i sredstva prenesena iz prethodne godine</v>
      </c>
      <c r="C122" s="471"/>
      <c r="D122" s="471"/>
      <c r="E122" s="471"/>
      <c r="F122" s="471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72" t="str">
        <f>+VLOOKUP(LEFT($A123,LEN(A123)-1)*1,Master!$D$25:$G$223,4,FALSE)</f>
        <v>Donacije i transferi</v>
      </c>
      <c r="C123" s="473"/>
      <c r="D123" s="473"/>
      <c r="E123" s="473"/>
      <c r="F123" s="473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58" t="str">
        <f>+VLOOKUP(LEFT($A124,LEN(A124)-1)*1,Master!$D$25:$G$223,4,FALSE)</f>
        <v>Budžetski izdaci</v>
      </c>
      <c r="C124" s="459"/>
      <c r="D124" s="459"/>
      <c r="E124" s="459"/>
      <c r="F124" s="45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74" t="str">
        <f>+VLOOKUP(LEFT($A125,LEN(A125)-1)*1,Master!$D$25:$G$223,4,FALSE)</f>
        <v>Tekući izdaci</v>
      </c>
      <c r="C125" s="475"/>
      <c r="D125" s="475"/>
      <c r="E125" s="475"/>
      <c r="F125" s="475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76" t="str">
        <f>+VLOOKUP(LEFT($A126,LEN(A126)-1)*1,Master!$D$25:$G$223,4,FALSE)</f>
        <v>Tekući budžetski izdaci</v>
      </c>
      <c r="C126" s="477"/>
      <c r="D126" s="477"/>
      <c r="E126" s="477"/>
      <c r="F126" s="477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68" t="str">
        <f>+VLOOKUP(LEFT($A127,LEN(A127)-1)*1,Master!$D$25:$G$223,4,FALSE)</f>
        <v>Bruto zarade i doprinosi na teret poslodavca</v>
      </c>
      <c r="C127" s="469"/>
      <c r="D127" s="469"/>
      <c r="E127" s="469"/>
      <c r="F127" s="469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68" t="str">
        <f>+VLOOKUP(LEFT($A128,LEN(A128)-1)*1,Master!$D$25:$G$223,4,FALSE)</f>
        <v>Ostala lična primanja</v>
      </c>
      <c r="C128" s="469"/>
      <c r="D128" s="469"/>
      <c r="E128" s="469"/>
      <c r="F128" s="469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68" t="str">
        <f>+VLOOKUP(LEFT($A129,LEN(A129)-1)*1,Master!$D$25:$G$223,4,FALSE)</f>
        <v>Rashodi za materijal</v>
      </c>
      <c r="C129" s="469"/>
      <c r="D129" s="469"/>
      <c r="E129" s="469"/>
      <c r="F129" s="469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68" t="str">
        <f>+VLOOKUP(LEFT($A130,LEN(A130)-1)*1,Master!$D$25:$G$223,4,FALSE)</f>
        <v>Rashodi za usluge</v>
      </c>
      <c r="C130" s="469"/>
      <c r="D130" s="469"/>
      <c r="E130" s="469"/>
      <c r="F130" s="469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68" t="str">
        <f>+VLOOKUP(LEFT($A131,LEN(A131)-1)*1,Master!$D$25:$G$223,4,FALSE)</f>
        <v>Rashodi za tekuće održavanje</v>
      </c>
      <c r="C131" s="469"/>
      <c r="D131" s="469"/>
      <c r="E131" s="469"/>
      <c r="F131" s="469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68" t="str">
        <f>+VLOOKUP(LEFT($A132,LEN(A132)-1)*1,Master!$D$25:$G$223,4,FALSE)</f>
        <v>Kamate</v>
      </c>
      <c r="C132" s="469"/>
      <c r="D132" s="469"/>
      <c r="E132" s="469"/>
      <c r="F132" s="469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68" t="str">
        <f>+VLOOKUP(LEFT($A133,LEN(A133)-1)*1,Master!$D$25:$G$223,4,FALSE)</f>
        <v>Renta</v>
      </c>
      <c r="C133" s="469"/>
      <c r="D133" s="469"/>
      <c r="E133" s="469"/>
      <c r="F133" s="469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68" t="str">
        <f>+VLOOKUP(LEFT($A134,LEN(A134)-1)*1,Master!$D$25:$G$223,4,FALSE)</f>
        <v>Subvencije</v>
      </c>
      <c r="C134" s="469"/>
      <c r="D134" s="469"/>
      <c r="E134" s="469"/>
      <c r="F134" s="469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68" t="str">
        <f>+VLOOKUP(LEFT($A135,LEN(A135)-1)*1,Master!$D$25:$G$223,4,FALSE)</f>
        <v>Ostali izdaci</v>
      </c>
      <c r="C135" s="469"/>
      <c r="D135" s="469"/>
      <c r="E135" s="469"/>
      <c r="F135" s="469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68" t="str">
        <f>+VLOOKUP(LEFT($A136,LEN(A136)-1)*1,Master!$D$25:$G$223,4,FALSE)</f>
        <v>Kapitalni izdaci u tekućem budžetu</v>
      </c>
      <c r="C136" s="469"/>
      <c r="D136" s="469"/>
      <c r="E136" s="469"/>
      <c r="F136" s="469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64" t="str">
        <f>+VLOOKUP(LEFT($A137,LEN(A137)-1)*1,Master!$D$25:$G$223,4,FALSE)</f>
        <v>Transferi za socijalnu zaštitu</v>
      </c>
      <c r="C137" s="465"/>
      <c r="D137" s="465"/>
      <c r="E137" s="465"/>
      <c r="F137" s="465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68" t="str">
        <f>+VLOOKUP(LEFT($A138,LEN(A138)-1)*1,Master!$D$25:$G$223,4,FALSE)</f>
        <v>Prava iz oblasti socijalne zaštite</v>
      </c>
      <c r="C138" s="469"/>
      <c r="D138" s="469"/>
      <c r="E138" s="469"/>
      <c r="F138" s="469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68" t="str">
        <f>+VLOOKUP(LEFT($A139,LEN(A139)-1)*1,Master!$D$25:$G$223,4,FALSE)</f>
        <v>Sredstva za tehnološke viškove</v>
      </c>
      <c r="C139" s="469"/>
      <c r="D139" s="469"/>
      <c r="E139" s="469"/>
      <c r="F139" s="469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68" t="str">
        <f>+VLOOKUP(LEFT($A140,LEN(A140)-1)*1,Master!$D$25:$G$223,4,FALSE)</f>
        <v>Prava iz oblasti penzijskog i invalidskog osiguranja</v>
      </c>
      <c r="C140" s="469"/>
      <c r="D140" s="469"/>
      <c r="E140" s="469"/>
      <c r="F140" s="469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68" t="str">
        <f>+VLOOKUP(LEFT($A141,LEN(A141)-1)*1,Master!$D$25:$G$223,4,FALSE)</f>
        <v>Ostala prava iz oblasti zdravstvene zaštite</v>
      </c>
      <c r="C141" s="469"/>
      <c r="D141" s="469"/>
      <c r="E141" s="469"/>
      <c r="F141" s="469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68" t="str">
        <f>+VLOOKUP(LEFT($A142,LEN(A142)-1)*1,Master!$D$25:$G$223,4,FALSE)</f>
        <v>Ostala prava iz zdravstvenog osiguranja</v>
      </c>
      <c r="C142" s="469"/>
      <c r="D142" s="469"/>
      <c r="E142" s="469"/>
      <c r="F142" s="469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66" t="str">
        <f>+VLOOKUP(LEFT($A143,LEN(A143)-1)*1,Master!$D$25:$G$223,4,FALSE)</f>
        <v xml:space="preserve">Transferi institucijama, pojedincima, nevladinom i javnom sektoru </v>
      </c>
      <c r="C143" s="467"/>
      <c r="D143" s="467"/>
      <c r="E143" s="467"/>
      <c r="F143" s="46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66" t="str">
        <f>+VLOOKUP(LEFT($A144,LEN(A144)-1)*1,Master!$D$25:$G$223,4,FALSE)</f>
        <v>Kapitalni budžet</v>
      </c>
      <c r="C144" s="467"/>
      <c r="D144" s="467"/>
      <c r="E144" s="467"/>
      <c r="F144" s="46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6" t="str">
        <f>+VLOOKUP(LEFT($A145,LEN(A145)-1)*1,Master!$D$25:$G$223,4,FALSE)</f>
        <v>Pozajmice i krediti</v>
      </c>
      <c r="C145" s="437"/>
      <c r="D145" s="437"/>
      <c r="E145" s="437"/>
      <c r="F145" s="437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6" t="str">
        <f>+VLOOKUP(LEFT($A146,LEN(A146)-1)*1,Master!$D$25:$G$223,4,FALSE)</f>
        <v>Rezerve</v>
      </c>
      <c r="C146" s="437"/>
      <c r="D146" s="437"/>
      <c r="E146" s="437"/>
      <c r="F146" s="437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54" t="str">
        <f>+VLOOKUP(LEFT($A147,LEN(A147)-1)*1,Master!$D$25:$G$223,4,FALSE)</f>
        <v>Otplata garancija</v>
      </c>
      <c r="C147" s="455"/>
      <c r="D147" s="455"/>
      <c r="E147" s="455"/>
      <c r="F147" s="455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60" t="str">
        <f>+VLOOKUP(LEFT($A148,LEN(A148)-1)*1,Master!$D$25:$G$223,4,FALSE)</f>
        <v>Suficit / deficit</v>
      </c>
      <c r="C148" s="461"/>
      <c r="D148" s="461"/>
      <c r="E148" s="461"/>
      <c r="F148" s="461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62" t="str">
        <f>+VLOOKUP(LEFT($A149,LEN(A149)-1)*1,Master!$D$25:$G$223,4,FALSE)</f>
        <v>Primarni bilans</v>
      </c>
      <c r="C149" s="463"/>
      <c r="D149" s="463"/>
      <c r="E149" s="463"/>
      <c r="F149" s="463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64" t="str">
        <f>+VLOOKUP(LEFT($A150,LEN(A150)-1)*1,Master!$D$25:$G$223,4,FALSE)</f>
        <v>Otplata dugova</v>
      </c>
      <c r="C150" s="465"/>
      <c r="D150" s="465"/>
      <c r="E150" s="465"/>
      <c r="F150" s="465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52" t="str">
        <f>+VLOOKUP(LEFT($A151,LEN(A151)-1)*1,Master!$D$25:$G$223,4,FALSE)</f>
        <v>Otplata hartija od vrijednosti i kredita rezidentima</v>
      </c>
      <c r="C151" s="453"/>
      <c r="D151" s="453"/>
      <c r="E151" s="453"/>
      <c r="F151" s="453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6" t="str">
        <f>+VLOOKUP(LEFT($A152,LEN(A152)-1)*1,Master!$D$25:$G$223,4,FALSE)</f>
        <v>Otplata hartija od vrijednosti i kredita nerezidentima</v>
      </c>
      <c r="C152" s="437"/>
      <c r="D152" s="437"/>
      <c r="E152" s="437"/>
      <c r="F152" s="437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54" t="str">
        <f>+VLOOKUP(LEFT($A153,LEN(A153)-1)*1,Master!$D$25:$G$223,4,FALSE)</f>
        <v>Otplata obaveza iz prethodnih godina</v>
      </c>
      <c r="C153" s="455"/>
      <c r="D153" s="455"/>
      <c r="E153" s="455"/>
      <c r="F153" s="455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56" t="str">
        <f>+VLOOKUP(LEFT($A154,LEN(A154)-1)*1,Master!$D$25:$G$223,4,FALSE)</f>
        <v>Nedostajuća sredstva</v>
      </c>
      <c r="C154" s="457"/>
      <c r="D154" s="457"/>
      <c r="E154" s="457"/>
      <c r="F154" s="457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58" t="str">
        <f>+VLOOKUP(LEFT($A155,LEN(A155)-1)*1,Master!$D$25:$G$223,4,FALSE)</f>
        <v>Finansiranje</v>
      </c>
      <c r="C155" s="459"/>
      <c r="D155" s="459"/>
      <c r="E155" s="459"/>
      <c r="F155" s="459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52" t="str">
        <f>+VLOOKUP(LEFT($A156,LEN(A156)-1)*1,Master!$D$25:$G$223,4,FALSE)</f>
        <v>Pozajmice i krediti od domaćih izvora</v>
      </c>
      <c r="C156" s="453"/>
      <c r="D156" s="453"/>
      <c r="E156" s="453"/>
      <c r="F156" s="453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6" t="str">
        <f>+VLOOKUP(LEFT($A157,LEN(A157)-1)*1,Master!$D$25:$G$223,4,FALSE)</f>
        <v>Pozajmice i krediti od inostranih izvora</v>
      </c>
      <c r="C157" s="437"/>
      <c r="D157" s="437"/>
      <c r="E157" s="437"/>
      <c r="F157" s="437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6" t="str">
        <f>+VLOOKUP(LEFT($A158,LEN(A158)-1)*1,Master!$D$25:$G$223,4,FALSE)</f>
        <v>Primici od prodaje imovine</v>
      </c>
      <c r="C158" s="437"/>
      <c r="D158" s="437"/>
      <c r="E158" s="437"/>
      <c r="F158" s="437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2:LI407"/>
  <sheetViews>
    <sheetView zoomScaleNormal="100" workbookViewId="0">
      <pane xSplit="5" ySplit="7" topLeftCell="F83" activePane="bottomRight" state="frozen"/>
      <selection pane="topRight" activeCell="F1" sqref="F1"/>
      <selection pane="bottomLeft" activeCell="A8" sqref="A8"/>
      <selection pane="bottomRight" activeCell="EH93" sqref="EH93:ES9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8" width="13.7109375" style="41" customWidth="1"/>
    <col min="149" max="149" width="13.5703125" style="41" customWidth="1"/>
    <col min="150" max="150" width="14" style="4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7" t="s">
        <v>570</v>
      </c>
      <c r="F6" s="534">
        <v>2006</v>
      </c>
      <c r="G6" s="535"/>
      <c r="H6" s="535"/>
      <c r="I6" s="535"/>
      <c r="J6" s="535"/>
      <c r="K6" s="535"/>
      <c r="L6" s="535"/>
      <c r="M6" s="535"/>
      <c r="N6" s="535"/>
      <c r="O6" s="535"/>
      <c r="P6" s="535"/>
      <c r="Q6" s="536"/>
      <c r="R6" s="534">
        <v>2007</v>
      </c>
      <c r="S6" s="535"/>
      <c r="T6" s="535"/>
      <c r="U6" s="535"/>
      <c r="V6" s="535"/>
      <c r="W6" s="535"/>
      <c r="X6" s="535"/>
      <c r="Y6" s="535"/>
      <c r="Z6" s="535"/>
      <c r="AA6" s="535"/>
      <c r="AB6" s="535"/>
      <c r="AC6" s="536"/>
      <c r="AD6" s="534">
        <v>2008</v>
      </c>
      <c r="AE6" s="535"/>
      <c r="AF6" s="535"/>
      <c r="AG6" s="535"/>
      <c r="AH6" s="535"/>
      <c r="AI6" s="535"/>
      <c r="AJ6" s="535"/>
      <c r="AK6" s="535"/>
      <c r="AL6" s="535"/>
      <c r="AM6" s="535"/>
      <c r="AN6" s="535"/>
      <c r="AO6" s="536"/>
      <c r="AP6" s="534">
        <v>2009</v>
      </c>
      <c r="AQ6" s="535"/>
      <c r="AR6" s="535"/>
      <c r="AS6" s="535"/>
      <c r="AT6" s="535"/>
      <c r="AU6" s="535"/>
      <c r="AV6" s="535"/>
      <c r="AW6" s="535"/>
      <c r="AX6" s="535"/>
      <c r="AY6" s="535"/>
      <c r="AZ6" s="535"/>
      <c r="BA6" s="536"/>
      <c r="BB6" s="534">
        <v>2010</v>
      </c>
      <c r="BC6" s="535"/>
      <c r="BD6" s="535"/>
      <c r="BE6" s="535"/>
      <c r="BF6" s="535"/>
      <c r="BG6" s="535"/>
      <c r="BH6" s="535"/>
      <c r="BI6" s="535"/>
      <c r="BJ6" s="535"/>
      <c r="BK6" s="535"/>
      <c r="BL6" s="535"/>
      <c r="BM6" s="536"/>
      <c r="BN6" s="534">
        <v>2011</v>
      </c>
      <c r="BO6" s="535"/>
      <c r="BP6" s="535"/>
      <c r="BQ6" s="535"/>
      <c r="BR6" s="535"/>
      <c r="BS6" s="535"/>
      <c r="BT6" s="535"/>
      <c r="BU6" s="535"/>
      <c r="BV6" s="535"/>
      <c r="BW6" s="535"/>
      <c r="BX6" s="535"/>
      <c r="BY6" s="536"/>
      <c r="BZ6" s="535">
        <v>2012</v>
      </c>
      <c r="CA6" s="535"/>
      <c r="CB6" s="535"/>
      <c r="CC6" s="535"/>
      <c r="CD6" s="535"/>
      <c r="CE6" s="535"/>
      <c r="CF6" s="535"/>
      <c r="CG6" s="535"/>
      <c r="CH6" s="535"/>
      <c r="CI6" s="535"/>
      <c r="CJ6" s="535"/>
      <c r="CK6" s="535"/>
      <c r="CL6" s="534">
        <v>2013</v>
      </c>
      <c r="CM6" s="535"/>
      <c r="CN6" s="535"/>
      <c r="CO6" s="535"/>
      <c r="CP6" s="535"/>
      <c r="CQ6" s="535"/>
      <c r="CR6" s="535"/>
      <c r="CS6" s="535"/>
      <c r="CT6" s="535"/>
      <c r="CU6" s="535"/>
      <c r="CV6" s="535"/>
      <c r="CW6" s="536"/>
      <c r="CX6" s="534">
        <v>2014</v>
      </c>
      <c r="CY6" s="535"/>
      <c r="CZ6" s="535"/>
      <c r="DA6" s="535"/>
      <c r="DB6" s="535"/>
      <c r="DC6" s="535"/>
      <c r="DD6" s="535"/>
      <c r="DE6" s="535"/>
      <c r="DF6" s="535"/>
      <c r="DG6" s="535"/>
      <c r="DH6" s="535"/>
      <c r="DI6" s="536"/>
      <c r="DJ6" s="534">
        <v>2015</v>
      </c>
      <c r="DK6" s="535"/>
      <c r="DL6" s="535"/>
      <c r="DM6" s="535"/>
      <c r="DN6" s="535"/>
      <c r="DO6" s="535"/>
      <c r="DP6" s="535"/>
      <c r="DQ6" s="535"/>
      <c r="DR6" s="535"/>
      <c r="DS6" s="535"/>
      <c r="DT6" s="535"/>
      <c r="DU6" s="536"/>
    </row>
    <row r="7" spans="1:321">
      <c r="E7" s="537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>
        <v>147833434.00999999</v>
      </c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>
        <v>97799793.079999998</v>
      </c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>
        <v>9899613.5099999998</v>
      </c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>
        <v>18095823.48</v>
      </c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>
        <v>117398.62</v>
      </c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>
        <v>50343037.649999999</v>
      </c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>
        <v>16425170.310000001</v>
      </c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>
        <v>2192466.4500000002</v>
      </c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>
        <v>726283.06</v>
      </c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>
        <v>41029948</v>
      </c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>
        <v>24891690.100000001</v>
      </c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12702016.77</v>
      </c>
      <c r="EV20" s="424">
        <v>14741947.74</v>
      </c>
      <c r="EW20" s="377">
        <v>14077229.140000001</v>
      </c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>
        <v>1036934.31</v>
      </c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>
        <v>1024094.45</v>
      </c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1156088.19</v>
      </c>
      <c r="ET23" s="425">
        <v>725562.24</v>
      </c>
      <c r="EU23" s="425">
        <v>972331.94</v>
      </c>
      <c r="EV23" s="425">
        <v>1075963.29</v>
      </c>
      <c r="EW23" s="379">
        <v>1106857.49</v>
      </c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>
        <v>406775.45</v>
      </c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512058.71</v>
      </c>
      <c r="EU24" s="424">
        <v>670376.91</v>
      </c>
      <c r="EV24" s="424">
        <v>790076.79</v>
      </c>
      <c r="EW24" s="377">
        <v>813438.19</v>
      </c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>
        <v>67122.44</v>
      </c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>
        <v>107766.04</v>
      </c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>
        <v>17936.740000000002</v>
      </c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>
        <v>45135.75</v>
      </c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>
        <v>88115.07</v>
      </c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>
        <v>140517.51</v>
      </c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>
        <v>2389766.7799999998</v>
      </c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>
        <v>83410.44</v>
      </c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>
        <v>85828.09</v>
      </c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>
        <v>82035.429999999993</v>
      </c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>
        <v>581397.98</v>
      </c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>
        <v>232219.69</v>
      </c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>
        <v>1324875.1499999999</v>
      </c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2237749.3199999998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3080830.83</v>
      </c>
      <c r="ER35" s="379">
        <v>1891187.54</v>
      </c>
      <c r="ES35" s="379">
        <v>5038974.07</v>
      </c>
      <c r="ET35" s="425">
        <v>2486753.54</v>
      </c>
      <c r="EU35" s="425">
        <v>1637518.53</v>
      </c>
      <c r="EV35" s="425">
        <v>2067024.24</v>
      </c>
      <c r="EW35" s="379">
        <v>5507068.6600000001</v>
      </c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>
        <v>73736.11</v>
      </c>
      <c r="EI36" s="377">
        <v>10955.41</v>
      </c>
      <c r="EJ36" s="377">
        <v>237856.46</v>
      </c>
      <c r="EK36" s="377">
        <v>1039868.46</v>
      </c>
      <c r="EL36" s="377">
        <v>9580.2800000000007</v>
      </c>
      <c r="EM36" s="377">
        <v>820648.35</v>
      </c>
      <c r="EN36" s="377">
        <v>3136697.45</v>
      </c>
      <c r="EO36" s="377">
        <v>27156.49</v>
      </c>
      <c r="EP36" s="377">
        <v>13813.05</v>
      </c>
      <c r="EQ36" s="377">
        <v>133915.79999999999</v>
      </c>
      <c r="ER36" s="377">
        <v>210158.28</v>
      </c>
      <c r="ES36" s="377">
        <v>662522.41</v>
      </c>
      <c r="ET36" s="426">
        <v>757682.7</v>
      </c>
      <c r="EU36" s="424">
        <v>26758.59</v>
      </c>
      <c r="EV36" s="424">
        <v>211659.24</v>
      </c>
      <c r="EW36" s="377">
        <v>1943314.8</v>
      </c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>
        <v>660335.9</v>
      </c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>
        <v>1261112.96</v>
      </c>
      <c r="ET37" s="424">
        <v>657232.74</v>
      </c>
      <c r="EU37" s="424">
        <v>844736.49</v>
      </c>
      <c r="EV37" s="424">
        <v>860879.6</v>
      </c>
      <c r="EW37" s="377">
        <v>1001033.47</v>
      </c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>
        <v>87533.49</v>
      </c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>
        <v>245348.63</v>
      </c>
      <c r="ET38" s="424">
        <v>126122.18</v>
      </c>
      <c r="EU38" s="424">
        <v>179834.33</v>
      </c>
      <c r="EV38" s="424">
        <v>220071.26</v>
      </c>
      <c r="EW38" s="377">
        <v>266646.62</v>
      </c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727993.26</v>
      </c>
      <c r="EI40" s="377">
        <v>1312808.81</v>
      </c>
      <c r="EJ40" s="377">
        <v>820100.55</v>
      </c>
      <c r="EK40" s="377">
        <v>1412095.76</v>
      </c>
      <c r="EL40" s="377">
        <v>928152.31</v>
      </c>
      <c r="EM40" s="377">
        <v>1269790.53</v>
      </c>
      <c r="EN40" s="377">
        <v>991530.81</v>
      </c>
      <c r="EO40" s="377">
        <v>586941.27</v>
      </c>
      <c r="EP40" s="377">
        <v>589569.39</v>
      </c>
      <c r="EQ40" s="377">
        <v>1803511.11</v>
      </c>
      <c r="ER40" s="377">
        <v>586255.42000000004</v>
      </c>
      <c r="ES40" s="377">
        <v>2869990.07</v>
      </c>
      <c r="ET40" s="424">
        <v>945715.92</v>
      </c>
      <c r="EU40" s="424">
        <v>586189.12</v>
      </c>
      <c r="EV40" s="424">
        <v>774414.14</v>
      </c>
      <c r="EW40" s="377">
        <v>2296073.77</v>
      </c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>
        <v>108273.11</v>
      </c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170875.32</v>
      </c>
      <c r="EU44" s="425">
        <v>72092.639999999999</v>
      </c>
      <c r="EV44" s="425">
        <v>188889.13</v>
      </c>
      <c r="EW44" s="379">
        <v>425644.44</v>
      </c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>
        <v>8493510.6400000006</v>
      </c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>
        <v>125398354.06999999</v>
      </c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>
        <v>0</v>
      </c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>
        <v>125398354.06999999</v>
      </c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>
        <v>172255329.59999999</v>
      </c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4">
        <v>17822596.359999999</v>
      </c>
      <c r="EU55" s="424">
        <v>53222053.950000003</v>
      </c>
      <c r="EV55" s="424">
        <v>94277740.469999999</v>
      </c>
      <c r="EW55" s="377">
        <v>59024234.859999999</v>
      </c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4">
        <v>37313745.240000002</v>
      </c>
      <c r="EU56" s="424">
        <v>38053361.399999999</v>
      </c>
      <c r="EV56" s="424">
        <v>36623552.420000002</v>
      </c>
      <c r="EW56" s="377">
        <v>38350938.119999997</v>
      </c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4">
        <v>363127.64</v>
      </c>
      <c r="EU62" s="424">
        <v>848575.97</v>
      </c>
      <c r="EV62" s="424">
        <v>933832.27</v>
      </c>
      <c r="EW62" s="377">
        <v>983620.43</v>
      </c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956521.67</v>
      </c>
      <c r="EI69" s="377">
        <v>2109254.7599999998</v>
      </c>
      <c r="EJ69" s="377">
        <v>2769108.2</v>
      </c>
      <c r="EK69" s="377">
        <v>1859042.69</v>
      </c>
      <c r="EL69" s="377">
        <v>2061379.38</v>
      </c>
      <c r="EM69" s="377">
        <v>2036796.31</v>
      </c>
      <c r="EN69" s="377">
        <v>1900343.87</v>
      </c>
      <c r="EO69" s="377">
        <v>2421002.2400000002</v>
      </c>
      <c r="EP69" s="377">
        <v>1844593.48</v>
      </c>
      <c r="EQ69" s="377">
        <v>3032654.88</v>
      </c>
      <c r="ER69" s="377">
        <v>2235715.75</v>
      </c>
      <c r="ES69" s="377">
        <v>5973408.79</v>
      </c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4">
        <v>1027061</v>
      </c>
      <c r="EU70" s="424">
        <v>2338867.33</v>
      </c>
      <c r="EV70" s="424">
        <v>3799655</v>
      </c>
      <c r="EW70" s="377">
        <v>2451725.77</v>
      </c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4">
        <v>1697528.93</v>
      </c>
      <c r="EU77" s="424">
        <v>3151750.86</v>
      </c>
      <c r="EV77" s="424">
        <v>4190810.86</v>
      </c>
      <c r="EW77" s="377">
        <v>3933961.65</v>
      </c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4">
        <v>106817.18</v>
      </c>
      <c r="EU87" s="424">
        <v>1254053.07</v>
      </c>
      <c r="EV87" s="424">
        <v>1932637.76</v>
      </c>
      <c r="EW87" s="377">
        <v>1697297.09</v>
      </c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4">
        <v>4324077.55</v>
      </c>
      <c r="EU91" s="424">
        <v>1050801.23</v>
      </c>
      <c r="EV91" s="424">
        <v>39514676.710000001</v>
      </c>
      <c r="EW91" s="377">
        <v>1628189</v>
      </c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680175.47</v>
      </c>
      <c r="EQ93" s="377">
        <v>802737.21</v>
      </c>
      <c r="ER93" s="377">
        <v>721286.02</v>
      </c>
      <c r="ES93" s="377">
        <v>1392442.62</v>
      </c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4">
        <v>175603.34</v>
      </c>
      <c r="EU94" s="424">
        <v>1124463.03</v>
      </c>
      <c r="EV94" s="424">
        <v>523950.18</v>
      </c>
      <c r="EW94" s="377">
        <v>641415.42000000004</v>
      </c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4">
        <v>31033.66</v>
      </c>
      <c r="EU98" s="424">
        <v>2281116.2599999998</v>
      </c>
      <c r="EV98" s="424">
        <v>3600137.18</v>
      </c>
      <c r="EW98" s="377">
        <v>1218773.67</v>
      </c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640573.4</v>
      </c>
      <c r="EI101" s="377">
        <v>1813144.72</v>
      </c>
      <c r="EJ101" s="377">
        <v>3850774.87</v>
      </c>
      <c r="EK101" s="377">
        <v>2537947.84</v>
      </c>
      <c r="EL101" s="377">
        <v>2629633.84</v>
      </c>
      <c r="EM101" s="377">
        <v>2647992.59</v>
      </c>
      <c r="EN101" s="377">
        <v>2526292.0099999998</v>
      </c>
      <c r="EO101" s="377">
        <v>2670416.61</v>
      </c>
      <c r="EP101" s="377">
        <v>2766749.02</v>
      </c>
      <c r="EQ101" s="377">
        <v>3382897.72</v>
      </c>
      <c r="ER101" s="377">
        <v>4807051.49</v>
      </c>
      <c r="ES101" s="377">
        <v>7968970.9500000002</v>
      </c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4">
        <v>585935.19999999995</v>
      </c>
      <c r="EU102" s="424">
        <v>3391023.18</v>
      </c>
      <c r="EV102" s="424">
        <v>2155321.13</v>
      </c>
      <c r="EW102" s="377">
        <v>2859100.45</v>
      </c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4">
        <v>42244817.57</v>
      </c>
      <c r="EU112" s="424">
        <v>45525440.090000004</v>
      </c>
      <c r="EV112" s="424">
        <v>45200709.079999998</v>
      </c>
      <c r="EW112" s="377">
        <v>43012361.310000002</v>
      </c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4">
        <v>6003212.1200000001</v>
      </c>
      <c r="EU113" s="424">
        <v>7135869.1500000004</v>
      </c>
      <c r="EV113" s="424">
        <v>6207886.6699999999</v>
      </c>
      <c r="EW113" s="377">
        <v>6327448.5300000003</v>
      </c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4">
        <v>110952</v>
      </c>
      <c r="EU122" s="424">
        <v>1323906.01</v>
      </c>
      <c r="EV122" s="424">
        <v>1098216.9099999999</v>
      </c>
      <c r="EW122" s="377">
        <v>945506.13</v>
      </c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4">
        <v>34029606.390000001</v>
      </c>
      <c r="EU128" s="424">
        <v>34751702.420000002</v>
      </c>
      <c r="EV128" s="424">
        <v>34761880.880000003</v>
      </c>
      <c r="EW128" s="377">
        <v>34790406.869999997</v>
      </c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4">
        <v>1365364.87</v>
      </c>
      <c r="EU136" s="424">
        <v>1602918.54</v>
      </c>
      <c r="EV136" s="424">
        <v>2368731.41</v>
      </c>
      <c r="EW136" s="377">
        <v>425632.96</v>
      </c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4">
        <v>735682.19</v>
      </c>
      <c r="EU138" s="424">
        <v>711043.97</v>
      </c>
      <c r="EV138" s="424">
        <v>763993.21</v>
      </c>
      <c r="EW138" s="377">
        <v>523366.82</v>
      </c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4">
        <v>11036841.98</v>
      </c>
      <c r="EU142" s="424">
        <v>13096709.15</v>
      </c>
      <c r="EV142" s="424">
        <v>16347396.119999999</v>
      </c>
      <c r="EW142" s="377">
        <v>15689300.51</v>
      </c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4">
        <v>10553508.65</v>
      </c>
      <c r="EU143" s="424">
        <v>12813375.82</v>
      </c>
      <c r="EV143" s="424">
        <v>16064062.789999999</v>
      </c>
      <c r="EW143" s="377">
        <v>15105967.18</v>
      </c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4">
        <v>483333.33</v>
      </c>
      <c r="EU153" s="424">
        <v>283333.33</v>
      </c>
      <c r="EV153" s="424">
        <v>283333.33</v>
      </c>
      <c r="EW153" s="377">
        <v>583333.32999999996</v>
      </c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4">
        <v>2060574.27</v>
      </c>
      <c r="EU160" s="424">
        <v>2958395.49</v>
      </c>
      <c r="EV160" s="424">
        <v>10806505.67</v>
      </c>
      <c r="EW160" s="377">
        <v>28775491.48</v>
      </c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4">
        <v>3266992.16</v>
      </c>
      <c r="EU161" s="424">
        <v>1252962.76</v>
      </c>
      <c r="EV161" s="424">
        <v>2398205.81</v>
      </c>
      <c r="EW161" s="377">
        <v>2567489.7200000002</v>
      </c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4">
        <v>5000</v>
      </c>
      <c r="EU171" s="424">
        <v>380906.62</v>
      </c>
      <c r="EV171" s="424">
        <v>0</v>
      </c>
      <c r="EW171" s="377">
        <v>285264</v>
      </c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4">
        <v>5000</v>
      </c>
      <c r="EU172" s="424">
        <v>380906.62</v>
      </c>
      <c r="EV172" s="424">
        <v>0</v>
      </c>
      <c r="EW172" s="377">
        <v>285264</v>
      </c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21093802.77</v>
      </c>
      <c r="EW178" s="377">
        <v>22441147.859999999</v>
      </c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4">
        <v>26200164.98</v>
      </c>
      <c r="EU179" s="424">
        <v>54488971.759999998</v>
      </c>
      <c r="EV179" s="424">
        <v>19066024.489999998</v>
      </c>
      <c r="EW179" s="377">
        <v>19981471.989999998</v>
      </c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4">
        <v>24566746.16</v>
      </c>
      <c r="EU180" s="424">
        <v>50952373.509999998</v>
      </c>
      <c r="EV180" s="424">
        <v>7051404.0099999998</v>
      </c>
      <c r="EW180" s="377">
        <v>2231658.5099999998</v>
      </c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4">
        <v>1633418.82</v>
      </c>
      <c r="EU181" s="424">
        <v>3536598.25</v>
      </c>
      <c r="EV181" s="424">
        <v>12014620.48</v>
      </c>
      <c r="EW181" s="377">
        <v>17749813.48</v>
      </c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4">
        <v>1671507.81</v>
      </c>
      <c r="EU185" s="424">
        <v>2215955.08</v>
      </c>
      <c r="EV185" s="424">
        <v>2027778.28</v>
      </c>
      <c r="EW185" s="377">
        <v>2459675.87</v>
      </c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4">
        <v>190000</v>
      </c>
      <c r="EU186" s="424">
        <v>92000</v>
      </c>
      <c r="EV186" s="424">
        <v>2352909.08</v>
      </c>
      <c r="EW186" s="377">
        <v>460039.86</v>
      </c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Budžetski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7" t="s">
        <v>691</v>
      </c>
      <c r="F216" s="534">
        <v>2006</v>
      </c>
      <c r="G216" s="535"/>
      <c r="H216" s="535"/>
      <c r="I216" s="535"/>
      <c r="J216" s="535"/>
      <c r="K216" s="535"/>
      <c r="L216" s="535"/>
      <c r="M216" s="535"/>
      <c r="N216" s="535"/>
      <c r="O216" s="535"/>
      <c r="P216" s="535"/>
      <c r="Q216" s="536"/>
      <c r="R216" s="534">
        <v>2007</v>
      </c>
      <c r="S216" s="535"/>
      <c r="T216" s="535"/>
      <c r="U216" s="535"/>
      <c r="V216" s="535"/>
      <c r="W216" s="535"/>
      <c r="X216" s="535"/>
      <c r="Y216" s="535"/>
      <c r="Z216" s="535"/>
      <c r="AA216" s="535"/>
      <c r="AB216" s="535"/>
      <c r="AC216" s="536"/>
      <c r="AD216" s="534">
        <v>2008</v>
      </c>
      <c r="AE216" s="535"/>
      <c r="AF216" s="535"/>
      <c r="AG216" s="535"/>
      <c r="AH216" s="535"/>
      <c r="AI216" s="535"/>
      <c r="AJ216" s="535"/>
      <c r="AK216" s="535"/>
      <c r="AL216" s="535"/>
      <c r="AM216" s="535"/>
      <c r="AN216" s="535"/>
      <c r="AO216" s="536"/>
      <c r="AP216" s="534">
        <v>2009</v>
      </c>
      <c r="AQ216" s="535"/>
      <c r="AR216" s="535"/>
      <c r="AS216" s="535"/>
      <c r="AT216" s="535"/>
      <c r="AU216" s="535"/>
      <c r="AV216" s="535"/>
      <c r="AW216" s="535"/>
      <c r="AX216" s="535"/>
      <c r="AY216" s="535"/>
      <c r="AZ216" s="535"/>
      <c r="BA216" s="536"/>
      <c r="BB216" s="534">
        <v>2010</v>
      </c>
      <c r="BC216" s="535"/>
      <c r="BD216" s="535"/>
      <c r="BE216" s="535"/>
      <c r="BF216" s="535"/>
      <c r="BG216" s="535"/>
      <c r="BH216" s="535"/>
      <c r="BI216" s="535"/>
      <c r="BJ216" s="535"/>
      <c r="BK216" s="535"/>
      <c r="BL216" s="535"/>
      <c r="BM216" s="536"/>
      <c r="BN216" s="534">
        <v>2011</v>
      </c>
      <c r="BO216" s="535"/>
      <c r="BP216" s="535"/>
      <c r="BQ216" s="535"/>
      <c r="BR216" s="535"/>
      <c r="BS216" s="535"/>
      <c r="BT216" s="535"/>
      <c r="BU216" s="535"/>
      <c r="BV216" s="535"/>
      <c r="BW216" s="535"/>
      <c r="BX216" s="535"/>
      <c r="BY216" s="536"/>
      <c r="BZ216" s="535">
        <v>2012</v>
      </c>
      <c r="CA216" s="535"/>
      <c r="CB216" s="535"/>
      <c r="CC216" s="535"/>
      <c r="CD216" s="535"/>
      <c r="CE216" s="535"/>
      <c r="CF216" s="535"/>
      <c r="CG216" s="535"/>
      <c r="CH216" s="535"/>
      <c r="CI216" s="535"/>
      <c r="CJ216" s="535"/>
      <c r="CK216" s="535"/>
      <c r="CL216" s="534">
        <v>2013</v>
      </c>
      <c r="CM216" s="535"/>
      <c r="CN216" s="535"/>
      <c r="CO216" s="535"/>
      <c r="CP216" s="535"/>
      <c r="CQ216" s="535"/>
      <c r="CR216" s="535"/>
      <c r="CS216" s="535"/>
      <c r="CT216" s="535"/>
      <c r="CU216" s="535"/>
      <c r="CV216" s="535"/>
      <c r="CW216" s="536"/>
      <c r="CX216" s="534">
        <v>2014</v>
      </c>
      <c r="CY216" s="535"/>
      <c r="CZ216" s="535"/>
      <c r="DA216" s="535"/>
      <c r="DB216" s="535"/>
      <c r="DC216" s="535"/>
      <c r="DD216" s="535"/>
      <c r="DE216" s="535"/>
      <c r="DF216" s="535"/>
      <c r="DG216" s="535"/>
      <c r="DH216" s="535"/>
      <c r="DI216" s="536"/>
      <c r="DJ216" s="534">
        <v>2015</v>
      </c>
      <c r="DK216" s="535"/>
      <c r="DL216" s="535"/>
      <c r="DM216" s="535"/>
      <c r="DN216" s="535"/>
      <c r="DO216" s="535"/>
      <c r="DP216" s="535"/>
      <c r="DQ216" s="535"/>
      <c r="DR216" s="535"/>
      <c r="DS216" s="535"/>
      <c r="DT216" s="535"/>
      <c r="DU216" s="536"/>
    </row>
    <row r="217" spans="1:161">
      <c r="E217" s="537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73522124.290000007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120031864.41533335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Mjesečni podaci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Mjesečni podaci 2016</v>
      </c>
    </row>
    <row r="13" spans="2:7">
      <c r="E13" s="11" t="s">
        <v>704</v>
      </c>
      <c r="F13" s="12" t="s">
        <v>705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757</v>
      </c>
      <c r="F16" s="12" t="s">
        <v>758</v>
      </c>
      <c r="G16" s="52" t="str">
        <f t="shared" si="0"/>
        <v>Mjesečni podaci 2012</v>
      </c>
    </row>
    <row r="17" spans="2:7">
      <c r="E17" s="11" t="s">
        <v>759</v>
      </c>
      <c r="F17" s="12" t="s">
        <v>760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April</v>
      </c>
    </row>
    <row r="243" spans="4:7">
      <c r="D243" s="49"/>
      <c r="E243" s="9"/>
      <c r="F243" s="10"/>
      <c r="G243" s="52" t="str">
        <f>+CONCATENATE("Jan - ",LEFT(G242,3))</f>
        <v>Jan - Apr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April</v>
      </c>
      <c r="F251" s="10" t="str">
        <f>+CONCATENATE("Analytics for period ",G242)</f>
        <v>Analytics for period April</v>
      </c>
      <c r="G251" s="52" t="str">
        <f>+IF(ISBLANK(IF($B$2=1,E251,F251)),"",IF($B$2=1,E251,F251))</f>
        <v>Analitika za period April</v>
      </c>
    </row>
    <row r="252" spans="4:7">
      <c r="D252" s="46"/>
      <c r="E252" s="9" t="str">
        <f>+CONCATENATE("Analitika za period ",G243)</f>
        <v>Analitika za period Jan - Apr</v>
      </c>
      <c r="F252" s="10" t="str">
        <f>+CONCATENATE("Analytics for period ",G243)</f>
        <v>Analytics for period Jan - Apr</v>
      </c>
      <c r="G252" s="52" t="str">
        <f>+IF(ISBLANK(IF($B$2=1,E252,F252)),"",IF($B$2=1,E252,F252))</f>
        <v>Analitika za period Jan - Apr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April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April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Suficit/Deficit za mjesec April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April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April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April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I20" sqref="I20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April</v>
      </c>
      <c r="E11" s="158"/>
      <c r="F11" s="158"/>
      <c r="G11" s="158"/>
      <c r="H11" s="319" t="str">
        <f>+Master!G271</f>
        <v>Prihodi za period Januar - April</v>
      </c>
      <c r="I11" s="320"/>
      <c r="J11" s="308"/>
      <c r="K11" s="159"/>
    </row>
    <row r="12" spans="3:11">
      <c r="C12" s="157"/>
      <c r="D12" s="161">
        <f>+'Analitika - 2018'!N10</f>
        <v>156752589.09</v>
      </c>
      <c r="E12" s="162">
        <f>+D12/'2018'!T7</f>
        <v>3.5644220635786893E-2</v>
      </c>
      <c r="F12" s="158"/>
      <c r="G12" s="158"/>
      <c r="H12" s="321">
        <f>+'Analitika - 2018'!G10</f>
        <v>484235897.61000001</v>
      </c>
      <c r="I12" s="322">
        <f>+H12/'2018'!T7</f>
        <v>0.11011117120540283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April</v>
      </c>
      <c r="E15" s="158"/>
      <c r="F15" s="158"/>
      <c r="G15" s="158"/>
      <c r="H15" s="319" t="str">
        <f>+Master!G272</f>
        <v>Rashodi za period Januar - April</v>
      </c>
      <c r="I15" s="320"/>
      <c r="J15" s="308"/>
      <c r="K15" s="159"/>
    </row>
    <row r="16" spans="3:11">
      <c r="C16" s="157"/>
      <c r="D16" s="161">
        <f>+'Analitika - 2018'!N29</f>
        <v>147014644.35000002</v>
      </c>
      <c r="E16" s="162">
        <f>+D16/'2018'!T7</f>
        <v>3.3429893887714036E-2</v>
      </c>
      <c r="F16" s="158"/>
      <c r="G16" s="158"/>
      <c r="H16" s="321">
        <f>+'Analitika - 2018'!G29</f>
        <v>544539766.95000005</v>
      </c>
      <c r="I16" s="322">
        <f>+H16/'2018'!T7</f>
        <v>0.12382376400163723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April</v>
      </c>
      <c r="E19" s="158"/>
      <c r="F19" s="158"/>
      <c r="G19" s="158"/>
      <c r="H19" s="319" t="str">
        <f>+Master!G273</f>
        <v>Deficit za period Januar - April</v>
      </c>
      <c r="I19" s="320"/>
      <c r="J19" s="308"/>
      <c r="K19" s="159"/>
    </row>
    <row r="20" spans="3:11">
      <c r="C20" s="157"/>
      <c r="D20" s="161">
        <f>+'Analitika - 2018'!N55</f>
        <v>9737944.7399999797</v>
      </c>
      <c r="E20" s="162">
        <f>+D20/'2018'!T7</f>
        <v>2.2143267480728515E-3</v>
      </c>
      <c r="F20" s="158"/>
      <c r="G20" s="158"/>
      <c r="H20" s="321">
        <f>+'Analitika - 2018'!G55</f>
        <v>-60303869.340000048</v>
      </c>
      <c r="I20" s="322">
        <f>+H20/'2018'!T7</f>
        <v>-1.3712592796234406E-2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84"/>
      <c r="E22" s="485"/>
      <c r="F22" s="485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T69"/>
  <sheetViews>
    <sheetView topLeftCell="D1" zoomScale="112" zoomScaleNormal="112" workbookViewId="0">
      <pane ySplit="5" topLeftCell="A15" activePane="bottomLeft" state="frozen"/>
      <selection activeCell="DK219" sqref="DK219"/>
      <selection pane="bottomLeft" activeCell="I29" sqref="I2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2018-04</v>
      </c>
      <c r="O6" s="169" t="str">
        <f>+CONCATENATE(N6,"p")</f>
        <v>2018-04p</v>
      </c>
      <c r="P6" s="153"/>
      <c r="Q6" s="153"/>
      <c r="R6" s="169" t="str">
        <f>+IF(Master!B3-10&gt;=0,CONCATENATE(Master!B4-1,"-",Master!B3),CONCATENATE(Master!B4-1,"-0",Master!B3))</f>
        <v>2017-04</v>
      </c>
      <c r="S6" s="153"/>
      <c r="T6" s="153"/>
    </row>
    <row r="7" spans="1:20">
      <c r="A7" s="170"/>
      <c r="B7" s="438" t="str">
        <f>+Master!G252</f>
        <v>Analitika za period Jan - Apr</v>
      </c>
      <c r="C7" s="439"/>
      <c r="D7" s="439"/>
      <c r="E7" s="439"/>
      <c r="F7" s="439"/>
      <c r="G7" s="447" t="str">
        <f>+Master!G243</f>
        <v>Jan - Apr</v>
      </c>
      <c r="H7" s="448"/>
      <c r="I7" s="448"/>
      <c r="J7" s="448"/>
      <c r="K7" s="448"/>
      <c r="L7" s="448"/>
      <c r="M7" s="449"/>
      <c r="N7" s="450" t="str">
        <f>+Master!G242</f>
        <v>April</v>
      </c>
      <c r="O7" s="448"/>
      <c r="P7" s="448"/>
      <c r="Q7" s="448"/>
      <c r="R7" s="448"/>
      <c r="S7" s="448"/>
      <c r="T7" s="451"/>
    </row>
    <row r="8" spans="1:20">
      <c r="A8" s="170"/>
      <c r="B8" s="440"/>
      <c r="C8" s="441"/>
      <c r="D8" s="441"/>
      <c r="E8" s="441"/>
      <c r="F8" s="442"/>
      <c r="G8" s="171" t="str">
        <f>+Master!G21</f>
        <v>Ostvarenje</v>
      </c>
      <c r="H8" s="171" t="str">
        <f>+Master!G20</f>
        <v>Plan</v>
      </c>
      <c r="I8" s="434" t="str">
        <f>+Master!G258</f>
        <v>Odstupanje</v>
      </c>
      <c r="J8" s="434"/>
      <c r="K8" s="171" t="str">
        <f>+CONCATENATE(Master!G243," ",Master!B4-1)</f>
        <v>Jan - Apr 2017</v>
      </c>
      <c r="L8" s="434" t="str">
        <f>+I8</f>
        <v>Odstupanje</v>
      </c>
      <c r="M8" s="446"/>
      <c r="N8" s="172" t="str">
        <f>+G8</f>
        <v>Ostvarenje</v>
      </c>
      <c r="O8" s="171" t="str">
        <f>+H8</f>
        <v>Plan</v>
      </c>
      <c r="P8" s="434" t="str">
        <f>+I8</f>
        <v>Odstupanje</v>
      </c>
      <c r="Q8" s="434"/>
      <c r="R8" s="171" t="str">
        <f>+CONCATENATE(Master!G242," ",Master!B4-1)</f>
        <v>April 2017</v>
      </c>
      <c r="S8" s="434" t="str">
        <f>+P8</f>
        <v>Odstupanje</v>
      </c>
      <c r="T8" s="435"/>
    </row>
    <row r="9" spans="1:20" ht="15.7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f>+SUMPRODUCT(('2018'!$G10:$R10)*('2018'!$G$5:$R$5&lt;=Master!$B$3)*($A10='2018'!$A$10:$A$65))</f>
        <v>484235897.61000001</v>
      </c>
      <c r="H10" s="177">
        <f>+SUMPRODUCT(('2018'!$G104:$R104)*('2018'!$G$5:$R$5&lt;=Master!$B$3))</f>
        <v>474925268.49816549</v>
      </c>
      <c r="I10" s="178">
        <f>+G10-H10</f>
        <v>9310629.1118345261</v>
      </c>
      <c r="J10" s="179">
        <f>+IF(ISNUMBER(G10/H10-1),G10/H10-1,"…")</f>
        <v>1.9604408797361028E-2</v>
      </c>
      <c r="K10" s="177">
        <f>+SUMPRODUCT(('2017'!$G10:$R10)*('2017'!$G$5:$R$5&lt;=Master!$B$3))</f>
        <v>422541386.94999993</v>
      </c>
      <c r="L10" s="178">
        <f>+G10-K10</f>
        <v>61694510.660000086</v>
      </c>
      <c r="M10" s="180">
        <f>+IF(ISNUMBER(G10/K10-1),G10/K10-1,"…")</f>
        <v>0.14600820787124569</v>
      </c>
      <c r="N10" s="177">
        <f>'2018'!J10</f>
        <v>156752589.09</v>
      </c>
      <c r="O10" s="177">
        <f>+INDEX('2018'!$1:$1048576,MATCH(CONCATENATE('Analitika - 2018'!$A10,"p"),'2018'!$A:$A,0),MATCH('Analitika - 2018'!$O$6,'2018'!$100:$100,0))</f>
        <v>139657100.24302021</v>
      </c>
      <c r="P10" s="178">
        <f>+N10-O10</f>
        <v>17095488.846979797</v>
      </c>
      <c r="Q10" s="179">
        <f>+IF(ISNUMBER(N10/O10-1),N10/O10-1,"…")</f>
        <v>0.12241045258158434</v>
      </c>
      <c r="R10" s="177">
        <f>'2017'!J10</f>
        <v>124911661.66999999</v>
      </c>
      <c r="S10" s="178">
        <f>+N10-R10</f>
        <v>31840927.420000017</v>
      </c>
      <c r="T10" s="180">
        <f>+IF(ISNUMBER(N10/R10-1),N10/R10-1,"…")</f>
        <v>0.25490756422822658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342">
        <f>+SUMPRODUCT(('2018'!$G11:$R11)*('2018'!$G$5:$R$5&lt;=Master!$B$3)*($A11='2018'!$A$10:$A$65))</f>
        <v>312155092.52999997</v>
      </c>
      <c r="H11" s="342">
        <f>+SUMPRODUCT(('2018'!$G105:$R105)*('2018'!$G$5:$R$5&lt;=Master!$B$3))</f>
        <v>314960052.28042322</v>
      </c>
      <c r="I11" s="184">
        <f t="shared" ref="I11:I66" si="0">+G11-H11</f>
        <v>-2804959.7504232526</v>
      </c>
      <c r="J11" s="185">
        <f t="shared" ref="J11:J65" si="1">+IF(ISNUMBER(G11/H11-1),G11/H11-1,"…")</f>
        <v>-8.9057635408501534E-3</v>
      </c>
      <c r="K11" s="183">
        <f>+SUMPRODUCT(('2017'!$G11:$R11)*('2017'!$G$5:$R$5&lt;=Master!$B$3))</f>
        <v>276329525.73000002</v>
      </c>
      <c r="L11" s="184">
        <f>+G11-K11</f>
        <v>35825566.799999952</v>
      </c>
      <c r="M11" s="186">
        <f t="shared" ref="M11:M66" si="2">+IF(ISNUMBER(G11/K11-1),G11/K11-1,"…")</f>
        <v>0.12964798714634962</v>
      </c>
      <c r="N11" s="342">
        <f>'2018'!J11</f>
        <v>97799793.080000013</v>
      </c>
      <c r="O11" s="342">
        <f>+INDEX('2018'!$1:$1048576,MATCH(CONCATENATE('Analitika - 2018'!$A11,"p"),'2018'!$A:$A,0),MATCH('Analitika - 2018'!$O$6,'2018'!$100:$100,0))</f>
        <v>90117605.258240208</v>
      </c>
      <c r="P11" s="184">
        <f t="shared" ref="P11:P66" si="3">+N11-O11</f>
        <v>7682187.8217598051</v>
      </c>
      <c r="Q11" s="185">
        <f t="shared" ref="Q11:Q66" si="4">+IF(ISNUMBER(N11/O11-1),N11/O11-1,"…")</f>
        <v>8.5246249051401213E-2</v>
      </c>
      <c r="R11" s="342">
        <f>'2017'!J11</f>
        <v>81677988.170000002</v>
      </c>
      <c r="S11" s="184">
        <f t="shared" ref="S11:S66" si="5">+N11-R11</f>
        <v>16121804.910000011</v>
      </c>
      <c r="T11" s="186">
        <f t="shared" ref="T11:T66" si="6">+IF(ISNUMBER(N11/R11-1),N11/R11-1,"…")</f>
        <v>0.19738249277693987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f>+SUMPRODUCT(('2018'!$G12:$R12)*('2018'!$G$5:$R$5&lt;=Master!$B$3)*($A12='2018'!$A$10:$A$65))</f>
        <v>32295150.18</v>
      </c>
      <c r="H12" s="189">
        <f>+SUMPRODUCT(('2018'!$G106:$R106)*('2018'!$G$5:$R$5&lt;=Master!$B$3))</f>
        <v>31701728.640394315</v>
      </c>
      <c r="I12" s="190">
        <f t="shared" si="0"/>
        <v>593421.53960568458</v>
      </c>
      <c r="J12" s="191">
        <f t="shared" si="1"/>
        <v>1.8718901620069728E-2</v>
      </c>
      <c r="K12" s="189">
        <f>+SUMPRODUCT(('2017'!$G12:$R12)*('2017'!$G$5:$R$5&lt;=Master!$B$3))</f>
        <v>29429442.57</v>
      </c>
      <c r="L12" s="190">
        <f>+G12-K12</f>
        <v>2865707.6099999994</v>
      </c>
      <c r="M12" s="192">
        <f t="shared" si="2"/>
        <v>9.7375531431956652E-2</v>
      </c>
      <c r="N12" s="189">
        <f>'2018'!J12</f>
        <v>9899613.5099999998</v>
      </c>
      <c r="O12" s="189">
        <f>+INDEX('2018'!$1:$1048576,MATCH(CONCATENATE('Analitika - 2018'!$A12,"p"),'2018'!$A:$A,0),MATCH('Analitika - 2018'!$O$6,'2018'!$100:$100,0))</f>
        <v>9456522.7919898443</v>
      </c>
      <c r="P12" s="190">
        <f t="shared" si="3"/>
        <v>443090.71801015548</v>
      </c>
      <c r="Q12" s="191">
        <f t="shared" si="4"/>
        <v>4.6855564963632856E-2</v>
      </c>
      <c r="R12" s="189">
        <f>'2017'!J12</f>
        <v>8729072.4399999995</v>
      </c>
      <c r="S12" s="190">
        <f t="shared" si="5"/>
        <v>1170541.0700000003</v>
      </c>
      <c r="T12" s="192">
        <f t="shared" si="6"/>
        <v>0.13409684454400073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f>+SUMPRODUCT(('2018'!$G13:$R13)*('2018'!$G$5:$R$5&lt;=Master!$B$3)*($A13='2018'!$A$10:$A$65))</f>
        <v>42475594.549999997</v>
      </c>
      <c r="H13" s="189">
        <f>+SUMPRODUCT(('2018'!$G107:$R107)*('2018'!$G$5:$R$5&lt;=Master!$B$3))</f>
        <v>35871098.496014096</v>
      </c>
      <c r="I13" s="190">
        <f t="shared" si="0"/>
        <v>6604496.0539859012</v>
      </c>
      <c r="J13" s="191">
        <f t="shared" si="1"/>
        <v>0.18411747425911074</v>
      </c>
      <c r="K13" s="189">
        <f>+SUMPRODUCT(('2017'!$G13:$R13)*('2017'!$G$5:$R$5&lt;=Master!$B$3))</f>
        <v>33993809.900000006</v>
      </c>
      <c r="L13" s="190">
        <f t="shared" ref="L13:L66" si="7">+G13-K13</f>
        <v>8481784.6499999911</v>
      </c>
      <c r="M13" s="192">
        <f t="shared" si="2"/>
        <v>0.24950968058452272</v>
      </c>
      <c r="N13" s="189">
        <f>'2018'!J13</f>
        <v>18095823.48</v>
      </c>
      <c r="O13" s="189">
        <f>+INDEX('2018'!$1:$1048576,MATCH(CONCATENATE('Analitika - 2018'!$A13,"p"),'2018'!$A:$A,0),MATCH('Analitika - 2018'!$O$6,'2018'!$100:$100,0))</f>
        <v>15245006.927149141</v>
      </c>
      <c r="P13" s="190">
        <f t="shared" si="3"/>
        <v>2850816.5528508592</v>
      </c>
      <c r="Q13" s="191">
        <f t="shared" si="4"/>
        <v>0.18700001688906864</v>
      </c>
      <c r="R13" s="189">
        <f>'2017'!J13</f>
        <v>14506801.98</v>
      </c>
      <c r="S13" s="190">
        <f t="shared" si="5"/>
        <v>3589021.5</v>
      </c>
      <c r="T13" s="192">
        <f t="shared" si="6"/>
        <v>0.24740266703495739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f>+SUMPRODUCT(('2018'!$G14:$R14)*('2018'!$G$5:$R$5&lt;=Master!$B$3)*($A14='2018'!$A$10:$A$65))</f>
        <v>530755.94999999995</v>
      </c>
      <c r="H14" s="189">
        <f>+SUMPRODUCT(('2018'!$G108:$R108)*('2018'!$G$5:$R$5&lt;=Master!$B$3))</f>
        <v>424343.57065122481</v>
      </c>
      <c r="I14" s="190">
        <f t="shared" si="0"/>
        <v>106412.37934877514</v>
      </c>
      <c r="J14" s="191">
        <f t="shared" si="1"/>
        <v>0.25076939232393203</v>
      </c>
      <c r="K14" s="189">
        <f>+SUMPRODUCT(('2017'!$G14:$R14)*('2017'!$G$5:$R$5&lt;=Master!$B$3))</f>
        <v>349244.2</v>
      </c>
      <c r="L14" s="190">
        <f t="shared" si="7"/>
        <v>181511.74999999994</v>
      </c>
      <c r="M14" s="192">
        <f t="shared" si="2"/>
        <v>0.51972731401122751</v>
      </c>
      <c r="N14" s="189">
        <f>'2018'!J14</f>
        <v>117398.62</v>
      </c>
      <c r="O14" s="189">
        <f>+INDEX('2018'!$1:$1048576,MATCH(CONCATENATE('Analitika - 2018'!$A14,"p"),'2018'!$A:$A,0),MATCH('Analitika - 2018'!$O$6,'2018'!$100:$100,0))</f>
        <v>110349.59462185318</v>
      </c>
      <c r="P14" s="190">
        <f t="shared" si="3"/>
        <v>7049.02537814682</v>
      </c>
      <c r="Q14" s="191">
        <f t="shared" si="4"/>
        <v>6.3879032834714744E-2</v>
      </c>
      <c r="R14" s="189">
        <f>'2017'!J14</f>
        <v>93919.51</v>
      </c>
      <c r="S14" s="190">
        <f t="shared" si="5"/>
        <v>23479.11</v>
      </c>
      <c r="T14" s="192">
        <f t="shared" si="6"/>
        <v>0.2499918281089839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f>+SUMPRODUCT(('2018'!$G15:$R15)*('2018'!$G$5:$R$5&lt;=Master!$B$3)*($A15='2018'!$A$10:$A$65))</f>
        <v>170050212.05000001</v>
      </c>
      <c r="H15" s="189">
        <f>+SUMPRODUCT(('2018'!$G109:$R109)*('2018'!$G$5:$R$5&lt;=Master!$B$3))</f>
        <v>175419908.93890274</v>
      </c>
      <c r="I15" s="190">
        <f t="shared" si="0"/>
        <v>-5369696.8889027238</v>
      </c>
      <c r="J15" s="191">
        <f t="shared" si="1"/>
        <v>-3.0610532871573559E-2</v>
      </c>
      <c r="K15" s="189">
        <f>+SUMPRODUCT(('2017'!$G15:$R15)*('2017'!$G$5:$R$5&lt;=Master!$B$3))</f>
        <v>146048473.41</v>
      </c>
      <c r="L15" s="190">
        <f t="shared" si="7"/>
        <v>24001738.640000015</v>
      </c>
      <c r="M15" s="192">
        <f t="shared" si="2"/>
        <v>0.16434090736861218</v>
      </c>
      <c r="N15" s="189">
        <f>'2018'!J15</f>
        <v>50343037.649999999</v>
      </c>
      <c r="O15" s="189">
        <f>+INDEX('2018'!$1:$1048576,MATCH(CONCATENATE('Analitika - 2018'!$A15,"p"),'2018'!$A:$A,0),MATCH('Analitika - 2018'!$O$6,'2018'!$100:$100,0))</f>
        <v>44717067.964572787</v>
      </c>
      <c r="P15" s="190">
        <f t="shared" si="3"/>
        <v>5625969.6854272112</v>
      </c>
      <c r="Q15" s="191">
        <f t="shared" si="4"/>
        <v>0.12581257988301919</v>
      </c>
      <c r="R15" s="189">
        <f>'2017'!J15</f>
        <v>39843066.039999999</v>
      </c>
      <c r="S15" s="190">
        <f t="shared" si="5"/>
        <v>10499971.609999999</v>
      </c>
      <c r="T15" s="192">
        <f t="shared" si="6"/>
        <v>0.2635332230571481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f>+SUMPRODUCT(('2018'!$G16:$R16)*('2018'!$G$5:$R$5&lt;=Master!$B$3)*($A16='2018'!$A$10:$A$65))</f>
        <v>56757400.090000004</v>
      </c>
      <c r="H16" s="189">
        <f>+SUMPRODUCT(('2018'!$G110:$R110)*('2018'!$G$5:$R$5&lt;=Master!$B$3))</f>
        <v>61127636.465669908</v>
      </c>
      <c r="I16" s="190">
        <f t="shared" si="0"/>
        <v>-4370236.3756699041</v>
      </c>
      <c r="J16" s="191">
        <f t="shared" si="1"/>
        <v>-7.1493625933407134E-2</v>
      </c>
      <c r="K16" s="189">
        <f>+SUMPRODUCT(('2017'!$G16:$R16)*('2017'!$G$5:$R$5&lt;=Master!$B$3))</f>
        <v>56784829.030000001</v>
      </c>
      <c r="L16" s="190">
        <f t="shared" si="7"/>
        <v>-27428.939999997616</v>
      </c>
      <c r="M16" s="192">
        <f t="shared" si="2"/>
        <v>-4.8303288868767336E-4</v>
      </c>
      <c r="N16" s="189">
        <f>'2018'!J16</f>
        <v>16425170.310000001</v>
      </c>
      <c r="O16" s="189">
        <f>+INDEX('2018'!$1:$1048576,MATCH(CONCATENATE('Analitika - 2018'!$A16,"p"),'2018'!$A:$A,0),MATCH('Analitika - 2018'!$O$6,'2018'!$100:$100,0))</f>
        <v>17556372.154467821</v>
      </c>
      <c r="P16" s="190">
        <f t="shared" si="3"/>
        <v>-1131201.8444678206</v>
      </c>
      <c r="Q16" s="191">
        <f t="shared" si="4"/>
        <v>-6.4432551014245165E-2</v>
      </c>
      <c r="R16" s="189">
        <f>'2017'!J16</f>
        <v>15647198.060000001</v>
      </c>
      <c r="S16" s="190">
        <f t="shared" si="5"/>
        <v>777972.25</v>
      </c>
      <c r="T16" s="192">
        <f t="shared" si="6"/>
        <v>4.9719588581727203E-2</v>
      </c>
    </row>
    <row r="17" spans="1:20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f>+SUMPRODUCT(('2018'!$G17:$R17)*('2018'!$G$5:$R$5&lt;=Master!$B$3)*($A17='2018'!$A$10:$A$65))</f>
        <v>7318192.1399999997</v>
      </c>
      <c r="H17" s="189">
        <f>+SUMPRODUCT(('2018'!$G111:$R111)*('2018'!$G$5:$R$5&lt;=Master!$B$3))</f>
        <v>7333943.5238446072</v>
      </c>
      <c r="I17" s="190">
        <f t="shared" si="0"/>
        <v>-15751.38384460751</v>
      </c>
      <c r="J17" s="191">
        <f t="shared" si="1"/>
        <v>-2.1477372703233577E-3</v>
      </c>
      <c r="K17" s="189">
        <f>+SUMPRODUCT(('2017'!$G17:$R17)*('2017'!$G$5:$R$5&lt;=Master!$B$3))</f>
        <v>6902627.8400000008</v>
      </c>
      <c r="L17" s="190">
        <f t="shared" si="7"/>
        <v>415564.29999999888</v>
      </c>
      <c r="M17" s="192">
        <f t="shared" si="2"/>
        <v>6.020378175277652E-2</v>
      </c>
      <c r="N17" s="189">
        <f>'2018'!J17</f>
        <v>2192466.4500000002</v>
      </c>
      <c r="O17" s="189">
        <f>+INDEX('2018'!$1:$1048576,MATCH(CONCATENATE('Analitika - 2018'!$A17,"p"),'2018'!$A:$A,0),MATCH('Analitika - 2018'!$O$6,'2018'!$100:$100,0))</f>
        <v>2103438.3700065464</v>
      </c>
      <c r="P17" s="190">
        <f t="shared" si="3"/>
        <v>89028.079993453808</v>
      </c>
      <c r="Q17" s="191">
        <f t="shared" si="4"/>
        <v>4.2325024237898967E-2</v>
      </c>
      <c r="R17" s="189">
        <f>'2017'!J17</f>
        <v>2007545.03</v>
      </c>
      <c r="S17" s="190">
        <f t="shared" si="5"/>
        <v>184921.42000000016</v>
      </c>
      <c r="T17" s="192">
        <f t="shared" si="6"/>
        <v>9.2113211527813155E-2</v>
      </c>
    </row>
    <row r="18" spans="1:20">
      <c r="A18" s="176">
        <v>7118</v>
      </c>
      <c r="B18" s="468" t="str">
        <f>+VLOOKUP($A18,Master!$D$25:$G$223,4,FALSE)</f>
        <v>Ostali državni porezi</v>
      </c>
      <c r="C18" s="469"/>
      <c r="D18" s="469"/>
      <c r="E18" s="469"/>
      <c r="F18" s="469"/>
      <c r="G18" s="189">
        <f>+SUMPRODUCT(('2018'!$G18:$R18)*('2018'!$G$5:$R$5&lt;=Master!$B$3)*($A18='2018'!$A$10:$A$65))</f>
        <v>2727787.5700000003</v>
      </c>
      <c r="H18" s="189">
        <f>+SUMPRODUCT(('2018'!$G112:$R112)*('2018'!$G$5:$R$5&lt;=Master!$B$3))</f>
        <v>3081392.6449463647</v>
      </c>
      <c r="I18" s="190">
        <f t="shared" si="0"/>
        <v>-353605.07494636439</v>
      </c>
      <c r="J18" s="191">
        <f t="shared" si="1"/>
        <v>-0.11475495520711843</v>
      </c>
      <c r="K18" s="189">
        <f>+SUMPRODUCT(('2017'!$G18:$R18)*('2017'!$G$5:$R$5&lt;=Master!$B$3))</f>
        <v>2821098.78</v>
      </c>
      <c r="L18" s="190">
        <f t="shared" si="7"/>
        <v>-93311.209999999497</v>
      </c>
      <c r="M18" s="192">
        <f t="shared" si="2"/>
        <v>-3.3076193808427856E-2</v>
      </c>
      <c r="N18" s="189">
        <f>'2018'!J18</f>
        <v>726283.06</v>
      </c>
      <c r="O18" s="189">
        <f>+INDEX('2018'!$1:$1048576,MATCH(CONCATENATE('Analitika - 2018'!$A18,"p"),'2018'!$A:$A,0),MATCH('Analitika - 2018'!$O$6,'2018'!$100:$100,0))</f>
        <v>928847.45543220767</v>
      </c>
      <c r="P18" s="190">
        <f t="shared" si="3"/>
        <v>-202564.39543220762</v>
      </c>
      <c r="Q18" s="191">
        <f t="shared" si="4"/>
        <v>-0.2180814451797698</v>
      </c>
      <c r="R18" s="189">
        <f>'2017'!J18</f>
        <v>850385.11</v>
      </c>
      <c r="S18" s="190">
        <f t="shared" si="5"/>
        <v>-124102.04999999993</v>
      </c>
      <c r="T18" s="192">
        <f t="shared" si="6"/>
        <v>-0.14593629232289818</v>
      </c>
    </row>
    <row r="19" spans="1:20">
      <c r="A19" s="176">
        <v>712</v>
      </c>
      <c r="B19" s="478" t="str">
        <f>+VLOOKUP($A19,Master!$D$25:$G$223,4,FALSE)</f>
        <v>Doprinosi</v>
      </c>
      <c r="C19" s="479"/>
      <c r="D19" s="479"/>
      <c r="E19" s="479"/>
      <c r="F19" s="479"/>
      <c r="G19" s="195">
        <f>+SUMPRODUCT(('2018'!$G19:$R19)*('2018'!$G$5:$R$5&lt;=Master!$B$3)*($A19='2018'!$A$10:$A$65))</f>
        <v>135593999.03</v>
      </c>
      <c r="H19" s="195">
        <f>+SUMPRODUCT(('2018'!$G113:$R113)*('2018'!$G$5:$R$5&lt;=Master!$B$3))</f>
        <v>128935560.77724904</v>
      </c>
      <c r="I19" s="196">
        <f t="shared" si="0"/>
        <v>6658438.252750963</v>
      </c>
      <c r="J19" s="197">
        <f t="shared" si="1"/>
        <v>5.1641596876863094E-2</v>
      </c>
      <c r="K19" s="195">
        <f>+SUMPRODUCT(('2017'!$G19:$R19)*('2017'!$G$5:$R$5&lt;=Master!$B$3))</f>
        <v>121677886.16</v>
      </c>
      <c r="L19" s="196">
        <f t="shared" si="7"/>
        <v>13916112.870000005</v>
      </c>
      <c r="M19" s="198">
        <f t="shared" si="2"/>
        <v>0.11436846340099183</v>
      </c>
      <c r="N19" s="195">
        <f>'2018'!J19</f>
        <v>41029948</v>
      </c>
      <c r="O19" s="195">
        <f>+INDEX('2018'!$1:$1048576,MATCH(CONCATENATE('Analitika - 2018'!$A19,"p"),'2018'!$A:$A,0),MATCH('Analitika - 2018'!$O$6,'2018'!$100:$100,0))</f>
        <v>37910256.538797826</v>
      </c>
      <c r="P19" s="196">
        <f t="shared" si="3"/>
        <v>3119691.4612021744</v>
      </c>
      <c r="Q19" s="197">
        <f t="shared" si="4"/>
        <v>8.2291489059417078E-2</v>
      </c>
      <c r="R19" s="195">
        <f>'2017'!J19</f>
        <v>35977730.460000001</v>
      </c>
      <c r="S19" s="196">
        <f t="shared" si="5"/>
        <v>5052217.5399999991</v>
      </c>
      <c r="T19" s="198">
        <f t="shared" si="6"/>
        <v>0.14042624355132816</v>
      </c>
    </row>
    <row r="20" spans="1:20">
      <c r="A20" s="176">
        <v>7121</v>
      </c>
      <c r="B20" s="468" t="str">
        <f>+VLOOKUP($A20,Master!$D$25:$G$223,4,FALSE)</f>
        <v>Doprinosi za penzijsko i invalidsko osiguranje</v>
      </c>
      <c r="C20" s="469"/>
      <c r="D20" s="469"/>
      <c r="E20" s="469"/>
      <c r="F20" s="469"/>
      <c r="G20" s="189">
        <f>+SUMPRODUCT(('2018'!$G20:$R20)*('2018'!$G$5:$R$5&lt;=Master!$B$3)*($A20='2018'!$A$10:$A$65))</f>
        <v>82413612.469999999</v>
      </c>
      <c r="H20" s="189">
        <f>+SUMPRODUCT(('2018'!$G114:$R114)*('2018'!$G$5:$R$5&lt;=Master!$B$3))</f>
        <v>77129355.16671674</v>
      </c>
      <c r="I20" s="190">
        <f t="shared" si="0"/>
        <v>5284257.3032832593</v>
      </c>
      <c r="J20" s="191">
        <f t="shared" si="1"/>
        <v>6.851162299828939E-2</v>
      </c>
      <c r="K20" s="189">
        <f>+SUMPRODUCT(('2017'!$G20:$R20)*('2017'!$G$5:$R$5&lt;=Master!$B$3))</f>
        <v>73172898.450000003</v>
      </c>
      <c r="L20" s="190">
        <f t="shared" si="7"/>
        <v>9240714.0199999958</v>
      </c>
      <c r="M20" s="192">
        <f t="shared" si="2"/>
        <v>0.12628601867280542</v>
      </c>
      <c r="N20" s="189">
        <f>'2018'!J20</f>
        <v>24891690.100000001</v>
      </c>
      <c r="O20" s="189">
        <f>+INDEX('2018'!$1:$1048576,MATCH(CONCATENATE('Analitika - 2018'!$A20,"p"),'2018'!$A:$A,0),MATCH('Analitika - 2018'!$O$6,'2018'!$100:$100,0))</f>
        <v>22345094.772705231</v>
      </c>
      <c r="P20" s="190">
        <f t="shared" si="3"/>
        <v>2546595.3272947706</v>
      </c>
      <c r="Q20" s="191">
        <f t="shared" si="4"/>
        <v>0.11396663801155427</v>
      </c>
      <c r="R20" s="189">
        <f>'2017'!J20</f>
        <v>21639290.52</v>
      </c>
      <c r="S20" s="190">
        <f t="shared" si="5"/>
        <v>3252399.5800000019</v>
      </c>
      <c r="T20" s="192">
        <f t="shared" si="6"/>
        <v>0.15030065689972538</v>
      </c>
    </row>
    <row r="21" spans="1:20">
      <c r="A21" s="176">
        <v>7122</v>
      </c>
      <c r="B21" s="468" t="str">
        <f>+VLOOKUP($A21,Master!$D$25:$G$223,4,FALSE)</f>
        <v>Doprinosi za zdravstveno osiguranje</v>
      </c>
      <c r="C21" s="469"/>
      <c r="D21" s="469"/>
      <c r="E21" s="469"/>
      <c r="F21" s="469"/>
      <c r="G21" s="189">
        <f>+SUMPRODUCT(('2018'!$G21:$R21)*('2018'!$G$5:$R$5&lt;=Master!$B$3)*($A21='2018'!$A$10:$A$65))</f>
        <v>46428444.410000004</v>
      </c>
      <c r="H21" s="189">
        <f>+SUMPRODUCT(('2018'!$G115:$R115)*('2018'!$G$5:$R$5&lt;=Master!$B$3))</f>
        <v>45212282.878493384</v>
      </c>
      <c r="I21" s="190">
        <f t="shared" si="0"/>
        <v>1216161.5315066203</v>
      </c>
      <c r="J21" s="191">
        <f t="shared" si="1"/>
        <v>2.6898918923758286E-2</v>
      </c>
      <c r="K21" s="189">
        <f>+SUMPRODUCT(('2017'!$G21:$R21)*('2017'!$G$5:$R$5&lt;=Master!$B$3))</f>
        <v>42095505.019999996</v>
      </c>
      <c r="L21" s="190">
        <f t="shared" si="7"/>
        <v>4332939.390000008</v>
      </c>
      <c r="M21" s="192">
        <f t="shared" si="2"/>
        <v>0.10293116540451019</v>
      </c>
      <c r="N21" s="189">
        <f>'2018'!J21</f>
        <v>14077229.140000001</v>
      </c>
      <c r="O21" s="189">
        <f>+INDEX('2018'!$1:$1048576,MATCH(CONCATENATE('Analitika - 2018'!$A21,"p"),'2018'!$A:$A,0),MATCH('Analitika - 2018'!$O$6,'2018'!$100:$100,0))</f>
        <v>13479819.286998</v>
      </c>
      <c r="P21" s="190">
        <f t="shared" si="3"/>
        <v>597409.8530020006</v>
      </c>
      <c r="Q21" s="191">
        <f t="shared" si="4"/>
        <v>4.4318832491933691E-2</v>
      </c>
      <c r="R21" s="189">
        <f>'2017'!J21</f>
        <v>12438084.859999999</v>
      </c>
      <c r="S21" s="190">
        <f t="shared" si="5"/>
        <v>1639144.2800000012</v>
      </c>
      <c r="T21" s="192">
        <f t="shared" si="6"/>
        <v>0.13178429786014512</v>
      </c>
    </row>
    <row r="22" spans="1:20">
      <c r="A22" s="176">
        <v>7123</v>
      </c>
      <c r="B22" s="468" t="str">
        <f>+VLOOKUP($A22,Master!$D$25:$G$223,4,FALSE)</f>
        <v>Doprinosi za osiguranje od nezaposlenosti</v>
      </c>
      <c r="C22" s="469"/>
      <c r="D22" s="469"/>
      <c r="E22" s="469"/>
      <c r="F22" s="469"/>
      <c r="G22" s="189">
        <f>+SUMPRODUCT(('2018'!$G22:$R22)*('2018'!$G$5:$R$5&lt;=Master!$B$3)*($A22='2018'!$A$10:$A$65))</f>
        <v>3479912.97</v>
      </c>
      <c r="H22" s="189">
        <f>+SUMPRODUCT(('2018'!$G116:$R116)*('2018'!$G$5:$R$5&lt;=Master!$B$3))</f>
        <v>3410869.2044997718</v>
      </c>
      <c r="I22" s="190">
        <f t="shared" si="0"/>
        <v>69043.765500228386</v>
      </c>
      <c r="J22" s="191">
        <f t="shared" si="1"/>
        <v>2.0242278832956373E-2</v>
      </c>
      <c r="K22" s="189">
        <f>+SUMPRODUCT(('2017'!$G22:$R22)*('2017'!$G$5:$R$5&lt;=Master!$B$3))</f>
        <v>3350518.4</v>
      </c>
      <c r="L22" s="190">
        <f t="shared" si="7"/>
        <v>129394.5700000003</v>
      </c>
      <c r="M22" s="192">
        <f t="shared" si="2"/>
        <v>3.8619268588407252E-2</v>
      </c>
      <c r="N22" s="189">
        <f>'2018'!J22</f>
        <v>1036934.31</v>
      </c>
      <c r="O22" s="189">
        <f>+INDEX('2018'!$1:$1048576,MATCH(CONCATENATE('Analitika - 2018'!$A22,"p"),'2018'!$A:$A,0),MATCH('Analitika - 2018'!$O$6,'2018'!$100:$100,0))</f>
        <v>1096195.1509071102</v>
      </c>
      <c r="P22" s="190">
        <f t="shared" si="3"/>
        <v>-59260.840907110134</v>
      </c>
      <c r="Q22" s="191">
        <f t="shared" si="4"/>
        <v>-5.4060484447565171E-2</v>
      </c>
      <c r="R22" s="189">
        <f>'2017'!J22</f>
        <v>991786.18</v>
      </c>
      <c r="S22" s="190">
        <f t="shared" si="5"/>
        <v>45148.130000000005</v>
      </c>
      <c r="T22" s="192">
        <f t="shared" si="6"/>
        <v>4.5522039841289219E-2</v>
      </c>
    </row>
    <row r="23" spans="1:20">
      <c r="A23" s="176">
        <v>7124</v>
      </c>
      <c r="B23" s="468" t="str">
        <f>+VLOOKUP($A23,Master!$D$25:$G$223,4,FALSE)</f>
        <v>Ostali doprinosi</v>
      </c>
      <c r="C23" s="469"/>
      <c r="D23" s="469"/>
      <c r="E23" s="469"/>
      <c r="F23" s="469"/>
      <c r="G23" s="189">
        <f>+SUMPRODUCT(('2018'!$G23:$R23)*('2018'!$G$5:$R$5&lt;=Master!$B$3)*($A23='2018'!$A$10:$A$65))</f>
        <v>3272029.1799999997</v>
      </c>
      <c r="H23" s="189">
        <f>+SUMPRODUCT(('2018'!$G117:$R117)*('2018'!$G$5:$R$5&lt;=Master!$B$3))</f>
        <v>3183053.5275391527</v>
      </c>
      <c r="I23" s="190">
        <f t="shared" si="0"/>
        <v>88975.65246084705</v>
      </c>
      <c r="J23" s="191">
        <f t="shared" si="1"/>
        <v>2.7952923722786016E-2</v>
      </c>
      <c r="K23" s="189">
        <f>+SUMPRODUCT(('2017'!$G23:$R23)*('2017'!$G$5:$R$5&lt;=Master!$B$3))</f>
        <v>3058964.29</v>
      </c>
      <c r="L23" s="190">
        <f t="shared" si="7"/>
        <v>213064.88999999966</v>
      </c>
      <c r="M23" s="192">
        <f t="shared" si="2"/>
        <v>6.9652624156655296E-2</v>
      </c>
      <c r="N23" s="189">
        <f>'2018'!J23</f>
        <v>1024094.45</v>
      </c>
      <c r="O23" s="189">
        <f>+INDEX('2018'!$1:$1048576,MATCH(CONCATENATE('Analitika - 2018'!$A23,"p"),'2018'!$A:$A,0),MATCH('Analitika - 2018'!$O$6,'2018'!$100:$100,0))</f>
        <v>989147.32818748779</v>
      </c>
      <c r="P23" s="190">
        <f t="shared" si="3"/>
        <v>34947.121812512167</v>
      </c>
      <c r="Q23" s="191">
        <f t="shared" si="4"/>
        <v>3.5330552705984841E-2</v>
      </c>
      <c r="R23" s="189">
        <f>'2017'!J23</f>
        <v>908568.9</v>
      </c>
      <c r="S23" s="190">
        <f t="shared" si="5"/>
        <v>115525.54999999993</v>
      </c>
      <c r="T23" s="192">
        <f t="shared" si="6"/>
        <v>0.12715111644257249</v>
      </c>
    </row>
    <row r="24" spans="1:20">
      <c r="A24" s="176">
        <v>713</v>
      </c>
      <c r="B24" s="470" t="str">
        <f>+VLOOKUP($A24,Master!$D$25:$G$223,4,FALSE)</f>
        <v>Takse</v>
      </c>
      <c r="C24" s="471"/>
      <c r="D24" s="471"/>
      <c r="E24" s="471"/>
      <c r="F24" s="471"/>
      <c r="G24" s="195">
        <f>+SUMPRODUCT(('2018'!$G24:$R24)*('2018'!$G$5:$R$5&lt;=Master!$B$3)*($A24='2018'!$A$10:$A$65))</f>
        <v>3880714.96</v>
      </c>
      <c r="H24" s="201">
        <f>+SUMPRODUCT(('2018'!$G118:$R118)*('2018'!$G$5:$R$5&lt;=Master!$B$3))</f>
        <v>4444858.1653841957</v>
      </c>
      <c r="I24" s="202">
        <f t="shared" si="0"/>
        <v>-564143.20538419578</v>
      </c>
      <c r="J24" s="203">
        <f t="shared" si="1"/>
        <v>-0.12692040654472347</v>
      </c>
      <c r="K24" s="201">
        <f>+SUMPRODUCT(('2017'!$G24:$R24)*('2017'!$G$5:$R$5&lt;=Master!$B$3))</f>
        <v>3279457.29</v>
      </c>
      <c r="L24" s="202">
        <f t="shared" si="7"/>
        <v>601257.66999999993</v>
      </c>
      <c r="M24" s="204">
        <f t="shared" si="2"/>
        <v>0.18334060084679438</v>
      </c>
      <c r="N24" s="201">
        <f>'2018'!J24</f>
        <v>1106857.49</v>
      </c>
      <c r="O24" s="201">
        <f>+INDEX('2018'!$1:$1048576,MATCH(CONCATENATE('Analitika - 2018'!$A24,"p"),'2018'!$A:$A,0),MATCH('Analitika - 2018'!$O$6,'2018'!$100:$100,0))</f>
        <v>1310324.9067236972</v>
      </c>
      <c r="P24" s="202">
        <f t="shared" si="3"/>
        <v>-203467.41672369721</v>
      </c>
      <c r="Q24" s="203">
        <f t="shared" si="4"/>
        <v>-0.15528012608143271</v>
      </c>
      <c r="R24" s="201">
        <f>'2017'!J24</f>
        <v>900446.92</v>
      </c>
      <c r="S24" s="202">
        <f t="shared" si="5"/>
        <v>206410.56999999995</v>
      </c>
      <c r="T24" s="204">
        <f t="shared" si="6"/>
        <v>0.2292312466347266</v>
      </c>
    </row>
    <row r="25" spans="1:20">
      <c r="A25" s="176">
        <v>714</v>
      </c>
      <c r="B25" s="470" t="str">
        <f>+VLOOKUP($A25,Master!$D$25:$G$223,4,FALSE)</f>
        <v>Naknade</v>
      </c>
      <c r="C25" s="471"/>
      <c r="D25" s="471"/>
      <c r="E25" s="471"/>
      <c r="F25" s="471"/>
      <c r="G25" s="195">
        <f>+SUMPRODUCT(('2018'!$G25:$R25)*('2018'!$G$5:$R$5&lt;=Master!$B$3)*($A25='2018'!$A$10:$A$65))</f>
        <v>8051376.8699999992</v>
      </c>
      <c r="H25" s="201">
        <f>+SUMPRODUCT(('2018'!$G119:$R119)*('2018'!$G$5:$R$5&lt;=Master!$B$3))</f>
        <v>6925356.5811472032</v>
      </c>
      <c r="I25" s="202">
        <f t="shared" si="0"/>
        <v>1126020.288852796</v>
      </c>
      <c r="J25" s="203">
        <f t="shared" si="1"/>
        <v>0.16259383551716944</v>
      </c>
      <c r="K25" s="201">
        <f>+SUMPRODUCT(('2017'!$G25:$R25)*('2017'!$G$5:$R$5&lt;=Master!$B$3))</f>
        <v>6421819.1100000003</v>
      </c>
      <c r="L25" s="202">
        <f t="shared" si="7"/>
        <v>1629557.7599999988</v>
      </c>
      <c r="M25" s="204">
        <f t="shared" si="2"/>
        <v>0.25375329514692591</v>
      </c>
      <c r="N25" s="201">
        <f>'2018'!J25</f>
        <v>2389766.7799999998</v>
      </c>
      <c r="O25" s="201">
        <f>+INDEX('2018'!$1:$1048576,MATCH(CONCATENATE('Analitika - 2018'!$A25,"p"),'2018'!$A:$A,0),MATCH('Analitika - 2018'!$O$6,'2018'!$100:$100,0))</f>
        <v>2221665.9925666279</v>
      </c>
      <c r="P25" s="202">
        <f t="shared" si="3"/>
        <v>168100.78743337188</v>
      </c>
      <c r="Q25" s="203">
        <f t="shared" si="4"/>
        <v>7.5664293370746316E-2</v>
      </c>
      <c r="R25" s="201">
        <f>'2017'!J25</f>
        <v>1901163.79</v>
      </c>
      <c r="S25" s="202">
        <f t="shared" si="5"/>
        <v>488602.98999999976</v>
      </c>
      <c r="T25" s="204">
        <f t="shared" si="6"/>
        <v>0.25700204925531422</v>
      </c>
    </row>
    <row r="26" spans="1:20">
      <c r="A26" s="176">
        <v>715</v>
      </c>
      <c r="B26" s="470" t="str">
        <f>+VLOOKUP($A26,Master!$D$25:$G$223,4,FALSE)</f>
        <v>Ostali prihodi</v>
      </c>
      <c r="C26" s="471"/>
      <c r="D26" s="471"/>
      <c r="E26" s="471"/>
      <c r="F26" s="471"/>
      <c r="G26" s="195">
        <f>+SUMPRODUCT(('2018'!$G26:$R26)*('2018'!$G$5:$R$5&lt;=Master!$B$3)*($A26='2018'!$A$10:$A$65))</f>
        <v>11698364.970000001</v>
      </c>
      <c r="H26" s="201">
        <f>+SUMPRODUCT(('2018'!$G120:$R120)*('2018'!$G$5:$R$5&lt;=Master!$B$3))</f>
        <v>10228128.540942136</v>
      </c>
      <c r="I26" s="202">
        <f t="shared" si="0"/>
        <v>1470236.4290578645</v>
      </c>
      <c r="J26" s="203">
        <f t="shared" si="1"/>
        <v>0.14374442237137131</v>
      </c>
      <c r="K26" s="201">
        <f>+SUMPRODUCT(('2017'!$G26:$R26)*('2017'!$G$5:$R$5&lt;=Master!$B$3))</f>
        <v>9687508.2199999988</v>
      </c>
      <c r="L26" s="202">
        <f t="shared" si="7"/>
        <v>2010856.7500000019</v>
      </c>
      <c r="M26" s="204">
        <f t="shared" si="2"/>
        <v>0.2075721335491163</v>
      </c>
      <c r="N26" s="201">
        <f>'2018'!J26</f>
        <v>5507068.6600000001</v>
      </c>
      <c r="O26" s="201">
        <f>+INDEX('2018'!$1:$1048576,MATCH(CONCATENATE('Analitika - 2018'!$A26,"p"),'2018'!$A:$A,0),MATCH('Analitika - 2018'!$O$6,'2018'!$100:$100,0))</f>
        <v>3298254.427910096</v>
      </c>
      <c r="P26" s="202">
        <f t="shared" si="3"/>
        <v>2208814.2320899041</v>
      </c>
      <c r="Q26" s="203">
        <f t="shared" si="4"/>
        <v>0.66969188713846317</v>
      </c>
      <c r="R26" s="201">
        <f>'2017'!J26</f>
        <v>3537625.59</v>
      </c>
      <c r="S26" s="202">
        <f t="shared" si="5"/>
        <v>1969443.0700000003</v>
      </c>
      <c r="T26" s="204">
        <f t="shared" si="6"/>
        <v>0.55671325862384458</v>
      </c>
    </row>
    <row r="27" spans="1:20">
      <c r="A27" s="176">
        <v>73</v>
      </c>
      <c r="B27" s="470" t="str">
        <f>+VLOOKUP($A27,Master!$D$25:$G$223,4,FALSE)</f>
        <v>Primici od otplate kredita i sredstva prenesena iz prethodne godine</v>
      </c>
      <c r="C27" s="471"/>
      <c r="D27" s="471"/>
      <c r="E27" s="471"/>
      <c r="F27" s="471"/>
      <c r="G27" s="195">
        <f>+SUMPRODUCT(('2018'!$G27:$R27)*('2018'!$G$5:$R$5&lt;=Master!$B$3)*($A27='2018'!$A$10:$A$65))</f>
        <v>857501.53</v>
      </c>
      <c r="H27" s="201">
        <f>+SUMPRODUCT(('2018'!$G121:$R121)*('2018'!$G$5:$R$5&lt;=Master!$B$3))</f>
        <v>443092.15037099173</v>
      </c>
      <c r="I27" s="202">
        <f t="shared" si="0"/>
        <v>414409.3796290083</v>
      </c>
      <c r="J27" s="203">
        <f t="shared" si="1"/>
        <v>0.93526680461847955</v>
      </c>
      <c r="K27" s="201">
        <f>+SUMPRODUCT(('2017'!$G27:$R27)*('2017'!$G$5:$R$5&lt;=Master!$B$3))</f>
        <v>843723.89</v>
      </c>
      <c r="L27" s="202">
        <f t="shared" si="7"/>
        <v>13777.640000000014</v>
      </c>
      <c r="M27" s="204">
        <f t="shared" si="2"/>
        <v>1.6329560136077337E-2</v>
      </c>
      <c r="N27" s="201">
        <f>'2018'!J27</f>
        <v>425644.44</v>
      </c>
      <c r="O27" s="201">
        <f>+INDEX('2018'!$1:$1048576,MATCH(CONCATENATE('Analitika - 2018'!$A27,"p"),'2018'!$A:$A,0),MATCH('Analitika - 2018'!$O$6,'2018'!$100:$100,0))</f>
        <v>77400.581818860912</v>
      </c>
      <c r="P27" s="202">
        <f t="shared" si="3"/>
        <v>348243.8581811391</v>
      </c>
      <c r="Q27" s="203">
        <f t="shared" si="4"/>
        <v>4.4992408325318207</v>
      </c>
      <c r="R27" s="201">
        <f>'2017'!J27</f>
        <v>67133.97</v>
      </c>
      <c r="S27" s="202">
        <f t="shared" si="5"/>
        <v>358510.47</v>
      </c>
      <c r="T27" s="204">
        <f t="shared" si="6"/>
        <v>5.3402244794997227</v>
      </c>
    </row>
    <row r="28" spans="1:20" ht="15.75" thickBot="1">
      <c r="A28" s="176">
        <v>74</v>
      </c>
      <c r="B28" s="472" t="str">
        <f>+VLOOKUP($A28,Master!$D$25:$G$223,4,FALSE)</f>
        <v>Donacije i transferi</v>
      </c>
      <c r="C28" s="473"/>
      <c r="D28" s="473"/>
      <c r="E28" s="473"/>
      <c r="F28" s="473"/>
      <c r="G28" s="195">
        <f>+SUMPRODUCT(('2018'!$G28:$R28)*('2018'!$G$5:$R$5&lt;=Master!$B$3)*($A28='2018'!$A$10:$A$65))</f>
        <v>11998847.720000001</v>
      </c>
      <c r="H28" s="201">
        <f>+SUMPRODUCT(('2018'!$G122:$R122)*('2018'!$G$5:$R$5&lt;=Master!$B$3))</f>
        <v>8988220.0026486907</v>
      </c>
      <c r="I28" s="202">
        <f t="shared" si="0"/>
        <v>3010627.71735131</v>
      </c>
      <c r="J28" s="203">
        <f t="shared" si="1"/>
        <v>0.33495260646314007</v>
      </c>
      <c r="K28" s="201">
        <f>+SUMPRODUCT(('2017'!$G28:$R28)*('2017'!$G$5:$R$5&lt;=Master!$B$3))</f>
        <v>4301466.5500000007</v>
      </c>
      <c r="L28" s="202">
        <f t="shared" si="7"/>
        <v>7697381.1699999999</v>
      </c>
      <c r="M28" s="204">
        <f t="shared" si="2"/>
        <v>1.7894783280367479</v>
      </c>
      <c r="N28" s="201">
        <f>'2018'!J28</f>
        <v>8493510.6400000006</v>
      </c>
      <c r="O28" s="201">
        <f>+INDEX('2018'!$1:$1048576,MATCH(CONCATENATE('Analitika - 2018'!$A28,"p"),'2018'!$A:$A,0),MATCH('Analitika - 2018'!$O$6,'2018'!$100:$100,0))</f>
        <v>4721592.536962891</v>
      </c>
      <c r="P28" s="202">
        <f t="shared" si="3"/>
        <v>3771918.1030371096</v>
      </c>
      <c r="Q28" s="203">
        <f t="shared" si="4"/>
        <v>0.79886565253327668</v>
      </c>
      <c r="R28" s="201">
        <f>'2017'!J28</f>
        <v>849572.77</v>
      </c>
      <c r="S28" s="202">
        <f t="shared" si="5"/>
        <v>7643937.870000001</v>
      </c>
      <c r="T28" s="204">
        <f t="shared" si="6"/>
        <v>8.9973903824624699</v>
      </c>
    </row>
    <row r="29" spans="1:20" ht="15.7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+SUMPRODUCT(('2018'!$G29:$R29)*('2018'!$G$5:$R$5&lt;=Master!$B$3)*($A29='2018'!$A$10:$A$65))</f>
        <v>544539766.95000005</v>
      </c>
      <c r="H29" s="177">
        <f>+SUMPRODUCT(('2018'!$G123:$R123)*('2018'!$G$5:$R$5&lt;=Master!$B$3))</f>
        <v>586308012.5177778</v>
      </c>
      <c r="I29" s="178">
        <f t="shared" si="0"/>
        <v>-41768245.567777753</v>
      </c>
      <c r="J29" s="179">
        <f t="shared" si="1"/>
        <v>-7.1239424800648266E-2</v>
      </c>
      <c r="K29" s="177">
        <f>+SUMPRODUCT(('2017'!$G29:$R29)*('2017'!$G$5:$R$5&lt;=Master!$B$3))</f>
        <v>509343741.07999992</v>
      </c>
      <c r="L29" s="178">
        <f t="shared" si="7"/>
        <v>35196025.870000124</v>
      </c>
      <c r="M29" s="180">
        <f t="shared" si="2"/>
        <v>6.910073302436448E-2</v>
      </c>
      <c r="N29" s="177">
        <f>'2018'!J29</f>
        <v>147014644.35000002</v>
      </c>
      <c r="O29" s="177">
        <f>+INDEX('2018'!$1:$1048576,MATCH(CONCATENATE('Analitika - 2018'!$A29,"p"),'2018'!$A:$A,0),MATCH('Analitika - 2018'!$O$6,'2018'!$100:$100,0))</f>
        <v>148999586.37577778</v>
      </c>
      <c r="P29" s="178">
        <f t="shared" si="3"/>
        <v>-1984942.0257777572</v>
      </c>
      <c r="Q29" s="179">
        <f t="shared" si="4"/>
        <v>-1.3321795543591142E-2</v>
      </c>
      <c r="R29" s="177">
        <f>'2017'!J29</f>
        <v>141189204.78999999</v>
      </c>
      <c r="S29" s="178">
        <f t="shared" si="5"/>
        <v>5825439.5600000322</v>
      </c>
      <c r="T29" s="180">
        <f t="shared" si="6"/>
        <v>4.1259808557351008E-2</v>
      </c>
    </row>
    <row r="30" spans="1:20" ht="15.75" thickBot="1">
      <c r="A30" s="176">
        <v>41</v>
      </c>
      <c r="B30" s="474" t="str">
        <f>+VLOOKUP($A30,Master!$D$25:$G$223,4,FALSE)</f>
        <v>Tekući izdaci</v>
      </c>
      <c r="C30" s="475"/>
      <c r="D30" s="475"/>
      <c r="E30" s="475"/>
      <c r="F30" s="475"/>
      <c r="G30" s="343">
        <f>+SUMPRODUCT(('2018'!$G30:$R30)*('2018'!$G$5:$R$5&lt;=Master!$B$3)*($A30='2018'!$A$10:$A$65))</f>
        <v>499938800.04000008</v>
      </c>
      <c r="H30" s="343">
        <f>+SUMPRODUCT(('2018'!$G124:$R124)*('2018'!$G$5:$R$5&lt;=Master!$B$3))</f>
        <v>500419679.18444449</v>
      </c>
      <c r="I30" s="208">
        <f t="shared" si="0"/>
        <v>-480879.14444440603</v>
      </c>
      <c r="J30" s="209">
        <f t="shared" si="1"/>
        <v>-9.6095170603227587E-4</v>
      </c>
      <c r="K30" s="390">
        <f>+SUMPRODUCT(('2017'!$G30:$R30)*('2017'!$G$5:$R$5&lt;=Master!$B$3))</f>
        <v>493461168.54999995</v>
      </c>
      <c r="L30" s="208">
        <f t="shared" si="7"/>
        <v>6477631.4900001287</v>
      </c>
      <c r="M30" s="210">
        <f t="shared" si="2"/>
        <v>1.3126932579181849E-2</v>
      </c>
      <c r="N30" s="343">
        <f>'2018'!J30</f>
        <v>118239152.87000002</v>
      </c>
      <c r="O30" s="343">
        <f>+INDEX('2018'!$1:$1048576,MATCH(CONCATENATE('Analitika - 2018'!$A30,"p"),'2018'!$A:$A,0),MATCH('Analitika - 2018'!$O$6,'2018'!$100:$100,0))</f>
        <v>127527503.04244445</v>
      </c>
      <c r="P30" s="208">
        <f t="shared" si="3"/>
        <v>-9288350.172444433</v>
      </c>
      <c r="Q30" s="209">
        <f t="shared" si="4"/>
        <v>-7.283409422164433E-2</v>
      </c>
      <c r="R30" s="343">
        <f>'2017'!J30</f>
        <v>134270687.53</v>
      </c>
      <c r="S30" s="208">
        <f t="shared" si="5"/>
        <v>-16031534.659999982</v>
      </c>
      <c r="T30" s="210">
        <f t="shared" si="6"/>
        <v>-0.11939712944731939</v>
      </c>
    </row>
    <row r="31" spans="1:20">
      <c r="A31" s="176">
        <v>40</v>
      </c>
      <c r="B31" s="476" t="str">
        <f>+VLOOKUP($A31,Master!$D$25:$G$223,4,FALSE)</f>
        <v>Tekući budžetski izdaci</v>
      </c>
      <c r="C31" s="477"/>
      <c r="D31" s="477"/>
      <c r="E31" s="477"/>
      <c r="F31" s="477"/>
      <c r="G31" s="392">
        <f>+SUMPRODUCT(('2018'!$G31:$R31)*('2018'!$G$5:$R$5&lt;=Master!$B$3)*($A31='2018'!$A$10:$A$65))</f>
        <v>255644187.63</v>
      </c>
      <c r="H31" s="392">
        <f>+SUMPRODUCT(('2018'!$G125:$R125)*('2018'!$G$5:$R$5&lt;=Master!$B$3))</f>
        <v>248168551.0917778</v>
      </c>
      <c r="I31" s="214">
        <f t="shared" si="0"/>
        <v>7475636.5382221937</v>
      </c>
      <c r="J31" s="215">
        <f t="shared" si="1"/>
        <v>3.0123222726386345E-2</v>
      </c>
      <c r="K31" s="391">
        <f>+SUMPRODUCT(('2017'!$G31:$R31)*('2017'!$G$5:$R$5&lt;=Master!$B$3))</f>
        <v>260035107.34999999</v>
      </c>
      <c r="L31" s="214">
        <f t="shared" si="7"/>
        <v>-4390919.7199999988</v>
      </c>
      <c r="M31" s="216">
        <f t="shared" si="2"/>
        <v>-1.6885872699065718E-2</v>
      </c>
      <c r="N31" s="392">
        <f>'2018'!J31</f>
        <v>56332511.320000008</v>
      </c>
      <c r="O31" s="392">
        <f>+INDEX('2018'!$1:$1048576,MATCH(CONCATENATE('Analitika - 2018'!$A31,"p"),'2018'!$A:$A,0),MATCH('Analitika - 2018'!$O$6,'2018'!$100:$100,0))</f>
        <v>62225471.106277786</v>
      </c>
      <c r="P31" s="214">
        <f t="shared" si="3"/>
        <v>-5892959.7862777784</v>
      </c>
      <c r="Q31" s="215">
        <f t="shared" si="4"/>
        <v>-9.4703337419702605E-2</v>
      </c>
      <c r="R31" s="392">
        <f>'2017'!J31</f>
        <v>70965970.75</v>
      </c>
      <c r="S31" s="214">
        <f t="shared" si="5"/>
        <v>-14633459.429999992</v>
      </c>
      <c r="T31" s="216">
        <f t="shared" si="6"/>
        <v>-0.20620389287072483</v>
      </c>
    </row>
    <row r="32" spans="1:20">
      <c r="A32" s="176">
        <v>411</v>
      </c>
      <c r="B32" s="468" t="str">
        <f>+VLOOKUP($A32,Master!$D$25:$G$223,4,FALSE)</f>
        <v>Bruto zarade i doprinosi na teret poslodavca</v>
      </c>
      <c r="C32" s="469"/>
      <c r="D32" s="469"/>
      <c r="E32" s="469"/>
      <c r="F32" s="469"/>
      <c r="G32" s="189">
        <f>+SUMPRODUCT(('2018'!$G32:$R32)*('2018'!$G$5:$R$5&lt;=Master!$B$3)*($A32='2018'!$A$10:$A$65))</f>
        <v>150341597.18000001</v>
      </c>
      <c r="H32" s="189">
        <f>+SUMPRODUCT(('2018'!$G126:$R126)*('2018'!$G$5:$R$5&lt;=Master!$B$3))</f>
        <v>146325920.03666666</v>
      </c>
      <c r="I32" s="190">
        <f t="shared" si="0"/>
        <v>4015677.1433333457</v>
      </c>
      <c r="J32" s="191">
        <f t="shared" si="1"/>
        <v>2.7443375324939678E-2</v>
      </c>
      <c r="K32" s="189">
        <f>+SUMPRODUCT(('2017'!$G32:$R32)*('2017'!$G$5:$R$5&lt;=Master!$B$3))</f>
        <v>145961441.25999999</v>
      </c>
      <c r="L32" s="190">
        <f t="shared" si="7"/>
        <v>4380155.9200000167</v>
      </c>
      <c r="M32" s="192">
        <f t="shared" si="2"/>
        <v>3.0008993349124768E-2</v>
      </c>
      <c r="N32" s="189">
        <f>'2018'!J32</f>
        <v>38350938.119999997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1769458.1108333319</v>
      </c>
      <c r="Q32" s="191">
        <f t="shared" si="4"/>
        <v>4.8370325924209201E-2</v>
      </c>
      <c r="R32" s="189">
        <f>'2017'!J32</f>
        <v>36703828.340000004</v>
      </c>
      <c r="S32" s="190">
        <f t="shared" si="5"/>
        <v>1647109.7799999937</v>
      </c>
      <c r="T32" s="192">
        <f t="shared" si="6"/>
        <v>4.4875694293855517E-2</v>
      </c>
    </row>
    <row r="33" spans="1:20">
      <c r="A33" s="176">
        <v>412</v>
      </c>
      <c r="B33" s="468" t="str">
        <f>+VLOOKUP($A33,Master!$D$25:$G$223,4,FALSE)</f>
        <v>Ostala lična primanja</v>
      </c>
      <c r="C33" s="469"/>
      <c r="D33" s="469"/>
      <c r="E33" s="469"/>
      <c r="F33" s="469"/>
      <c r="G33" s="189">
        <f>+SUMPRODUCT(('2018'!$G33:$R33)*('2018'!$G$5:$R$5&lt;=Master!$B$3)*($A33='2018'!$A$10:$A$65))</f>
        <v>3129156.31</v>
      </c>
      <c r="H33" s="189">
        <f>+SUMPRODUCT(('2018'!$G127:$R127)*('2018'!$G$5:$R$5&lt;=Master!$B$3))</f>
        <v>4201952.2822222225</v>
      </c>
      <c r="I33" s="190">
        <f t="shared" si="0"/>
        <v>-1072795.9722222225</v>
      </c>
      <c r="J33" s="191">
        <f t="shared" si="1"/>
        <v>-0.25530893741012906</v>
      </c>
      <c r="K33" s="189">
        <f>+SUMPRODUCT(('2017'!$G33:$R33)*('2017'!$G$5:$R$5&lt;=Master!$B$3))</f>
        <v>2613019.9899999998</v>
      </c>
      <c r="L33" s="190">
        <f t="shared" si="7"/>
        <v>516136.3200000003</v>
      </c>
      <c r="M33" s="192">
        <f t="shared" si="2"/>
        <v>0.19752482643655567</v>
      </c>
      <c r="N33" s="189">
        <f>'2018'!J33</f>
        <v>983620.43</v>
      </c>
      <c r="O33" s="189">
        <f>+INDEX('2018'!$1:$1048576,MATCH(CONCATENATE('Analitika - 2018'!$A33,"p"),'2018'!$A:$A,0),MATCH('Analitika - 2018'!$O$6,'2018'!$100:$100,0))</f>
        <v>1064654.7372222226</v>
      </c>
      <c r="P33" s="190">
        <f t="shared" si="3"/>
        <v>-81034.30722222256</v>
      </c>
      <c r="Q33" s="191">
        <f t="shared" si="4"/>
        <v>-7.6113226559859304E-2</v>
      </c>
      <c r="R33" s="189">
        <f>'2017'!J33</f>
        <v>685539.4</v>
      </c>
      <c r="S33" s="190">
        <f t="shared" si="5"/>
        <v>298081.03000000003</v>
      </c>
      <c r="T33" s="192">
        <f t="shared" si="6"/>
        <v>0.43481239736184385</v>
      </c>
    </row>
    <row r="34" spans="1:20">
      <c r="A34" s="176">
        <v>413</v>
      </c>
      <c r="B34" s="468" t="str">
        <f>+VLOOKUP($A34,Master!$D$25:$G$223,4,FALSE)</f>
        <v>Rashodi za materijal</v>
      </c>
      <c r="C34" s="469"/>
      <c r="D34" s="469"/>
      <c r="E34" s="469"/>
      <c r="F34" s="469"/>
      <c r="G34" s="189">
        <f>+SUMPRODUCT(('2018'!$G34:$R34)*('2018'!$G$5:$R$5&lt;=Master!$B$3)*($A34='2018'!$A$10:$A$65))</f>
        <v>9617309.0999999996</v>
      </c>
      <c r="H34" s="189">
        <f>+SUMPRODUCT(('2018'!$G128:$R128)*('2018'!$G$5:$R$5&lt;=Master!$B$3))</f>
        <v>9717493.2853333335</v>
      </c>
      <c r="I34" s="190">
        <f t="shared" si="0"/>
        <v>-100184.18533333391</v>
      </c>
      <c r="J34" s="191">
        <f t="shared" si="1"/>
        <v>-1.0309673739064218E-2</v>
      </c>
      <c r="K34" s="189">
        <f>+SUMPRODUCT(('2017'!$G34:$R34)*('2017'!$G$5:$R$5&lt;=Master!$B$3))</f>
        <v>7693927.3200000003</v>
      </c>
      <c r="L34" s="190">
        <f t="shared" si="7"/>
        <v>1923381.7799999993</v>
      </c>
      <c r="M34" s="192">
        <f t="shared" si="2"/>
        <v>0.24998699623796283</v>
      </c>
      <c r="N34" s="189">
        <f>'2018'!J34</f>
        <v>2451725.77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22352.448666666634</v>
      </c>
      <c r="Q34" s="191">
        <f t="shared" si="4"/>
        <v>9.2009113915842988E-3</v>
      </c>
      <c r="R34" s="189">
        <f>'2017'!J34</f>
        <v>1859042.69</v>
      </c>
      <c r="S34" s="190">
        <f t="shared" si="5"/>
        <v>592683.08000000007</v>
      </c>
      <c r="T34" s="192">
        <f t="shared" si="6"/>
        <v>0.31881090369151233</v>
      </c>
    </row>
    <row r="35" spans="1:20">
      <c r="A35" s="176">
        <v>414</v>
      </c>
      <c r="B35" s="468" t="str">
        <f>+VLOOKUP($A35,Master!$D$25:$G$223,4,FALSE)</f>
        <v>Rashodi za usluge</v>
      </c>
      <c r="C35" s="469"/>
      <c r="D35" s="469"/>
      <c r="E35" s="469"/>
      <c r="F35" s="469"/>
      <c r="G35" s="189">
        <f>+SUMPRODUCT(('2018'!$G35:$R35)*('2018'!$G$5:$R$5&lt;=Master!$B$3)*($A35='2018'!$A$10:$A$65))</f>
        <v>12974052.300000001</v>
      </c>
      <c r="H35" s="189">
        <f>+SUMPRODUCT(('2018'!$G129:$R129)*('2018'!$G$5:$R$5&lt;=Master!$B$3))</f>
        <v>16056793.468444442</v>
      </c>
      <c r="I35" s="190">
        <f t="shared" si="0"/>
        <v>-3082741.1684444416</v>
      </c>
      <c r="J35" s="191">
        <f t="shared" si="1"/>
        <v>-0.19198983747924436</v>
      </c>
      <c r="K35" s="189">
        <f>+SUMPRODUCT(('2017'!$G35:$R35)*('2017'!$G$5:$R$5&lt;=Master!$B$3))</f>
        <v>17254204.469999999</v>
      </c>
      <c r="L35" s="190">
        <f t="shared" si="7"/>
        <v>-4280152.1699999981</v>
      </c>
      <c r="M35" s="192">
        <f t="shared" si="2"/>
        <v>-0.24806430093267573</v>
      </c>
      <c r="N35" s="189">
        <f>'2018'!J35</f>
        <v>3933961.65</v>
      </c>
      <c r="O35" s="189">
        <f>+INDEX('2018'!$1:$1048576,MATCH(CONCATENATE('Analitika - 2018'!$A35,"p"),'2018'!$A:$A,0),MATCH('Analitika - 2018'!$O$6,'2018'!$100:$100,0))</f>
        <v>4097531.7004444432</v>
      </c>
      <c r="P35" s="190">
        <f t="shared" si="3"/>
        <v>-163570.05044444324</v>
      </c>
      <c r="Q35" s="191">
        <f t="shared" si="4"/>
        <v>-3.9919166562323749E-2</v>
      </c>
      <c r="R35" s="189">
        <f>'2017'!J35</f>
        <v>5446746.7800000003</v>
      </c>
      <c r="S35" s="190">
        <f t="shared" si="5"/>
        <v>-1512785.1300000004</v>
      </c>
      <c r="T35" s="192">
        <f t="shared" si="6"/>
        <v>-0.27774104269998767</v>
      </c>
    </row>
    <row r="36" spans="1:20">
      <c r="A36" s="176">
        <v>415</v>
      </c>
      <c r="B36" s="468" t="str">
        <f>+VLOOKUP($A36,Master!$D$25:$G$223,4,FALSE)</f>
        <v>Rashodi za tekuće održavanje</v>
      </c>
      <c r="C36" s="469"/>
      <c r="D36" s="469"/>
      <c r="E36" s="469"/>
      <c r="F36" s="469"/>
      <c r="G36" s="189">
        <f>+SUMPRODUCT(('2018'!$G36:$R36)*('2018'!$G$5:$R$5&lt;=Master!$B$3)*($A36='2018'!$A$10:$A$65))</f>
        <v>4990805.0999999996</v>
      </c>
      <c r="H36" s="189">
        <f>+SUMPRODUCT(('2018'!$G130:$R130)*('2018'!$G$5:$R$5&lt;=Master!$B$3))</f>
        <v>7441277.5933333337</v>
      </c>
      <c r="I36" s="190">
        <f t="shared" si="0"/>
        <v>-2450472.4933333341</v>
      </c>
      <c r="J36" s="191">
        <f t="shared" si="1"/>
        <v>-0.32930803381515039</v>
      </c>
      <c r="K36" s="189">
        <f>+SUMPRODUCT(('2017'!$G36:$R36)*('2017'!$G$5:$R$5&lt;=Master!$B$3))</f>
        <v>4032148.88</v>
      </c>
      <c r="L36" s="190">
        <f t="shared" si="7"/>
        <v>958656.21999999974</v>
      </c>
      <c r="M36" s="192">
        <f t="shared" si="2"/>
        <v>0.23775318038355753</v>
      </c>
      <c r="N36" s="189">
        <f>'2018'!J36</f>
        <v>1697297.09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-163022.30833333335</v>
      </c>
      <c r="Q36" s="191">
        <f t="shared" si="4"/>
        <v>-8.7631354314418042E-2</v>
      </c>
      <c r="R36" s="189">
        <f>'2017'!J36</f>
        <v>1548888.06</v>
      </c>
      <c r="S36" s="190">
        <f t="shared" si="5"/>
        <v>148409.03000000003</v>
      </c>
      <c r="T36" s="192">
        <f t="shared" si="6"/>
        <v>9.5816498191612309E-2</v>
      </c>
    </row>
    <row r="37" spans="1:20">
      <c r="A37" s="176">
        <v>416</v>
      </c>
      <c r="B37" s="468" t="str">
        <f>+VLOOKUP($A37,Master!$D$25:$G$223,4,FALSE)</f>
        <v>Kamate</v>
      </c>
      <c r="C37" s="469"/>
      <c r="D37" s="469"/>
      <c r="E37" s="469"/>
      <c r="F37" s="469"/>
      <c r="G37" s="189">
        <f>+SUMPRODUCT(('2018'!$G37:$R37)*('2018'!$G$5:$R$5&lt;=Master!$B$3)*($A37='2018'!$A$10:$A$65))</f>
        <v>46517744.490000002</v>
      </c>
      <c r="H37" s="189">
        <f>+SUMPRODUCT(('2018'!$G131:$R131)*('2018'!$G$5:$R$5&lt;=Master!$B$3))</f>
        <v>28490900</v>
      </c>
      <c r="I37" s="190">
        <f t="shared" si="0"/>
        <v>18026844.490000002</v>
      </c>
      <c r="J37" s="191">
        <f t="shared" si="1"/>
        <v>0.6327228866058987</v>
      </c>
      <c r="K37" s="189">
        <f>+SUMPRODUCT(('2017'!$G37:$R37)*('2017'!$G$5:$R$5&lt;=Master!$B$3))</f>
        <v>62045707.329999998</v>
      </c>
      <c r="L37" s="190">
        <f t="shared" si="7"/>
        <v>-15527962.839999996</v>
      </c>
      <c r="M37" s="192">
        <f t="shared" si="2"/>
        <v>-0.25026651332076932</v>
      </c>
      <c r="N37" s="189">
        <f>'2018'!J37</f>
        <v>1628189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-5494536</v>
      </c>
      <c r="Q37" s="191">
        <f t="shared" si="4"/>
        <v>-0.77140925699082863</v>
      </c>
      <c r="R37" s="189">
        <f>'2017'!J37</f>
        <v>18359667.859999999</v>
      </c>
      <c r="S37" s="190">
        <f t="shared" si="5"/>
        <v>-16731478.859999999</v>
      </c>
      <c r="T37" s="192">
        <f t="shared" si="6"/>
        <v>-0.91131707760643554</v>
      </c>
    </row>
    <row r="38" spans="1:20">
      <c r="A38" s="176">
        <v>417</v>
      </c>
      <c r="B38" s="468" t="str">
        <f>+VLOOKUP($A38,Master!$D$25:$G$223,4,FALSE)</f>
        <v>Renta</v>
      </c>
      <c r="C38" s="469"/>
      <c r="D38" s="469"/>
      <c r="E38" s="469"/>
      <c r="F38" s="469"/>
      <c r="G38" s="189">
        <f>+SUMPRODUCT(('2018'!$G38:$R38)*('2018'!$G$5:$R$5&lt;=Master!$B$3)*($A38='2018'!$A$10:$A$65))</f>
        <v>2465431.9700000002</v>
      </c>
      <c r="H38" s="189">
        <f>+SUMPRODUCT(('2018'!$G132:$R132)*('2018'!$G$5:$R$5&lt;=Master!$B$3))</f>
        <v>3200043.7333333339</v>
      </c>
      <c r="I38" s="190">
        <f t="shared" si="0"/>
        <v>-734611.76333333366</v>
      </c>
      <c r="J38" s="191">
        <f t="shared" si="1"/>
        <v>-0.22956303868013805</v>
      </c>
      <c r="K38" s="189">
        <f>+SUMPRODUCT(('2017'!$G38:$R38)*('2017'!$G$5:$R$5&lt;=Master!$B$3))</f>
        <v>2570956.56</v>
      </c>
      <c r="L38" s="190">
        <f t="shared" si="7"/>
        <v>-105524.58999999985</v>
      </c>
      <c r="M38" s="192">
        <f t="shared" si="2"/>
        <v>-4.1044874752765081E-2</v>
      </c>
      <c r="N38" s="189">
        <f>'2018'!J38</f>
        <v>641415.42000000004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-158595.51333333342</v>
      </c>
      <c r="Q38" s="191">
        <f t="shared" si="4"/>
        <v>-0.19824168236367445</v>
      </c>
      <c r="R38" s="189">
        <f>'2017'!J38</f>
        <v>737903.15</v>
      </c>
      <c r="S38" s="190">
        <f t="shared" si="5"/>
        <v>-96487.729999999981</v>
      </c>
      <c r="T38" s="192">
        <f t="shared" si="6"/>
        <v>-0.13075934152063173</v>
      </c>
    </row>
    <row r="39" spans="1:20">
      <c r="A39" s="176">
        <v>418</v>
      </c>
      <c r="B39" s="468" t="str">
        <f>+VLOOKUP($A39,Master!$D$25:$G$223,4,FALSE)</f>
        <v>Subvencije</v>
      </c>
      <c r="C39" s="469"/>
      <c r="D39" s="469"/>
      <c r="E39" s="469"/>
      <c r="F39" s="469"/>
      <c r="G39" s="189">
        <f>+SUMPRODUCT(('2018'!$G39:$R39)*('2018'!$G$5:$R$5&lt;=Master!$B$3)*($A39='2018'!$A$10:$A$65))</f>
        <v>7131060.7699999996</v>
      </c>
      <c r="H39" s="189">
        <f>+SUMPRODUCT(('2018'!$G133:$R133)*('2018'!$G$5:$R$5&lt;=Master!$B$3))</f>
        <v>9003933.333333334</v>
      </c>
      <c r="I39" s="190">
        <f t="shared" si="0"/>
        <v>-1872872.5633333344</v>
      </c>
      <c r="J39" s="191">
        <f t="shared" si="1"/>
        <v>-0.20800604513582965</v>
      </c>
      <c r="K39" s="189">
        <f>+SUMPRODUCT(('2017'!$G39:$R39)*('2017'!$G$5:$R$5&lt;=Master!$B$3))</f>
        <v>3738255.1900000004</v>
      </c>
      <c r="L39" s="190">
        <f t="shared" si="7"/>
        <v>3392805.5799999991</v>
      </c>
      <c r="M39" s="192">
        <f t="shared" si="2"/>
        <v>0.90759068270028909</v>
      </c>
      <c r="N39" s="189">
        <f>'2018'!J39</f>
        <v>1218773.67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-1032209.6633333336</v>
      </c>
      <c r="Q39" s="191">
        <f t="shared" si="4"/>
        <v>-0.45855944291013562</v>
      </c>
      <c r="R39" s="189">
        <f>'2017'!J39</f>
        <v>735427.01</v>
      </c>
      <c r="S39" s="190">
        <f t="shared" si="5"/>
        <v>483346.65999999992</v>
      </c>
      <c r="T39" s="192">
        <f t="shared" si="6"/>
        <v>0.65723267357286752</v>
      </c>
    </row>
    <row r="40" spans="1:20">
      <c r="A40" s="176">
        <v>419</v>
      </c>
      <c r="B40" s="468" t="str">
        <f>+VLOOKUP($A40,Master!$D$25:$G$223,4,FALSE)</f>
        <v>Ostali izdaci</v>
      </c>
      <c r="C40" s="469"/>
      <c r="D40" s="469"/>
      <c r="E40" s="469"/>
      <c r="F40" s="469"/>
      <c r="G40" s="189">
        <f>+SUMPRODUCT(('2018'!$G40:$R40)*('2018'!$G$5:$R$5&lt;=Master!$B$3)*($A40='2018'!$A$10:$A$65))</f>
        <v>8991379.9600000009</v>
      </c>
      <c r="H40" s="189">
        <f>+SUMPRODUCT(('2018'!$G134:$R134)*('2018'!$G$5:$R$5&lt;=Master!$B$3))</f>
        <v>10441740.180444444</v>
      </c>
      <c r="I40" s="190">
        <f t="shared" si="0"/>
        <v>-1450360.2204444427</v>
      </c>
      <c r="J40" s="191">
        <f t="shared" si="1"/>
        <v>-0.13890024032207904</v>
      </c>
      <c r="K40" s="189">
        <f>+SUMPRODUCT(('2017'!$G40:$R40)*('2017'!$G$5:$R$5&lt;=Master!$B$3))</f>
        <v>8842440.8300000001</v>
      </c>
      <c r="L40" s="190">
        <f t="shared" si="7"/>
        <v>148939.13000000082</v>
      </c>
      <c r="M40" s="192">
        <f t="shared" si="2"/>
        <v>1.684366713483576E-2</v>
      </c>
      <c r="N40" s="189">
        <f>'2018'!J40</f>
        <v>2859100.45</v>
      </c>
      <c r="O40" s="189">
        <f>+INDEX('2018'!$1:$1048576,MATCH(CONCATENATE('Analitika - 2018'!$A40,"p"),'2018'!$A:$A,0),MATCH('Analitika - 2018'!$O$6,'2018'!$100:$100,0))</f>
        <v>2696268.3784444444</v>
      </c>
      <c r="P40" s="190">
        <f t="shared" si="3"/>
        <v>162832.0715555558</v>
      </c>
      <c r="Q40" s="191">
        <f t="shared" si="4"/>
        <v>6.0391640853459272E-2</v>
      </c>
      <c r="R40" s="189">
        <f>'2017'!J40</f>
        <v>2537947.84</v>
      </c>
      <c r="S40" s="190">
        <f t="shared" si="5"/>
        <v>321152.61000000034</v>
      </c>
      <c r="T40" s="192">
        <f t="shared" si="6"/>
        <v>0.12654027200180762</v>
      </c>
    </row>
    <row r="41" spans="1:20">
      <c r="A41" s="176">
        <v>440</v>
      </c>
      <c r="B41" s="468" t="str">
        <f>+VLOOKUP($A41,Master!$D$25:$G$223,4,FALSE)</f>
        <v>Kapitalni izdaci u tekućem budžetu</v>
      </c>
      <c r="C41" s="469"/>
      <c r="D41" s="469"/>
      <c r="E41" s="469"/>
      <c r="F41" s="469"/>
      <c r="G41" s="189">
        <f>+SUMPRODUCT(('2018'!$G41:$R41)*('2018'!$G$5:$R$5&lt;=Master!$B$3)*($A41='2018'!$A$10:$A$65))</f>
        <v>9485650.4500000011</v>
      </c>
      <c r="H41" s="189">
        <f>+SUMPRODUCT(('2018'!$G135:$R135)*('2018'!$G$5:$R$5&lt;=Master!$B$3))</f>
        <v>13288497.178666668</v>
      </c>
      <c r="I41" s="190">
        <f t="shared" si="0"/>
        <v>-3802846.7286666669</v>
      </c>
      <c r="J41" s="191">
        <f t="shared" si="1"/>
        <v>-0.28617583143801628</v>
      </c>
      <c r="K41" s="189">
        <f>+SUMPRODUCT(('2017'!$G41:$R41)*('2017'!$G$5:$R$5&lt;=Master!$B$3))</f>
        <v>5283005.5199999996</v>
      </c>
      <c r="L41" s="190">
        <f t="shared" si="7"/>
        <v>4202644.9300000016</v>
      </c>
      <c r="M41" s="192">
        <f t="shared" si="2"/>
        <v>0.79550265735857151</v>
      </c>
      <c r="N41" s="189">
        <f>'2018'!J41</f>
        <v>2567489.7200000002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-754634.5746666668</v>
      </c>
      <c r="Q41" s="191">
        <f t="shared" si="4"/>
        <v>-0.22715422655261752</v>
      </c>
      <c r="R41" s="189">
        <f>'2017'!J41</f>
        <v>2350979.62</v>
      </c>
      <c r="S41" s="190">
        <f t="shared" si="5"/>
        <v>216510.10000000009</v>
      </c>
      <c r="T41" s="192">
        <f t="shared" si="6"/>
        <v>9.2093567361507089E-2</v>
      </c>
    </row>
    <row r="42" spans="1:20">
      <c r="A42" s="176">
        <v>42</v>
      </c>
      <c r="B42" s="464" t="str">
        <f>+VLOOKUP($A42,Master!$D$25:$G$223,4,FALSE)</f>
        <v>Transferi za socijalnu zaštitu</v>
      </c>
      <c r="C42" s="465"/>
      <c r="D42" s="465"/>
      <c r="E42" s="465"/>
      <c r="F42" s="465"/>
      <c r="G42" s="201">
        <f>+SUMPRODUCT(('2018'!$G42:$R42)*('2018'!$G$5:$R$5&lt;=Master!$B$3)*($A42='2018'!$A$10:$A$65))</f>
        <v>175983328.05000001</v>
      </c>
      <c r="H42" s="201">
        <f>+SUMPRODUCT(('2018'!$G136:$R136)*('2018'!$G$5:$R$5&lt;=Master!$B$3))</f>
        <v>183802896.65000004</v>
      </c>
      <c r="I42" s="220">
        <f t="shared" si="0"/>
        <v>-7819568.6000000238</v>
      </c>
      <c r="J42" s="221">
        <f t="shared" si="1"/>
        <v>-4.254322833056412E-2</v>
      </c>
      <c r="K42" s="201">
        <f>+SUMPRODUCT(('2017'!$G42:$R42)*('2017'!$G$5:$R$5&lt;=Master!$B$3))</f>
        <v>181848709.88999999</v>
      </c>
      <c r="L42" s="220">
        <f t="shared" si="7"/>
        <v>-5865381.8399999738</v>
      </c>
      <c r="M42" s="222">
        <f t="shared" si="2"/>
        <v>-3.2254184500665084E-2</v>
      </c>
      <c r="N42" s="201">
        <f>'2018'!J42</f>
        <v>43012361.310000002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-2938362.8525000066</v>
      </c>
      <c r="Q42" s="221">
        <f t="shared" si="4"/>
        <v>-6.3945953106392617E-2</v>
      </c>
      <c r="R42" s="201">
        <f>'2017'!J42</f>
        <v>45239884.829999998</v>
      </c>
      <c r="S42" s="220">
        <f t="shared" si="5"/>
        <v>-2227523.5199999958</v>
      </c>
      <c r="T42" s="222">
        <f t="shared" si="6"/>
        <v>-4.9238045772451944E-2</v>
      </c>
    </row>
    <row r="43" spans="1:20">
      <c r="A43" s="176">
        <v>421</v>
      </c>
      <c r="B43" s="468" t="str">
        <f>+VLOOKUP($A43,Master!$D$25:$G$223,4,FALSE)</f>
        <v>Prava iz oblasti socijalne zaštite</v>
      </c>
      <c r="C43" s="469"/>
      <c r="D43" s="469"/>
      <c r="E43" s="469"/>
      <c r="F43" s="469"/>
      <c r="G43" s="189">
        <f>+SUMPRODUCT(('2018'!$G43:$R43)*('2018'!$G$5:$R$5&lt;=Master!$B$3)*($A43='2018'!$A$10:$A$65))</f>
        <v>25674416.469999999</v>
      </c>
      <c r="H43" s="189">
        <f>+SUMPRODUCT(('2018'!$G137:$R137)*('2018'!$G$5:$R$5&lt;=Master!$B$3))</f>
        <v>26604000</v>
      </c>
      <c r="I43" s="190">
        <f t="shared" si="0"/>
        <v>-929583.53000000119</v>
      </c>
      <c r="J43" s="191">
        <f t="shared" si="1"/>
        <v>-3.4941494887986813E-2</v>
      </c>
      <c r="K43" s="189">
        <f>+SUMPRODUCT(('2017'!$G43:$R43)*('2017'!$G$5:$R$5&lt;=Master!$B$3))</f>
        <v>38742166.140000001</v>
      </c>
      <c r="L43" s="190">
        <f t="shared" si="7"/>
        <v>-13067749.670000002</v>
      </c>
      <c r="M43" s="192">
        <f t="shared" si="2"/>
        <v>-0.33730043959798062</v>
      </c>
      <c r="N43" s="189">
        <f>'2018'!J43</f>
        <v>6327448.5300000003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-323551.46999999974</v>
      </c>
      <c r="Q43" s="191">
        <f t="shared" si="4"/>
        <v>-4.8647041046459116E-2</v>
      </c>
      <c r="R43" s="189">
        <f>'2017'!J43</f>
        <v>9060292.8100000005</v>
      </c>
      <c r="S43" s="190">
        <f t="shared" si="5"/>
        <v>-2732844.2800000003</v>
      </c>
      <c r="T43" s="192">
        <f t="shared" si="6"/>
        <v>-0.3016286931680302</v>
      </c>
    </row>
    <row r="44" spans="1:20">
      <c r="A44" s="176">
        <v>422</v>
      </c>
      <c r="B44" s="468" t="str">
        <f>+VLOOKUP($A44,Master!$D$25:$G$223,4,FALSE)</f>
        <v>Sredstva za tehnološke viškove</v>
      </c>
      <c r="C44" s="469"/>
      <c r="D44" s="469"/>
      <c r="E44" s="469"/>
      <c r="F44" s="469"/>
      <c r="G44" s="189">
        <f>+SUMPRODUCT(('2018'!$G44:$R44)*('2018'!$G$5:$R$5&lt;=Master!$B$3)*($A44='2018'!$A$10:$A$65))</f>
        <v>3478581.05</v>
      </c>
      <c r="H44" s="189">
        <f>+SUMPRODUCT(('2018'!$G138:$R138)*('2018'!$G$5:$R$5&lt;=Master!$B$3))</f>
        <v>6799599.8399999999</v>
      </c>
      <c r="I44" s="190">
        <f t="shared" si="0"/>
        <v>-3321018.79</v>
      </c>
      <c r="J44" s="191">
        <f t="shared" si="1"/>
        <v>-0.48841385789549641</v>
      </c>
      <c r="K44" s="189">
        <f>+SUMPRODUCT(('2017'!$G44:$R44)*('2017'!$G$5:$R$5&lt;=Master!$B$3))</f>
        <v>3414917.73</v>
      </c>
      <c r="L44" s="190">
        <f t="shared" si="7"/>
        <v>63663.319999999832</v>
      </c>
      <c r="M44" s="192">
        <f t="shared" si="2"/>
        <v>1.8642709732278107E-2</v>
      </c>
      <c r="N44" s="189">
        <f>'2018'!J44</f>
        <v>945506.13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-754393.83</v>
      </c>
      <c r="Q44" s="191">
        <f t="shared" si="4"/>
        <v>-0.44378719204158346</v>
      </c>
      <c r="R44" s="189">
        <f>'2017'!J44</f>
        <v>1150894.96</v>
      </c>
      <c r="S44" s="190">
        <f t="shared" si="5"/>
        <v>-205388.82999999996</v>
      </c>
      <c r="T44" s="192">
        <f t="shared" si="6"/>
        <v>-0.17846010030315884</v>
      </c>
    </row>
    <row r="45" spans="1:20">
      <c r="A45" s="176">
        <v>423</v>
      </c>
      <c r="B45" s="468" t="str">
        <f>+VLOOKUP($A45,Master!$D$25:$G$223,4,FALSE)</f>
        <v>Prava iz oblasti penzijskog i invalidskog osiguranja</v>
      </c>
      <c r="C45" s="469"/>
      <c r="D45" s="469"/>
      <c r="E45" s="469"/>
      <c r="F45" s="469"/>
      <c r="G45" s="189">
        <f>+SUMPRODUCT(('2018'!$G45:$R45)*('2018'!$G$5:$R$5&lt;=Master!$B$3)*($A45='2018'!$A$10:$A$65))</f>
        <v>138333596.56</v>
      </c>
      <c r="H45" s="189">
        <f>+SUMPRODUCT(('2018'!$G139:$R139)*('2018'!$G$5:$R$5&lt;=Master!$B$3))</f>
        <v>141890930.14333335</v>
      </c>
      <c r="I45" s="190">
        <f t="shared" si="0"/>
        <v>-3557333.5833333433</v>
      </c>
      <c r="J45" s="191">
        <f t="shared" si="1"/>
        <v>-2.5070901852146887E-2</v>
      </c>
      <c r="K45" s="189">
        <f>+SUMPRODUCT(('2017'!$G45:$R45)*('2017'!$G$5:$R$5&lt;=Master!$B$3))</f>
        <v>132624355.51000001</v>
      </c>
      <c r="L45" s="190">
        <f t="shared" si="7"/>
        <v>5709241.049999997</v>
      </c>
      <c r="M45" s="192">
        <f t="shared" si="2"/>
        <v>4.3048209569391815E-2</v>
      </c>
      <c r="N45" s="189">
        <f>'2018'!J45</f>
        <v>34790406.869999997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-682325.6658333391</v>
      </c>
      <c r="Q45" s="191">
        <f t="shared" si="4"/>
        <v>-1.9235215813838913E-2</v>
      </c>
      <c r="R45" s="189">
        <f>'2017'!J45</f>
        <v>33225573.780000001</v>
      </c>
      <c r="S45" s="190">
        <f t="shared" si="5"/>
        <v>1564833.0899999961</v>
      </c>
      <c r="T45" s="192">
        <f t="shared" si="6"/>
        <v>4.7097248052400564E-2</v>
      </c>
    </row>
    <row r="46" spans="1:20">
      <c r="A46" s="176">
        <v>424</v>
      </c>
      <c r="B46" s="468" t="str">
        <f>+VLOOKUP($A46,Master!$D$25:$G$223,4,FALSE)</f>
        <v>Ostala prava iz oblasti zdravstvene zaštite</v>
      </c>
      <c r="C46" s="469"/>
      <c r="D46" s="469"/>
      <c r="E46" s="469"/>
      <c r="F46" s="469"/>
      <c r="G46" s="189">
        <f>+SUMPRODUCT(('2018'!$G46:$R46)*('2018'!$G$5:$R$5&lt;=Master!$B$3)*($A46='2018'!$A$10:$A$65))</f>
        <v>5762647.7800000003</v>
      </c>
      <c r="H46" s="189">
        <f>+SUMPRODUCT(('2018'!$G140:$R140)*('2018'!$G$5:$R$5&lt;=Master!$B$3))</f>
        <v>5500033.333333333</v>
      </c>
      <c r="I46" s="190">
        <f t="shared" si="0"/>
        <v>262614.44666666724</v>
      </c>
      <c r="J46" s="191">
        <f t="shared" si="1"/>
        <v>4.7747791831564745E-2</v>
      </c>
      <c r="K46" s="189">
        <f>+SUMPRODUCT(('2017'!$G46:$R46)*('2017'!$G$5:$R$5&lt;=Master!$B$3))</f>
        <v>4709721.01</v>
      </c>
      <c r="L46" s="190">
        <f t="shared" si="7"/>
        <v>1052926.7700000005</v>
      </c>
      <c r="M46" s="192">
        <f t="shared" si="2"/>
        <v>0.22356457373257466</v>
      </c>
      <c r="N46" s="189">
        <f>'2018'!J46</f>
        <v>425632.96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-949375.37333333329</v>
      </c>
      <c r="Q46" s="191">
        <f t="shared" si="4"/>
        <v>-0.6904506324204096</v>
      </c>
      <c r="R46" s="189">
        <f>'2017'!J46</f>
        <v>1278855.19</v>
      </c>
      <c r="S46" s="190">
        <f t="shared" si="5"/>
        <v>-853222.23</v>
      </c>
      <c r="T46" s="192">
        <f t="shared" si="6"/>
        <v>-0.66717657845217015</v>
      </c>
    </row>
    <row r="47" spans="1:20">
      <c r="A47" s="176">
        <v>425</v>
      </c>
      <c r="B47" s="468" t="str">
        <f>+VLOOKUP($A47,Master!$D$25:$G$223,4,FALSE)</f>
        <v>Ostala prava iz zdravstvenog osiguranja</v>
      </c>
      <c r="C47" s="469"/>
      <c r="D47" s="469"/>
      <c r="E47" s="469"/>
      <c r="F47" s="469"/>
      <c r="G47" s="189">
        <f>+SUMPRODUCT(('2018'!$G47:$R47)*('2018'!$G$5:$R$5&lt;=Master!$B$3)*($A47='2018'!$A$10:$A$65))</f>
        <v>2734086.19</v>
      </c>
      <c r="H47" s="189">
        <f>+SUMPRODUCT(('2018'!$G141:$R141)*('2018'!$G$5:$R$5&lt;=Master!$B$3))</f>
        <v>3008333.3333333335</v>
      </c>
      <c r="I47" s="190">
        <f t="shared" si="0"/>
        <v>-274247.14333333354</v>
      </c>
      <c r="J47" s="191">
        <f t="shared" si="1"/>
        <v>-9.1162485318559638E-2</v>
      </c>
      <c r="K47" s="189">
        <f>+SUMPRODUCT(('2017'!$G47:$R47)*('2017'!$G$5:$R$5&lt;=Master!$B$3))</f>
        <v>2357549.5</v>
      </c>
      <c r="L47" s="190">
        <f t="shared" si="7"/>
        <v>376536.68999999994</v>
      </c>
      <c r="M47" s="192">
        <f t="shared" si="2"/>
        <v>0.15971528487524855</v>
      </c>
      <c r="N47" s="189">
        <f>'2018'!J47</f>
        <v>523366.82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-228716.51333333337</v>
      </c>
      <c r="Q47" s="191">
        <f t="shared" si="4"/>
        <v>-0.3041105994459834</v>
      </c>
      <c r="R47" s="189">
        <f>'2017'!J47</f>
        <v>524268.09</v>
      </c>
      <c r="S47" s="190">
        <f t="shared" si="5"/>
        <v>-901.27000000001863</v>
      </c>
      <c r="T47" s="192">
        <f t="shared" si="6"/>
        <v>-1.7191013857051907E-3</v>
      </c>
    </row>
    <row r="48" spans="1:20">
      <c r="A48" s="176">
        <v>43</v>
      </c>
      <c r="B48" s="466" t="str">
        <f>+VLOOKUP($A48,Master!$D$25:$G$223,4,FALSE)</f>
        <v xml:space="preserve">Transferi institucijama, pojedincima, nevladinom i javnom sektoru </v>
      </c>
      <c r="C48" s="467"/>
      <c r="D48" s="467"/>
      <c r="E48" s="467"/>
      <c r="F48" s="467"/>
      <c r="G48" s="201">
        <f>+SUMPRODUCT(('2018'!$G48:$R48)*('2018'!$G$5:$R$5&lt;=Master!$B$3)*($A48='2018'!$A$10:$A$65))</f>
        <v>56170247.759999998</v>
      </c>
      <c r="H48" s="201">
        <f>+SUMPRODUCT(('2018'!$G142:$R142)*('2018'!$G$5:$R$5&lt;=Master!$B$3))</f>
        <v>64047512.899999991</v>
      </c>
      <c r="I48" s="202">
        <f t="shared" si="0"/>
        <v>-7877265.1399999931</v>
      </c>
      <c r="J48" s="203">
        <f t="shared" si="1"/>
        <v>-0.12299096066851323</v>
      </c>
      <c r="K48" s="201">
        <f>+SUMPRODUCT(('2017'!$G48:$R48)*('2017'!$G$5:$R$5&lt;=Master!$B$3))</f>
        <v>41587607.020000003</v>
      </c>
      <c r="L48" s="202">
        <f t="shared" si="7"/>
        <v>14582640.739999995</v>
      </c>
      <c r="M48" s="204">
        <f t="shared" si="2"/>
        <v>0.35064870967418305</v>
      </c>
      <c r="N48" s="201">
        <f>'2018'!J48</f>
        <v>15689300.51</v>
      </c>
      <c r="O48" s="201">
        <f>+INDEX('2018'!$1:$1048576,MATCH(CONCATENATE('Analitika - 2018'!$A48,"p"),'2018'!$A:$A,0),MATCH('Analitika - 2018'!$O$6,'2018'!$100:$100,0))</f>
        <v>18161878.224999998</v>
      </c>
      <c r="P48" s="202">
        <f t="shared" si="3"/>
        <v>-2472577.714999998</v>
      </c>
      <c r="Q48" s="203">
        <f t="shared" si="4"/>
        <v>-0.13614107992401747</v>
      </c>
      <c r="R48" s="201">
        <f>'2017'!J48</f>
        <v>15717196.880000001</v>
      </c>
      <c r="S48" s="202">
        <f t="shared" si="5"/>
        <v>-27896.370000001043</v>
      </c>
      <c r="T48" s="204">
        <f t="shared" si="6"/>
        <v>-1.7748947355554767E-3</v>
      </c>
    </row>
    <row r="49" spans="1:20">
      <c r="A49" s="176">
        <v>44</v>
      </c>
      <c r="B49" s="466" t="str">
        <f>+VLOOKUP($A49,Master!$D$25:$G$223,4,FALSE)</f>
        <v>Kapitalni budžet</v>
      </c>
      <c r="C49" s="467"/>
      <c r="D49" s="467"/>
      <c r="E49" s="467"/>
      <c r="F49" s="467"/>
      <c r="G49" s="201">
        <f>+SUMPRODUCT(('2018'!$G49:$R49)*('2018'!$G$5:$R$5&lt;=Master!$B$3)*($A49='2018'!$A$10:$A$65))</f>
        <v>44600966.909999996</v>
      </c>
      <c r="H49" s="201">
        <f>+SUMPRODUCT(('2018'!$G143:$R143)*('2018'!$G$5:$R$5&lt;=Master!$B$3))</f>
        <v>85888333.333333328</v>
      </c>
      <c r="I49" s="202">
        <f t="shared" si="0"/>
        <v>-41287366.423333332</v>
      </c>
      <c r="J49" s="203">
        <f t="shared" si="1"/>
        <v>-0.48070983358236474</v>
      </c>
      <c r="K49" s="402">
        <f>+SUMPRODUCT(('2017'!$G49:$R49)*('2017'!$G$5:$R$5&lt;=Master!$B$3))</f>
        <v>15882572.529999999</v>
      </c>
      <c r="L49" s="202">
        <f t="shared" si="7"/>
        <v>28718394.379999995</v>
      </c>
      <c r="M49" s="204">
        <f t="shared" si="2"/>
        <v>1.8081702020094599</v>
      </c>
      <c r="N49" s="201">
        <f>'2018'!J49</f>
        <v>28775491.48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7303408.1466666684</v>
      </c>
      <c r="Q49" s="203">
        <f t="shared" si="4"/>
        <v>0.34013505039489278</v>
      </c>
      <c r="R49" s="201">
        <f>'2017'!J49</f>
        <v>6918517.2599999998</v>
      </c>
      <c r="S49" s="202">
        <f t="shared" si="5"/>
        <v>21856974.219999999</v>
      </c>
      <c r="T49" s="204">
        <f t="shared" si="6"/>
        <v>3.1591992039057226</v>
      </c>
    </row>
    <row r="50" spans="1:20">
      <c r="A50" s="176">
        <v>451</v>
      </c>
      <c r="B50" s="436" t="str">
        <f>+VLOOKUP($A50,Master!$D$25:$G$223,4,FALSE)</f>
        <v>Pozajmice i krediti</v>
      </c>
      <c r="C50" s="437"/>
      <c r="D50" s="437"/>
      <c r="E50" s="437"/>
      <c r="F50" s="437"/>
      <c r="G50" s="189">
        <f>+SUMPRODUCT(('2018'!$G50:$R50)*('2018'!$G$5:$R$5&lt;=Master!$B$3)*($A50='2018'!$A$10:$A$65))</f>
        <v>671170.62</v>
      </c>
      <c r="H50" s="189">
        <f>+SUMPRODUCT(('2018'!$G144:$R144)*('2018'!$G$5:$R$5&lt;=Master!$B$3))</f>
        <v>958333.66666666663</v>
      </c>
      <c r="I50" s="190">
        <f>G50-H50</f>
        <v>-287163.04666666663</v>
      </c>
      <c r="J50" s="344">
        <f t="shared" si="1"/>
        <v>-0.29964829229624612</v>
      </c>
      <c r="K50" s="189">
        <f>+SUMPRODUCT(('2017'!$G50:$R50)*('2017'!$G$5:$R$5&lt;=Master!$B$3))</f>
        <v>579974</v>
      </c>
      <c r="L50" s="350">
        <f t="shared" si="7"/>
        <v>91196.62</v>
      </c>
      <c r="M50" s="353">
        <f t="shared" si="2"/>
        <v>0.15724260053036865</v>
      </c>
      <c r="N50" s="189">
        <f>'2018'!J50</f>
        <v>285264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45680.583333333343</v>
      </c>
      <c r="Q50" s="344">
        <f t="shared" si="4"/>
        <v>0.19066671628983789</v>
      </c>
      <c r="R50" s="189">
        <f>'2017'!J50</f>
        <v>294172</v>
      </c>
      <c r="S50" s="350">
        <f t="shared" si="5"/>
        <v>-8908</v>
      </c>
      <c r="T50" s="353">
        <f t="shared" si="6"/>
        <v>-3.0281603959588232E-2</v>
      </c>
    </row>
    <row r="51" spans="1:20">
      <c r="A51" s="176">
        <v>47</v>
      </c>
      <c r="B51" s="436" t="str">
        <f>+VLOOKUP($A51,Master!$D$25:$G$223,4,FALSE)</f>
        <v>Rezerve</v>
      </c>
      <c r="C51" s="437"/>
      <c r="D51" s="437"/>
      <c r="E51" s="437"/>
      <c r="F51" s="437"/>
      <c r="G51" s="189">
        <f>+SUMPRODUCT(('2018'!$G51:$R51)*('2018'!$G$5:$R$5&lt;=Master!$B$3)*($A51='2018'!$A$10:$A$65))</f>
        <v>3094948.94</v>
      </c>
      <c r="H51" s="189">
        <f>+SUMPRODUCT(('2018'!$G145:$R145)*('2018'!$G$5:$R$5&lt;=Master!$B$3))</f>
        <v>3442384.8760000002</v>
      </c>
      <c r="I51" s="190">
        <f t="shared" ref="I51:I52" si="8">G51-H51</f>
        <v>-347435.93600000022</v>
      </c>
      <c r="J51" s="345">
        <f t="shared" si="1"/>
        <v>-0.10092884686494308</v>
      </c>
      <c r="K51" s="189">
        <f>+SUMPRODUCT(('2017'!$G51:$R51)*('2017'!$G$5:$R$5&lt;=Master!$B$3))</f>
        <v>809997.84000000008</v>
      </c>
      <c r="L51" s="351">
        <f t="shared" si="7"/>
        <v>2284951.0999999996</v>
      </c>
      <c r="M51" s="354">
        <f t="shared" si="2"/>
        <v>2.8209348064434341</v>
      </c>
      <c r="N51" s="189">
        <f>'2018'!J51</f>
        <v>460039.86</v>
      </c>
      <c r="O51" s="189">
        <f>+INDEX('2018'!$1:$1048576,MATCH(CONCATENATE('Analitika - 2018'!$A51,"p"),'2018'!$A:$A,0),MATCH('Analitika - 2018'!$O$6,'2018'!$100:$100,0))</f>
        <v>949846.13199999998</v>
      </c>
      <c r="P51" s="190">
        <f t="shared" si="3"/>
        <v>-489806.272</v>
      </c>
      <c r="Q51" s="345">
        <f t="shared" si="4"/>
        <v>-0.51566907049319854</v>
      </c>
      <c r="R51" s="189">
        <f>'2017'!J51</f>
        <v>285897.84000000003</v>
      </c>
      <c r="S51" s="351">
        <f t="shared" si="5"/>
        <v>174142.01999999996</v>
      </c>
      <c r="T51" s="354">
        <f t="shared" si="6"/>
        <v>0.60910575609805218</v>
      </c>
    </row>
    <row r="52" spans="1:20" ht="15.75" thickBot="1">
      <c r="A52" s="176">
        <v>462</v>
      </c>
      <c r="B52" s="454" t="str">
        <f>+VLOOKUP($A52,Master!$D$25:$G$223,4,FALSE)</f>
        <v>Otplata garancija</v>
      </c>
      <c r="C52" s="455"/>
      <c r="D52" s="455"/>
      <c r="E52" s="455"/>
      <c r="F52" s="455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'2018'!J52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'2017'!J52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54" t="str">
        <f>+VLOOKUP($A53,Master!$D$25:$G$223,4,FALSE)</f>
        <v>Otplata obaveza iz prethodnih godina</v>
      </c>
      <c r="C53" s="455"/>
      <c r="D53" s="455"/>
      <c r="E53" s="455"/>
      <c r="F53" s="455"/>
      <c r="G53" s="393">
        <f>+SUMPRODUCT(('2018'!$G53:$R53)*('2018'!$G$5:$R$5&lt;=Master!$B$3)*($A53='2018'!$A$10:$A$65))</f>
        <v>8374917.04</v>
      </c>
      <c r="H53" s="393">
        <f>+SUMPRODUCT(('2018'!$G147:$R147)*('2018'!$G$5:$R$5&lt;=Master!$B$3))</f>
        <v>0</v>
      </c>
      <c r="I53" s="352">
        <f>G53-H53</f>
        <v>8374917.04</v>
      </c>
      <c r="J53" s="347" t="str">
        <f t="shared" si="1"/>
        <v>…</v>
      </c>
      <c r="K53" s="393">
        <f>+SUMPRODUCT(('2017'!$G53:$R53)*('2017'!$G$5:$R$5&lt;=Master!$B$3))</f>
        <v>8599772.4500000011</v>
      </c>
      <c r="L53" s="358">
        <f t="shared" si="7"/>
        <v>-224855.41000000108</v>
      </c>
      <c r="M53" s="356">
        <f t="shared" si="2"/>
        <v>-2.6146669729616101E-2</v>
      </c>
      <c r="N53" s="393">
        <f>'2018'!J53</f>
        <v>2459675.87</v>
      </c>
      <c r="O53" s="393">
        <v>0</v>
      </c>
      <c r="P53" s="352">
        <f>N53-O53</f>
        <v>2459675.87</v>
      </c>
      <c r="Q53" s="347" t="str">
        <f t="shared" si="4"/>
        <v>…</v>
      </c>
      <c r="R53" s="393">
        <f>'2017'!J53</f>
        <v>1767565.23</v>
      </c>
      <c r="S53" s="358">
        <f>+N53-R53</f>
        <v>692110.64000000013</v>
      </c>
      <c r="T53" s="356">
        <f>+IF(ISNUMBER(N53/R53-1),N53/R53-1,"…")</f>
        <v>0.39156158327463819</v>
      </c>
    </row>
    <row r="54" spans="1:20" ht="15.75" thickBot="1">
      <c r="A54" s="170">
        <v>1005</v>
      </c>
      <c r="B54" s="454" t="str">
        <f>+VLOOKUP($A54,Master!$D$25:$G$225,4,FALSE)</f>
        <v>Neto povećanje obaveza</v>
      </c>
      <c r="C54" s="455"/>
      <c r="D54" s="455"/>
      <c r="E54" s="455"/>
      <c r="F54" s="455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'2018'!J54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'2017'!J54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60" t="str">
        <f>+VLOOKUP($A55,Master!$D$25:$G$223,4,FALSE)</f>
        <v>Suficit / deficit</v>
      </c>
      <c r="C55" s="461"/>
      <c r="D55" s="461"/>
      <c r="E55" s="461"/>
      <c r="F55" s="461"/>
      <c r="G55" s="177">
        <f>+SUMPRODUCT(('2018'!$G55:$R55)*('2018'!$G$5:$R$5&lt;=Master!$B$3)*($A55='2018'!$A$10:$A$65))</f>
        <v>-60303869.340000048</v>
      </c>
      <c r="H55" s="177">
        <f>+SUMPRODUCT(('2018'!$G148:$R148)*('2018'!$G$5:$R$5&lt;=Master!$B$3))</f>
        <v>-111382744.01961231</v>
      </c>
      <c r="I55" s="405">
        <f>+G55-H55</f>
        <v>51078874.679612264</v>
      </c>
      <c r="J55" s="349">
        <f t="shared" si="1"/>
        <v>-0.45858876192364484</v>
      </c>
      <c r="K55" s="177">
        <f>+SUMPRODUCT(('2017'!$G55:$R55)*('2017'!$G$5:$R$5&lt;=Master!$B$3))</f>
        <v>-86802354.129999951</v>
      </c>
      <c r="L55" s="359">
        <f t="shared" si="7"/>
        <v>26498484.789999902</v>
      </c>
      <c r="M55" s="357">
        <f t="shared" si="2"/>
        <v>-0.30527380340761634</v>
      </c>
      <c r="N55" s="177">
        <f>'2018'!J55</f>
        <v>9737944.7399999797</v>
      </c>
      <c r="O55" s="177">
        <f>+INDEX('2018'!$1:$1048576,MATCH(CONCATENATE('Analitika - 2018'!$A55,"p"),'2018'!$A:$A,0),MATCH('Analitika - 2018'!$O$6,'2018'!$100:$100,0))</f>
        <v>-9342486.1327575743</v>
      </c>
      <c r="P55" s="405">
        <f>N55-O55</f>
        <v>19080430.872757554</v>
      </c>
      <c r="Q55" s="349">
        <f t="shared" si="4"/>
        <v>-2.0423290547743829</v>
      </c>
      <c r="R55" s="177">
        <f>'2017'!J55</f>
        <v>-16277543.120000005</v>
      </c>
      <c r="S55" s="359">
        <f t="shared" si="5"/>
        <v>26015487.859999985</v>
      </c>
      <c r="T55" s="357">
        <f t="shared" si="6"/>
        <v>-1.5982441372270175</v>
      </c>
    </row>
    <row r="56" spans="1:20" ht="15.75" thickBot="1">
      <c r="A56" s="170">
        <v>1001</v>
      </c>
      <c r="B56" s="462" t="str">
        <f>+VLOOKUP($A56,Master!$D$25:$G$223,4,FALSE)</f>
        <v>Primarni bilans</v>
      </c>
      <c r="C56" s="463"/>
      <c r="D56" s="463"/>
      <c r="E56" s="463"/>
      <c r="F56" s="463"/>
      <c r="G56" s="177">
        <f>+SUMPRODUCT(('2018'!$G56:$R56)*('2018'!$G$5:$R$5&lt;=Master!$B$3)*($A56='2018'!$A$10:$A$65))</f>
        <v>-13786124.850000046</v>
      </c>
      <c r="H56" s="177">
        <f>+SUMPRODUCT(('2018'!$G149:$R149)*('2018'!$G$5:$R$5&lt;=Master!$B$3))</f>
        <v>-82891844.019612312</v>
      </c>
      <c r="I56" s="232">
        <f t="shared" si="0"/>
        <v>69105719.169612259</v>
      </c>
      <c r="J56" s="233">
        <f t="shared" si="1"/>
        <v>-0.83368538831470285</v>
      </c>
      <c r="K56" s="177">
        <f>+SUMPRODUCT(('2017'!$G56:$R56)*('2017'!$G$5:$R$5&lt;=Master!$B$3))</f>
        <v>-24756646.799999952</v>
      </c>
      <c r="L56" s="232">
        <f t="shared" si="7"/>
        <v>10970521.949999906</v>
      </c>
      <c r="M56" s="234">
        <f t="shared" si="2"/>
        <v>-0.44313440501966228</v>
      </c>
      <c r="N56" s="177">
        <f>'2018'!J56</f>
        <v>11366133.73999998</v>
      </c>
      <c r="O56" s="177">
        <f>+INDEX('2018'!$1:$1048576,MATCH(CONCATENATE('Analitika - 2018'!$A56,"p"),'2018'!$A:$A,0),MATCH('Analitika - 2018'!$O$6,'2018'!$100:$100,0))</f>
        <v>-2219761.1327575743</v>
      </c>
      <c r="P56" s="232">
        <f t="shared" si="3"/>
        <v>13585894.872757554</v>
      </c>
      <c r="Q56" s="233">
        <f t="shared" si="4"/>
        <v>-6.120431010466433</v>
      </c>
      <c r="R56" s="177">
        <f>'2017'!J56</f>
        <v>2082124.7399999946</v>
      </c>
      <c r="S56" s="232">
        <f t="shared" si="5"/>
        <v>9284008.9999999851</v>
      </c>
      <c r="T56" s="234">
        <f t="shared" si="6"/>
        <v>4.4589110448781319</v>
      </c>
    </row>
    <row r="57" spans="1:20">
      <c r="A57" s="170">
        <v>46</v>
      </c>
      <c r="B57" s="464" t="str">
        <f>+VLOOKUP($A57,Master!$D$25:$G$223,4,FALSE)</f>
        <v>Otplata dugova</v>
      </c>
      <c r="C57" s="465"/>
      <c r="D57" s="465"/>
      <c r="E57" s="465"/>
      <c r="F57" s="465"/>
      <c r="G57" s="183">
        <f>+SUMPRODUCT(('2018'!$G57:$R57)*('2018'!$G$5:$R$5&lt;=Master!$B$3)*($A57='2018'!$A$10:$A$65))</f>
        <v>119736633.22</v>
      </c>
      <c r="H57" s="183">
        <f>+SUMPRODUCT(('2018'!$G150:$R150)*('2018'!$G$5:$R$5&lt;=Master!$B$3))</f>
        <v>55534986.777765423</v>
      </c>
      <c r="I57" s="220">
        <f t="shared" si="0"/>
        <v>64201646.442234576</v>
      </c>
      <c r="J57" s="221">
        <f t="shared" si="1"/>
        <v>1.156057652433601</v>
      </c>
      <c r="K57" s="183">
        <f>+SUMPRODUCT(('2017'!$G57:$R57)*('2017'!$G$5:$R$5&lt;=Master!$B$3))</f>
        <v>162588541.13999999</v>
      </c>
      <c r="L57" s="220">
        <f t="shared" si="7"/>
        <v>-42851907.919999987</v>
      </c>
      <c r="M57" s="222">
        <f t="shared" si="2"/>
        <v>-0.26356044294106518</v>
      </c>
      <c r="N57" s="183">
        <f>'2018'!J57</f>
        <v>19981471.990000002</v>
      </c>
      <c r="O57" s="183">
        <f>+INDEX('2018'!$1:$1048576,MATCH(CONCATENATE('Analitika - 2018'!$A57,"p"),'2018'!$A:$A,0),MATCH('Analitika - 2018'!$O$6,'2018'!$100:$100,0))</f>
        <v>23720356.07957419</v>
      </c>
      <c r="P57" s="220">
        <f t="shared" si="3"/>
        <v>-3738884.089574188</v>
      </c>
      <c r="Q57" s="221">
        <f t="shared" si="4"/>
        <v>-0.15762343857872241</v>
      </c>
      <c r="R57" s="183">
        <f>'2017'!J57</f>
        <v>65432249.010000005</v>
      </c>
      <c r="S57" s="220">
        <f t="shared" si="5"/>
        <v>-45450777.020000003</v>
      </c>
      <c r="T57" s="222">
        <f t="shared" si="6"/>
        <v>-0.69462348777059102</v>
      </c>
    </row>
    <row r="58" spans="1:20">
      <c r="A58" s="170">
        <v>4611</v>
      </c>
      <c r="B58" s="452" t="str">
        <f>+VLOOKUP($A58,Master!$D$25:$G$223,4,FALSE)</f>
        <v>Otplata hartija od vrijednosti i kredita rezidentima</v>
      </c>
      <c r="C58" s="453"/>
      <c r="D58" s="453"/>
      <c r="E58" s="453"/>
      <c r="F58" s="453"/>
      <c r="G58" s="189">
        <f>+SUMPRODUCT(('2018'!$G58:$R58)*('2018'!$G$5:$R$5&lt;=Master!$B$3)*($A58='2018'!$A$10:$A$65))</f>
        <v>84802182.190000013</v>
      </c>
      <c r="H58" s="189">
        <f>+SUMPRODUCT(('2018'!$G151:$R151)*('2018'!$G$5:$R$5&lt;=Master!$B$3))</f>
        <v>13267025.030000001</v>
      </c>
      <c r="I58" s="238">
        <f t="shared" si="0"/>
        <v>71535157.160000011</v>
      </c>
      <c r="J58" s="239">
        <f t="shared" si="1"/>
        <v>5.3919516242896544</v>
      </c>
      <c r="K58" s="189">
        <f>+SUMPRODUCT(('2017'!$G58:$R58)*('2017'!$G$5:$R$5&lt;=Master!$B$3))</f>
        <v>85628118.209999993</v>
      </c>
      <c r="L58" s="238">
        <f t="shared" si="7"/>
        <v>-825936.01999998093</v>
      </c>
      <c r="M58" s="240">
        <f t="shared" si="2"/>
        <v>-9.6456168518663787E-3</v>
      </c>
      <c r="N58" s="189">
        <f>'2018'!J58</f>
        <v>2231658.5099999998</v>
      </c>
      <c r="O58" s="189">
        <f>+INDEX('2018'!$1:$1048576,MATCH(CONCATENATE('Analitika - 2018'!$A58,"p"),'2018'!$A:$A,0),MATCH('Analitika - 2018'!$O$6,'2018'!$100:$100,0))</f>
        <v>4481623.79</v>
      </c>
      <c r="P58" s="238">
        <f t="shared" si="3"/>
        <v>-2249965.2800000003</v>
      </c>
      <c r="Q58" s="239">
        <f t="shared" si="4"/>
        <v>-0.50204242601095261</v>
      </c>
      <c r="R58" s="189">
        <f>'2017'!J58</f>
        <v>111178.77</v>
      </c>
      <c r="S58" s="238">
        <f t="shared" si="5"/>
        <v>2120479.7399999998</v>
      </c>
      <c r="T58" s="240">
        <f t="shared" si="6"/>
        <v>19.072703718524675</v>
      </c>
    </row>
    <row r="59" spans="1:20">
      <c r="A59" s="170">
        <v>4612</v>
      </c>
      <c r="B59" s="436" t="str">
        <f>+VLOOKUP($A59,Master!$D$25:$G$223,4,FALSE)</f>
        <v>Otplata hartija od vrijednosti i kredita nerezidentima</v>
      </c>
      <c r="C59" s="437"/>
      <c r="D59" s="437"/>
      <c r="E59" s="437"/>
      <c r="F59" s="437"/>
      <c r="G59" s="189">
        <f>+SUMPRODUCT(('2018'!$G59:$R59)*('2018'!$G$5:$R$5&lt;=Master!$B$3)*($A59='2018'!$A$10:$A$65))</f>
        <v>34934451.030000001</v>
      </c>
      <c r="H59" s="189">
        <f>+SUMPRODUCT(('2018'!$G152:$R152)*('2018'!$G$5:$R$5&lt;=Master!$B$3))</f>
        <v>34728130.081098758</v>
      </c>
      <c r="I59" s="238">
        <f t="shared" si="0"/>
        <v>206320.94890124351</v>
      </c>
      <c r="J59" s="239">
        <f t="shared" si="1"/>
        <v>5.9410324834487938E-3</v>
      </c>
      <c r="K59" s="189">
        <f>+SUMPRODUCT(('2017'!$G59:$R59)*('2017'!$G$5:$R$5&lt;=Master!$B$3))</f>
        <v>76960422.930000007</v>
      </c>
      <c r="L59" s="238">
        <f t="shared" si="7"/>
        <v>-42025971.900000006</v>
      </c>
      <c r="M59" s="240">
        <f t="shared" si="2"/>
        <v>-0.54607251753573494</v>
      </c>
      <c r="N59" s="189">
        <f>'2018'!J59</f>
        <v>17749813.48</v>
      </c>
      <c r="O59" s="189">
        <f>+INDEX('2018'!$1:$1048576,MATCH(CONCATENATE('Analitika - 2018'!$A59,"p"),'2018'!$A:$A,0),MATCH('Analitika - 2018'!$O$6,'2018'!$100:$100,0))</f>
        <v>17326274.372907523</v>
      </c>
      <c r="P59" s="238">
        <f t="shared" si="3"/>
        <v>423539.10709247738</v>
      </c>
      <c r="Q59" s="239">
        <f t="shared" si="4"/>
        <v>2.4444903617291791E-2</v>
      </c>
      <c r="R59" s="189">
        <f>'2017'!J59</f>
        <v>65321070.240000002</v>
      </c>
      <c r="S59" s="238">
        <f t="shared" si="5"/>
        <v>-47571256.760000005</v>
      </c>
      <c r="T59" s="240">
        <f t="shared" si="6"/>
        <v>-0.72826817725453119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7539831.666666667</v>
      </c>
      <c r="I60" s="238">
        <f t="shared" si="0"/>
        <v>-7539831.666666667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56" t="str">
        <f>+VLOOKUP($A61,Master!$D$25:$G$223,4,FALSE)</f>
        <v>Nedostajuća sredstva</v>
      </c>
      <c r="C61" s="457"/>
      <c r="D61" s="457"/>
      <c r="E61" s="457"/>
      <c r="F61" s="457"/>
      <c r="G61" s="394">
        <f>+SUMPRODUCT(('2018'!$G60:$R60)*('2018'!$G$5:$R$5&lt;=Master!$B$3)*($A61='2018'!$A$10:$A$65))</f>
        <v>-180040502.56000006</v>
      </c>
      <c r="H61" s="404">
        <f>+SUMPRODUCT(('2018'!$G154:$R154)*('2018'!$G$5:$R$5&lt;=Master!$B$3))</f>
        <v>-166917730.79737774</v>
      </c>
      <c r="I61" s="406">
        <f t="shared" si="0"/>
        <v>-13122771.762622327</v>
      </c>
      <c r="J61" s="407">
        <f t="shared" si="1"/>
        <v>7.8618201313508829E-2</v>
      </c>
      <c r="K61" s="394">
        <f>+SUMPRODUCT(('2017'!$G60:$R60)*('2017'!$G$5:$R$5&lt;=Master!$B$3))</f>
        <v>-249390895.26999992</v>
      </c>
      <c r="L61" s="406">
        <f t="shared" si="7"/>
        <v>69350392.709999859</v>
      </c>
      <c r="M61" s="409">
        <f t="shared" si="2"/>
        <v>-0.27807908799123771</v>
      </c>
      <c r="N61" s="394">
        <f>+'2018'!J60</f>
        <v>-10243527.250000022</v>
      </c>
      <c r="O61" s="404">
        <f>+INDEX('2018'!$1:$1048576,MATCH(CONCATENATE('Analitika - 2018'!$A61,"p"),'2018'!$A:$A,0),MATCH('Analitika - 2018'!$O$6,'2018'!$100:$100,0))</f>
        <v>-33062842.212331764</v>
      </c>
      <c r="P61" s="406">
        <f t="shared" si="3"/>
        <v>22819314.962331742</v>
      </c>
      <c r="Q61" s="407">
        <f t="shared" si="4"/>
        <v>-0.69018007634626777</v>
      </c>
      <c r="R61" s="394">
        <f>'2017'!J60</f>
        <v>-81709792.13000001</v>
      </c>
      <c r="S61" s="406">
        <f t="shared" si="5"/>
        <v>71466264.879999995</v>
      </c>
      <c r="T61" s="409">
        <f t="shared" si="6"/>
        <v>-0.87463525505360962</v>
      </c>
    </row>
    <row r="62" spans="1:20" ht="15.75" thickBot="1">
      <c r="A62" s="170">
        <v>1003</v>
      </c>
      <c r="B62" s="458" t="str">
        <f>+VLOOKUP($A62,Master!$D$25:$G$223,4,FALSE)</f>
        <v>Finansiranje</v>
      </c>
      <c r="C62" s="459"/>
      <c r="D62" s="459"/>
      <c r="E62" s="459"/>
      <c r="F62" s="459"/>
      <c r="G62" s="177">
        <f>+SUMPRODUCT(('2018'!$G61:$R61)*('2018'!$G$5:$R$5&lt;=Master!$B$3)*($A62='2018'!$A$10:$A$65))</f>
        <v>180040502.56000006</v>
      </c>
      <c r="H62" s="177">
        <f>+SUMPRODUCT(('2018'!$G155:$R155)*('2018'!$G$5:$R$5&lt;=Master!$B$3))</f>
        <v>166917730.79737774</v>
      </c>
      <c r="I62" s="405">
        <f t="shared" si="0"/>
        <v>13122771.762622327</v>
      </c>
      <c r="J62" s="408">
        <f t="shared" si="1"/>
        <v>7.8618201313508829E-2</v>
      </c>
      <c r="K62" s="177">
        <f>+SUMPRODUCT(('2017'!$G61:$R61)*('2017'!$G$5:$R$5&lt;=Master!$B$3))</f>
        <v>249390895.26999992</v>
      </c>
      <c r="L62" s="405">
        <f t="shared" si="7"/>
        <v>-69350392.709999859</v>
      </c>
      <c r="M62" s="410">
        <f t="shared" si="2"/>
        <v>-0.27807908799123771</v>
      </c>
      <c r="N62" s="177">
        <f>+'2018'!J61</f>
        <v>10243527.250000015</v>
      </c>
      <c r="O62" s="177">
        <f>+INDEX('2018'!$1:$1048576,MATCH(CONCATENATE('Analitika - 2018'!$A62,"p"),'2018'!$A:$A,0),MATCH('Analitika - 2018'!$O$6,'2018'!$100:$100,0))</f>
        <v>33062842.212331764</v>
      </c>
      <c r="P62" s="405">
        <f t="shared" si="3"/>
        <v>-22819314.962331749</v>
      </c>
      <c r="Q62" s="408">
        <f t="shared" si="4"/>
        <v>-0.69018007634626799</v>
      </c>
      <c r="R62" s="177">
        <f>'2017'!J61</f>
        <v>81709792.13000001</v>
      </c>
      <c r="S62" s="405">
        <f t="shared" si="5"/>
        <v>-71466264.879999995</v>
      </c>
      <c r="T62" s="410">
        <f t="shared" si="6"/>
        <v>-0.87463525505360984</v>
      </c>
    </row>
    <row r="63" spans="1:20">
      <c r="A63" s="170">
        <v>7511</v>
      </c>
      <c r="B63" s="452" t="str">
        <f>+VLOOKUP($A63,Master!$D$25:$G$223,4,FALSE)</f>
        <v>Pozajmice i krediti od domaćih izvora</v>
      </c>
      <c r="C63" s="453"/>
      <c r="D63" s="453"/>
      <c r="E63" s="453"/>
      <c r="F63" s="453"/>
      <c r="G63" s="189">
        <f>+SUMPRODUCT(('2018'!$G62:$R62)*('2018'!$G$5:$R$5&lt;=Master!$B$3)*($A63='2018'!$A$10:$A$65))</f>
        <v>120600000</v>
      </c>
      <c r="H63" s="189">
        <f>+SUMPRODUCT(('2018'!$G156:$R156)*('2018'!$G$5:$R$5&lt;=Master!$B$3))</f>
        <v>0</v>
      </c>
      <c r="I63" s="238">
        <f t="shared" si="0"/>
        <v>120600000</v>
      </c>
      <c r="J63" s="239" t="str">
        <f t="shared" si="1"/>
        <v>…</v>
      </c>
      <c r="K63" s="189">
        <f>+SUMPRODUCT(('2017'!$G62:$R62)*('2017'!$G$5:$R$5&lt;=Master!$B$3))</f>
        <v>169535000</v>
      </c>
      <c r="L63" s="238">
        <f t="shared" si="7"/>
        <v>-48935000</v>
      </c>
      <c r="M63" s="240">
        <f t="shared" si="2"/>
        <v>-0.28864246320818709</v>
      </c>
      <c r="N63" s="189">
        <f>+'2018'!J62</f>
        <v>0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0</v>
      </c>
      <c r="Q63" s="239" t="str">
        <f t="shared" si="4"/>
        <v>…</v>
      </c>
      <c r="R63" s="189">
        <f>'2017'!J62</f>
        <v>22911551.579999998</v>
      </c>
      <c r="S63" s="238">
        <f t="shared" si="5"/>
        <v>-22911551.579999998</v>
      </c>
      <c r="T63" s="240">
        <f t="shared" si="6"/>
        <v>-1</v>
      </c>
    </row>
    <row r="64" spans="1:20">
      <c r="A64" s="170">
        <v>7512</v>
      </c>
      <c r="B64" s="436" t="str">
        <f>+VLOOKUP($A64,Master!$D$25:$G$223,4,FALSE)</f>
        <v>Pozajmice i krediti od inostranih izvora</v>
      </c>
      <c r="C64" s="437"/>
      <c r="D64" s="437"/>
      <c r="E64" s="437"/>
      <c r="F64" s="437"/>
      <c r="G64" s="189">
        <f>+SUMPRODUCT(('2018'!$G63:$R63)*('2018'!$G$5:$R$5&lt;=Master!$B$3)*($A64='2018'!$A$10:$A$65))</f>
        <v>131047841.33</v>
      </c>
      <c r="H64" s="189">
        <f>+SUMPRODUCT(('2018'!$G157:$R157)*('2018'!$G$5:$R$5&lt;=Master!$B$3))</f>
        <v>98633333.319999993</v>
      </c>
      <c r="I64" s="238">
        <f t="shared" si="0"/>
        <v>32414508.010000005</v>
      </c>
      <c r="J64" s="239">
        <f t="shared" si="1"/>
        <v>0.32863644489065735</v>
      </c>
      <c r="K64" s="189">
        <f>+SUMPRODUCT(('2017'!$G63:$R63)*('2017'!$G$5:$R$5&lt;=Master!$B$3))</f>
        <v>90139730.969999999</v>
      </c>
      <c r="L64" s="238">
        <f t="shared" si="7"/>
        <v>40908110.359999999</v>
      </c>
      <c r="M64" s="240">
        <f t="shared" si="2"/>
        <v>0.45382995844102192</v>
      </c>
      <c r="N64" s="189">
        <f>+'2018'!J63</f>
        <v>125398354.06999999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100740020.73999999</v>
      </c>
      <c r="Q64" s="239">
        <f t="shared" si="4"/>
        <v>4.0854351099811339</v>
      </c>
      <c r="R64" s="189">
        <f>'2017'!J63</f>
        <v>84125996.959999993</v>
      </c>
      <c r="S64" s="238">
        <f t="shared" si="5"/>
        <v>41272357.109999999</v>
      </c>
      <c r="T64" s="240">
        <f t="shared" si="6"/>
        <v>0.49060169984819413</v>
      </c>
    </row>
    <row r="65" spans="1:20">
      <c r="A65" s="170">
        <v>72</v>
      </c>
      <c r="B65" s="436" t="str">
        <f>+VLOOKUP($A65,Master!$D$25:$G$223,4,FALSE)</f>
        <v>Primici od prodaje imovine</v>
      </c>
      <c r="C65" s="437"/>
      <c r="D65" s="437"/>
      <c r="E65" s="437"/>
      <c r="F65" s="437"/>
      <c r="G65" s="189">
        <f>+SUMPRODUCT(('2018'!$G64:$R64)*('2018'!$G$5:$R$5&lt;=Master!$B$3)*($A65='2018'!$A$10:$A$65))</f>
        <v>2861248.16</v>
      </c>
      <c r="H65" s="189">
        <f>+SUMPRODUCT(('2018'!$G158:$R158)*('2018'!$G$5:$R$5&lt;=Master!$B$3))</f>
        <v>0</v>
      </c>
      <c r="I65" s="238">
        <f t="shared" si="0"/>
        <v>2861248.16</v>
      </c>
      <c r="J65" s="239" t="str">
        <f t="shared" si="1"/>
        <v>…</v>
      </c>
      <c r="K65" s="189">
        <f>+SUMPRODUCT(('2017'!$G64:$R64)*('2017'!$G$5:$R$5&lt;=Master!$B$3))</f>
        <v>1228048.68</v>
      </c>
      <c r="L65" s="238">
        <f t="shared" si="7"/>
        <v>1633199.4800000002</v>
      </c>
      <c r="M65" s="240">
        <f t="shared" si="2"/>
        <v>1.3299142832025197</v>
      </c>
      <c r="N65" s="189">
        <f>+'2018'!J64</f>
        <v>108273.11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108273.11</v>
      </c>
      <c r="Q65" s="239" t="str">
        <f t="shared" si="4"/>
        <v>…</v>
      </c>
      <c r="R65" s="189">
        <f>'2017'!J64</f>
        <v>1070298.19</v>
      </c>
      <c r="S65" s="238">
        <f t="shared" si="5"/>
        <v>-962025.08</v>
      </c>
      <c r="T65" s="240">
        <f t="shared" si="6"/>
        <v>-0.89883836952018015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+SUMPRODUCT(('2018'!$G65:$R65)*('2018'!$G$5:$R$5&lt;=Master!$B$3)*($A66='2018'!$A$10:$A$65))</f>
        <v>-74468586.929999948</v>
      </c>
      <c r="H66" s="399">
        <f>+SUMPRODUCT(('2018'!$G159:$R159)*('2018'!$G$5:$R$5&lt;=Master!$B$3))</f>
        <v>68284397.477377743</v>
      </c>
      <c r="I66" s="252">
        <f t="shared" si="0"/>
        <v>-142752984.40737769</v>
      </c>
      <c r="J66" s="253" t="str">
        <f>+IF(ISNUMBER(G65/H65-1),G65/H65-1,"…")</f>
        <v>…</v>
      </c>
      <c r="K66" s="395">
        <f>+SUMPRODUCT(('2017'!$G65:$R65)*('2017'!$G$5:$R$5&lt;=Master!$B$3))</f>
        <v>-11511884.380000032</v>
      </c>
      <c r="L66" s="252">
        <f t="shared" si="7"/>
        <v>-62956702.549999915</v>
      </c>
      <c r="M66" s="254">
        <f t="shared" si="2"/>
        <v>5.4688442371239088</v>
      </c>
      <c r="N66" s="395">
        <f>+'2018'!J65</f>
        <v>-115263099.92999998</v>
      </c>
      <c r="O66" s="399">
        <f>+INDEX('2018'!$1:$1048576,MATCH(CONCATENATE('Analitika - 2018'!$A66,"p"),'2018'!$A:$A,0),MATCH('Analitika - 2018'!$O$6,'2018'!$100:$100,0))</f>
        <v>8404508.8823317662</v>
      </c>
      <c r="P66" s="252">
        <f t="shared" si="3"/>
        <v>-123667608.81233174</v>
      </c>
      <c r="Q66" s="253">
        <f t="shared" si="4"/>
        <v>-14.714436089455488</v>
      </c>
      <c r="R66" s="395">
        <f>'2017'!J65</f>
        <v>-26398054.599999979</v>
      </c>
      <c r="S66" s="252">
        <f t="shared" si="5"/>
        <v>-88865045.329999998</v>
      </c>
      <c r="T66" s="254">
        <f t="shared" si="6"/>
        <v>3.3663482660574564</v>
      </c>
    </row>
    <row r="68" spans="1:20">
      <c r="H68" s="396"/>
    </row>
    <row r="69" spans="1:20">
      <c r="H69" s="365"/>
    </row>
  </sheetData>
  <mergeCells count="62">
    <mergeCell ref="B64:F64"/>
    <mergeCell ref="B65:F65"/>
    <mergeCell ref="B57:F57"/>
    <mergeCell ref="B58:F58"/>
    <mergeCell ref="B59:F59"/>
    <mergeCell ref="B61:F61"/>
    <mergeCell ref="B62:F62"/>
    <mergeCell ref="B63:F6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59"/>
  <sheetViews>
    <sheetView zoomScaleNormal="100" workbookViewId="0">
      <pane ySplit="1" topLeftCell="A95" activePane="bottomLeft" state="frozen"/>
      <selection pane="bottomLeft" activeCell="J149" sqref="J149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9" width="10.7109375" style="304" customWidth="1"/>
    <col min="10" max="10" width="14.42578125" style="304" customWidth="1"/>
    <col min="11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531" t="str">
        <f>+Master!G249</f>
        <v>Ostvarenje budžeta</v>
      </c>
      <c r="C7" s="439"/>
      <c r="D7" s="439"/>
      <c r="E7" s="439"/>
      <c r="F7" s="439"/>
      <c r="G7" s="447">
        <v>2018</v>
      </c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51"/>
      <c r="S7" s="261" t="str">
        <f>+Master!G246</f>
        <v>BDP</v>
      </c>
      <c r="T7" s="262">
        <v>4397700000</v>
      </c>
    </row>
    <row r="8" spans="1:20" ht="16.5" customHeight="1">
      <c r="A8" s="170"/>
      <c r="B8" s="440"/>
      <c r="C8" s="441"/>
      <c r="D8" s="441"/>
      <c r="E8" s="441"/>
      <c r="F8" s="44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7" t="str">
        <f>+Master!G243</f>
        <v>Jan - Apr</v>
      </c>
      <c r="T8" s="451"/>
    </row>
    <row r="9" spans="1:20" ht="13.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138858355.53999999</v>
      </c>
      <c r="J10" s="177">
        <f t="shared" si="1"/>
        <v>156752589.09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484235897.61000001</v>
      </c>
      <c r="T10" s="266">
        <f>+S10/$T$7</f>
        <v>0.11011117120540283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97799793.080000013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312155092.52999997</v>
      </c>
      <c r="T11" s="269">
        <f t="shared" ref="T11:T65" si="4">+S11/$T$7</f>
        <v>7.0981443147554391E-2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9899613.5099999998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32295150.18</v>
      </c>
      <c r="T12" s="271">
        <f t="shared" si="4"/>
        <v>7.343645582918344E-3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18095823.48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42475594.549999997</v>
      </c>
      <c r="T13" s="271">
        <f t="shared" si="4"/>
        <v>9.6585930258999021E-3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117398.62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530755.94999999995</v>
      </c>
      <c r="T14" s="271">
        <f t="shared" si="4"/>
        <v>1.2068943993451121E-4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50343037.649999999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170050212.05000001</v>
      </c>
      <c r="T15" s="271">
        <f t="shared" si="4"/>
        <v>3.8667988277963486E-2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16425170.310000001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56757400.090000004</v>
      </c>
      <c r="T16" s="271">
        <f t="shared" si="4"/>
        <v>1.290615551083521E-2</v>
      </c>
    </row>
    <row r="17" spans="1:25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2192466.4500000002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7318192.1399999997</v>
      </c>
      <c r="T17" s="271">
        <f t="shared" si="4"/>
        <v>1.6640953543897946E-3</v>
      </c>
    </row>
    <row r="18" spans="1:25">
      <c r="A18" s="176">
        <v>7118</v>
      </c>
      <c r="B18" s="468" t="str">
        <f>+VLOOKUP($A18,Master!$D$25:$G$223,4,FALSE)</f>
        <v>Ostali državni porezi</v>
      </c>
      <c r="C18" s="469"/>
      <c r="D18" s="469"/>
      <c r="E18" s="469"/>
      <c r="F18" s="469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726283.06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2727787.5700000003</v>
      </c>
      <c r="T18" s="271">
        <f t="shared" si="4"/>
        <v>6.2027595561316151E-4</v>
      </c>
    </row>
    <row r="19" spans="1:25">
      <c r="A19" s="176">
        <v>712</v>
      </c>
      <c r="B19" s="478" t="str">
        <f>+VLOOKUP($A19,Master!$D$25:$G$223,4,FALSE)</f>
        <v>Doprinosi</v>
      </c>
      <c r="C19" s="479"/>
      <c r="D19" s="479"/>
      <c r="E19" s="479"/>
      <c r="F19" s="479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41029948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135593999.03</v>
      </c>
      <c r="T19" s="274">
        <f t="shared" si="4"/>
        <v>3.0832935177479138E-2</v>
      </c>
    </row>
    <row r="20" spans="1:25">
      <c r="A20" s="176">
        <v>7121</v>
      </c>
      <c r="B20" s="468" t="str">
        <f>+VLOOKUP($A20,Master!$D$25:$G$223,4,FALSE)</f>
        <v>Doprinosi za penzijsko i invalidsko osiguranje</v>
      </c>
      <c r="C20" s="469"/>
      <c r="D20" s="469"/>
      <c r="E20" s="469"/>
      <c r="F20" s="469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24891690.100000001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82413612.469999999</v>
      </c>
      <c r="T20" s="271">
        <f t="shared" si="4"/>
        <v>1.8740162464470064E-2</v>
      </c>
    </row>
    <row r="21" spans="1:25">
      <c r="A21" s="176">
        <v>7122</v>
      </c>
      <c r="B21" s="468" t="str">
        <f>+VLOOKUP($A21,Master!$D$25:$G$223,4,FALSE)</f>
        <v>Doprinosi za zdravstveno osiguranje</v>
      </c>
      <c r="C21" s="469"/>
      <c r="D21" s="469"/>
      <c r="E21" s="469"/>
      <c r="F21" s="469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14077229.140000001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46428444.410000004</v>
      </c>
      <c r="T21" s="271">
        <f t="shared" si="4"/>
        <v>1.05574378447825E-2</v>
      </c>
    </row>
    <row r="22" spans="1:25">
      <c r="A22" s="176">
        <v>7123</v>
      </c>
      <c r="B22" s="468" t="str">
        <f>+VLOOKUP($A22,Master!$D$25:$G$223,4,FALSE)</f>
        <v>Doprinosi za osiguranje od nezaposlenosti</v>
      </c>
      <c r="C22" s="469"/>
      <c r="D22" s="469"/>
      <c r="E22" s="469"/>
      <c r="F22" s="469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1036934.31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3479912.97</v>
      </c>
      <c r="T22" s="271">
        <f t="shared" si="4"/>
        <v>7.9130294699502018E-4</v>
      </c>
    </row>
    <row r="23" spans="1:25">
      <c r="A23" s="176">
        <v>7124</v>
      </c>
      <c r="B23" s="468" t="str">
        <f>+VLOOKUP($A23,Master!$D$25:$G$223,4,FALSE)</f>
        <v>Ostali doprinosi</v>
      </c>
      <c r="C23" s="469"/>
      <c r="D23" s="469"/>
      <c r="E23" s="469"/>
      <c r="F23" s="469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1024094.45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3272029.1799999997</v>
      </c>
      <c r="T23" s="271">
        <f t="shared" si="4"/>
        <v>7.4403192123155277E-4</v>
      </c>
      <c r="Y23" s="380"/>
    </row>
    <row r="24" spans="1:25">
      <c r="A24" s="176">
        <v>713</v>
      </c>
      <c r="B24" s="470" t="str">
        <f>+VLOOKUP($A24,Master!$D$25:$G$223,4,FALSE)</f>
        <v>Takse</v>
      </c>
      <c r="C24" s="471"/>
      <c r="D24" s="471"/>
      <c r="E24" s="471"/>
      <c r="F24" s="471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972331.94</v>
      </c>
      <c r="I24" s="201">
        <f>+INDEX(DataEx!$1:$1048576,MATCH('2018'!$A24,DataEx!$D:$D,0),MATCH('2018'!I$6,DataEx!$7:$7,0))</f>
        <v>1075963.29</v>
      </c>
      <c r="J24" s="201">
        <f>+INDEX(DataEx!$1:$1048576,MATCH('2018'!$A24,DataEx!$D:$D,0),MATCH('2018'!J$6,DataEx!$7:$7,0))</f>
        <v>1106857.49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3880714.96</v>
      </c>
      <c r="T24" s="274">
        <f t="shared" si="4"/>
        <v>8.8244194920071854E-4</v>
      </c>
      <c r="Y24" s="380"/>
    </row>
    <row r="25" spans="1:25">
      <c r="A25" s="176">
        <v>714</v>
      </c>
      <c r="B25" s="470" t="str">
        <f>+VLOOKUP($A25,Master!$D$25:$G$223,4,FALSE)</f>
        <v>Naknade</v>
      </c>
      <c r="C25" s="471"/>
      <c r="D25" s="471"/>
      <c r="E25" s="471"/>
      <c r="F25" s="471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2389766.7799999998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8051376.8699999992</v>
      </c>
      <c r="T25" s="274">
        <f t="shared" si="4"/>
        <v>1.8308153966846304E-3</v>
      </c>
      <c r="W25" s="367"/>
    </row>
    <row r="26" spans="1:25">
      <c r="A26" s="176">
        <v>715</v>
      </c>
      <c r="B26" s="470" t="str">
        <f>+VLOOKUP($A26,Master!$D$25:$G$223,4,FALSE)</f>
        <v>Ostali prihodi</v>
      </c>
      <c r="C26" s="471"/>
      <c r="D26" s="471"/>
      <c r="E26" s="471"/>
      <c r="F26" s="471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1637518.53</v>
      </c>
      <c r="I26" s="201">
        <f>+INDEX(DataEx!$1:$1048576,MATCH('2018'!$A26,DataEx!$D:$D,0),MATCH('2018'!I$6,DataEx!$7:$7,0))</f>
        <v>2067024.24</v>
      </c>
      <c r="J26" s="201">
        <f>+INDEX(DataEx!$1:$1048576,MATCH('2018'!$A26,DataEx!$D:$D,0),MATCH('2018'!J$6,DataEx!$7:$7,0))</f>
        <v>5507068.6600000001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11698364.970000001</v>
      </c>
      <c r="T26" s="274">
        <f t="shared" si="4"/>
        <v>2.6601098233167337E-3</v>
      </c>
    </row>
    <row r="27" spans="1:25">
      <c r="A27" s="176">
        <v>73</v>
      </c>
      <c r="B27" s="470" t="str">
        <f>+VLOOKUP($A27,Master!$D$25:$G$223,4,FALSE)</f>
        <v>Primici od otplate kredita i sredstva prenesena iz prethodne godine</v>
      </c>
      <c r="C27" s="471"/>
      <c r="D27" s="471"/>
      <c r="E27" s="471"/>
      <c r="F27" s="471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188889.13</v>
      </c>
      <c r="J27" s="201">
        <f>+INDEX(DataEx!$1:$1048576,MATCH('2018'!$A27,DataEx!$D:$D,0),MATCH('2018'!J$6,DataEx!$7:$7,0))</f>
        <v>425644.44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857501.53</v>
      </c>
      <c r="T27" s="274">
        <f t="shared" si="4"/>
        <v>1.949886372421948E-4</v>
      </c>
    </row>
    <row r="28" spans="1:25" ht="13.5" thickBot="1">
      <c r="A28" s="176">
        <v>74</v>
      </c>
      <c r="B28" s="472" t="str">
        <f>+VLOOKUP($A28,Master!$D$25:$G$223,4,FALSE)</f>
        <v>Donacije i transferi</v>
      </c>
      <c r="C28" s="473"/>
      <c r="D28" s="473"/>
      <c r="E28" s="473"/>
      <c r="F28" s="473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8493510.6400000006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11998847.720000001</v>
      </c>
      <c r="T28" s="277">
        <f t="shared" si="4"/>
        <v>2.7284370739250065E-3</v>
      </c>
    </row>
    <row r="29" spans="1:25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106100663.53</v>
      </c>
      <c r="H29" s="177">
        <f t="shared" ref="H29:R29" si="5">+H31+H42+H48+SUM(H49:H53)</f>
        <v>119016381.51999998</v>
      </c>
      <c r="I29" s="177">
        <f t="shared" si="5"/>
        <v>172408077.55000004</v>
      </c>
      <c r="J29" s="177">
        <f t="shared" si="5"/>
        <v>147014644.35000002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544539766.95000005</v>
      </c>
      <c r="T29" s="279">
        <f t="shared" si="4"/>
        <v>0.12382376400163723</v>
      </c>
    </row>
    <row r="30" spans="1:25" ht="13.5" thickBot="1">
      <c r="A30" s="176">
        <v>41</v>
      </c>
      <c r="B30" s="474" t="str">
        <f>+VLOOKUP($A30,Master!$D$25:$G$223,4,FALSE)</f>
        <v>Tekući izdaci</v>
      </c>
      <c r="C30" s="475"/>
      <c r="D30" s="475"/>
      <c r="E30" s="475"/>
      <c r="F30" s="475"/>
      <c r="G30" s="207">
        <f>+G29-G49</f>
        <v>104040089.26000001</v>
      </c>
      <c r="H30" s="207">
        <f t="shared" ref="H30:R30" si="6">+H29-H49</f>
        <v>116057986.02999999</v>
      </c>
      <c r="I30" s="207">
        <f t="shared" si="6"/>
        <v>161601571.88000005</v>
      </c>
      <c r="J30" s="207">
        <f t="shared" si="6"/>
        <v>118239152.87000002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499938800.04000008</v>
      </c>
      <c r="T30" s="281">
        <f t="shared" si="4"/>
        <v>0.11368187917320419</v>
      </c>
    </row>
    <row r="31" spans="1:25">
      <c r="A31" s="176">
        <v>40</v>
      </c>
      <c r="B31" s="476" t="str">
        <f>+VLOOKUP($A31,Master!$D$25:$G$223,4,FALSE)</f>
        <v>Tekući budžetski izdaci</v>
      </c>
      <c r="C31" s="477"/>
      <c r="D31" s="477"/>
      <c r="E31" s="477"/>
      <c r="F31" s="477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56332511.320000008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255644187.63</v>
      </c>
      <c r="T31" s="269">
        <f t="shared" si="4"/>
        <v>5.8131338570161672E-2</v>
      </c>
    </row>
    <row r="32" spans="1:25">
      <c r="A32" s="176">
        <v>411</v>
      </c>
      <c r="B32" s="468" t="str">
        <f>+VLOOKUP($A32,Master!$D$25:$G$223,4,FALSE)</f>
        <v>Bruto zarade i doprinosi na teret poslodavca</v>
      </c>
      <c r="C32" s="469"/>
      <c r="D32" s="469"/>
      <c r="E32" s="469"/>
      <c r="F32" s="469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38350938.119999997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150341597.18000001</v>
      </c>
      <c r="T32" s="271">
        <f t="shared" si="4"/>
        <v>3.4186414985105849E-2</v>
      </c>
    </row>
    <row r="33" spans="1:22">
      <c r="A33" s="176">
        <v>412</v>
      </c>
      <c r="B33" s="468" t="str">
        <f>+VLOOKUP($A33,Master!$D$25:$G$223,4,FALSE)</f>
        <v>Ostala lična primanja</v>
      </c>
      <c r="C33" s="469"/>
      <c r="D33" s="469"/>
      <c r="E33" s="469"/>
      <c r="F33" s="469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983620.43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3129156.31</v>
      </c>
      <c r="T33" s="271">
        <f t="shared" si="4"/>
        <v>7.1154383200309253E-4</v>
      </c>
      <c r="U33" s="368"/>
    </row>
    <row r="34" spans="1:22">
      <c r="A34" s="176">
        <v>413</v>
      </c>
      <c r="B34" s="468" t="str">
        <f>+VLOOKUP($A34,Master!$D$25:$G$223,4,FALSE)</f>
        <v>Rashodi za materijal</v>
      </c>
      <c r="C34" s="469"/>
      <c r="D34" s="469"/>
      <c r="E34" s="469"/>
      <c r="F34" s="469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2451725.77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9617309.0999999996</v>
      </c>
      <c r="T34" s="271">
        <f t="shared" si="4"/>
        <v>2.1868952179548398E-3</v>
      </c>
      <c r="U34" s="386"/>
      <c r="V34" s="366"/>
    </row>
    <row r="35" spans="1:22">
      <c r="A35" s="176">
        <v>414</v>
      </c>
      <c r="B35" s="468" t="str">
        <f>+VLOOKUP($A35,Master!$D$25:$G$223,4,FALSE)</f>
        <v>Rashodi za usluge</v>
      </c>
      <c r="C35" s="469"/>
      <c r="D35" s="469"/>
      <c r="E35" s="469"/>
      <c r="F35" s="469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3933961.65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12974052.300000001</v>
      </c>
      <c r="T35" s="271">
        <f t="shared" si="4"/>
        <v>2.950190394979194E-3</v>
      </c>
    </row>
    <row r="36" spans="1:22">
      <c r="A36" s="176">
        <v>415</v>
      </c>
      <c r="B36" s="468" t="str">
        <f>+VLOOKUP($A36,Master!$D$25:$G$223,4,FALSE)</f>
        <v>Rashodi za tekuće održavanje</v>
      </c>
      <c r="C36" s="469"/>
      <c r="D36" s="469"/>
      <c r="E36" s="469"/>
      <c r="F36" s="469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1697297.09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4990805.0999999996</v>
      </c>
      <c r="T36" s="271">
        <f t="shared" si="4"/>
        <v>1.1348671123541851E-3</v>
      </c>
    </row>
    <row r="37" spans="1:22">
      <c r="A37" s="176">
        <v>416</v>
      </c>
      <c r="B37" s="468" t="str">
        <f>+VLOOKUP($A37,Master!$D$25:$G$223,4,FALSE)</f>
        <v>Kamate</v>
      </c>
      <c r="C37" s="469"/>
      <c r="D37" s="469"/>
      <c r="E37" s="469"/>
      <c r="F37" s="469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1628189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46517744.490000002</v>
      </c>
      <c r="T37" s="271">
        <f t="shared" si="4"/>
        <v>1.0577743932055393E-2</v>
      </c>
    </row>
    <row r="38" spans="1:22">
      <c r="A38" s="176">
        <v>417</v>
      </c>
      <c r="B38" s="468" t="str">
        <f>+VLOOKUP($A38,Master!$D$25:$G$223,4,FALSE)</f>
        <v>Renta</v>
      </c>
      <c r="C38" s="469"/>
      <c r="D38" s="469"/>
      <c r="E38" s="469"/>
      <c r="F38" s="469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641415.42000000004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2465431.9700000002</v>
      </c>
      <c r="T38" s="271">
        <f t="shared" si="4"/>
        <v>5.6061849830593268E-4</v>
      </c>
    </row>
    <row r="39" spans="1:22">
      <c r="A39" s="176">
        <v>418</v>
      </c>
      <c r="B39" s="468" t="str">
        <f>+VLOOKUP($A39,Master!$D$25:$G$223,4,FALSE)</f>
        <v>Subvencije</v>
      </c>
      <c r="C39" s="469"/>
      <c r="D39" s="469"/>
      <c r="E39" s="469"/>
      <c r="F39" s="469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1218773.67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7131060.7699999996</v>
      </c>
      <c r="T39" s="271">
        <f t="shared" si="4"/>
        <v>1.6215432544284512E-3</v>
      </c>
    </row>
    <row r="40" spans="1:22">
      <c r="A40" s="176">
        <v>419</v>
      </c>
      <c r="B40" s="468" t="str">
        <f>+VLOOKUP($A40,Master!$D$25:$G$223,4,FALSE)</f>
        <v>Ostali izdaci</v>
      </c>
      <c r="C40" s="469"/>
      <c r="D40" s="469"/>
      <c r="E40" s="469"/>
      <c r="F40" s="469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2859100.45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8991379.9600000009</v>
      </c>
      <c r="T40" s="271">
        <f t="shared" si="4"/>
        <v>2.0445641949200719E-3</v>
      </c>
    </row>
    <row r="41" spans="1:22">
      <c r="A41" s="176">
        <v>440</v>
      </c>
      <c r="B41" s="468" t="str">
        <f>+VLOOKUP($A41,Master!$D$25:$G$223,4,FALSE)</f>
        <v>Kapitalni izdaci u tekućem budžetu</v>
      </c>
      <c r="C41" s="469"/>
      <c r="D41" s="469"/>
      <c r="E41" s="469"/>
      <c r="F41" s="469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2567489.7200000002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9485650.4500000011</v>
      </c>
      <c r="T41" s="271">
        <f t="shared" si="4"/>
        <v>2.156957148054665E-3</v>
      </c>
    </row>
    <row r="42" spans="1:22">
      <c r="A42" s="176">
        <v>42</v>
      </c>
      <c r="B42" s="464" t="str">
        <f>+VLOOKUP($A42,Master!$D$25:$G$223,4,FALSE)</f>
        <v>Transferi za socijalnu zaštitu</v>
      </c>
      <c r="C42" s="465"/>
      <c r="D42" s="465"/>
      <c r="E42" s="465"/>
      <c r="F42" s="465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01">
        <f t="shared" si="8"/>
        <v>43012361.310000002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175983328.05000001</v>
      </c>
      <c r="T42" s="274">
        <f t="shared" si="4"/>
        <v>4.0017128965140869E-2</v>
      </c>
    </row>
    <row r="43" spans="1:22">
      <c r="A43" s="176">
        <v>421</v>
      </c>
      <c r="B43" s="468" t="str">
        <f>+VLOOKUP($A43,Master!$D$25:$G$223,4,FALSE)</f>
        <v>Prava iz oblasti socijalne zaštite</v>
      </c>
      <c r="C43" s="469"/>
      <c r="D43" s="469"/>
      <c r="E43" s="469"/>
      <c r="F43" s="469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6327448.5300000003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25674416.469999999</v>
      </c>
      <c r="T43" s="271">
        <f t="shared" si="4"/>
        <v>5.8381464106237345E-3</v>
      </c>
    </row>
    <row r="44" spans="1:22">
      <c r="A44" s="176">
        <v>422</v>
      </c>
      <c r="B44" s="468" t="str">
        <f>+VLOOKUP($A44,Master!$D$25:$G$223,4,FALSE)</f>
        <v>Sredstva za tehnološke viškove</v>
      </c>
      <c r="C44" s="469"/>
      <c r="D44" s="469"/>
      <c r="E44" s="469"/>
      <c r="F44" s="469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945506.13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3478581.05</v>
      </c>
      <c r="T44" s="271">
        <f t="shared" si="4"/>
        <v>7.9100007958705682E-4</v>
      </c>
    </row>
    <row r="45" spans="1:22">
      <c r="A45" s="176">
        <v>423</v>
      </c>
      <c r="B45" s="468" t="str">
        <f>+VLOOKUP($A45,Master!$D$25:$G$223,4,FALSE)</f>
        <v>Prava iz oblasti penzijskog i invalidskog osiguranja</v>
      </c>
      <c r="C45" s="469"/>
      <c r="D45" s="469"/>
      <c r="E45" s="469"/>
      <c r="F45" s="469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34790406.869999997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138333596.56</v>
      </c>
      <c r="T45" s="271">
        <f t="shared" si="4"/>
        <v>3.1455896618687043E-2</v>
      </c>
    </row>
    <row r="46" spans="1:22">
      <c r="A46" s="176">
        <v>424</v>
      </c>
      <c r="B46" s="468" t="str">
        <f>+VLOOKUP($A46,Master!$D$25:$G$223,4,FALSE)</f>
        <v>Ostala prava iz oblasti zdravstvene zaštite</v>
      </c>
      <c r="C46" s="469"/>
      <c r="D46" s="469"/>
      <c r="E46" s="469"/>
      <c r="F46" s="469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425632.96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5762647.7800000003</v>
      </c>
      <c r="T46" s="271">
        <f t="shared" si="4"/>
        <v>1.310377647406599E-3</v>
      </c>
    </row>
    <row r="47" spans="1:22">
      <c r="A47" s="176">
        <v>425</v>
      </c>
      <c r="B47" s="468" t="str">
        <f>+VLOOKUP($A47,Master!$D$25:$G$223,4,FALSE)</f>
        <v>Ostala prava iz zdravstvenog osiguranja</v>
      </c>
      <c r="C47" s="469"/>
      <c r="D47" s="469"/>
      <c r="E47" s="469"/>
      <c r="F47" s="469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523366.82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2734086.19</v>
      </c>
      <c r="T47" s="271">
        <f t="shared" si="4"/>
        <v>6.2170820883643719E-4</v>
      </c>
    </row>
    <row r="48" spans="1:22">
      <c r="A48" s="176">
        <v>43</v>
      </c>
      <c r="B48" s="466" t="str">
        <f>+VLOOKUP($A48,Master!$D$25:$G$223,4,FALSE)</f>
        <v xml:space="preserve">Transferi institucijama, pojedincima, nevladinom i javnom sektoru </v>
      </c>
      <c r="C48" s="467"/>
      <c r="D48" s="467"/>
      <c r="E48" s="467"/>
      <c r="F48" s="467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13096709.15</v>
      </c>
      <c r="I48" s="201">
        <f>+INDEX(DataEx!$1:$1048576,MATCH('2018'!$A48,DataEx!$D:$D,0),MATCH('2018'!I$6,DataEx!$7:$7,0))</f>
        <v>16347396.119999999</v>
      </c>
      <c r="J48" s="201">
        <f>+INDEX(DataEx!$1:$1048576,MATCH('2018'!$A48,DataEx!$D:$D,0),MATCH('2018'!J$6,DataEx!$7:$7,0))</f>
        <v>15689300.51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56170247.759999998</v>
      </c>
      <c r="T48" s="274">
        <f t="shared" si="4"/>
        <v>1.2772642008322533E-2</v>
      </c>
    </row>
    <row r="49" spans="1:22">
      <c r="A49" s="176">
        <v>44</v>
      </c>
      <c r="B49" s="466" t="str">
        <f>+VLOOKUP($A49,Master!$D$25:$G$223,4,FALSE)</f>
        <v>Kapitalni budžet</v>
      </c>
      <c r="C49" s="467"/>
      <c r="D49" s="467"/>
      <c r="E49" s="467"/>
      <c r="F49" s="467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28775491.48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44600966.909999996</v>
      </c>
      <c r="T49" s="274">
        <f t="shared" si="4"/>
        <v>1.0141884828433043E-2</v>
      </c>
    </row>
    <row r="50" spans="1:22">
      <c r="A50" s="176">
        <v>451</v>
      </c>
      <c r="B50" s="436" t="str">
        <f>+VLOOKUP($A50,Master!$D$25:$G$223,4,FALSE)</f>
        <v>Pozajmice i krediti</v>
      </c>
      <c r="C50" s="437"/>
      <c r="D50" s="437"/>
      <c r="E50" s="437"/>
      <c r="F50" s="437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237">
        <f>+INDEX(DataEx!$1:$1048576,MATCH('2018'!$A50,DataEx!$D:$D,0),MATCH('2018'!J$6,DataEx!$7:$7,0))</f>
        <v>285264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671170.62</v>
      </c>
      <c r="T50" s="271">
        <f t="shared" si="4"/>
        <v>1.5261855515383041E-4</v>
      </c>
    </row>
    <row r="51" spans="1:22">
      <c r="A51" s="176">
        <v>47</v>
      </c>
      <c r="B51" s="436" t="str">
        <f>+VLOOKUP($A51,Master!$D$25:$G$223,4,FALSE)</f>
        <v>Rezerve</v>
      </c>
      <c r="C51" s="437"/>
      <c r="D51" s="437"/>
      <c r="E51" s="437"/>
      <c r="F51" s="437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237">
        <f>+INDEX(DataEx!$1:$1048576,MATCH('2018'!$A51,DataEx!$D:$D,0),MATCH('2018'!J$6,DataEx!$7:$7,0))</f>
        <v>460039.86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3094948.94</v>
      </c>
      <c r="T51" s="271">
        <f t="shared" si="4"/>
        <v>7.0376536371284984E-4</v>
      </c>
    </row>
    <row r="52" spans="1:22" ht="13.5" thickBot="1">
      <c r="A52" s="176">
        <v>462</v>
      </c>
      <c r="B52" s="454" t="str">
        <f>+VLOOKUP($A52,Master!$D$25:$G$223,4,FALSE)</f>
        <v>Otplata garancija</v>
      </c>
      <c r="C52" s="455"/>
      <c r="D52" s="455"/>
      <c r="E52" s="455"/>
      <c r="F52" s="455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4" t="str">
        <f>+VLOOKUP($A53,Master!$D$25:$G$223,4,TRUE)</f>
        <v>Otplata obaveza iz prethodnih godina</v>
      </c>
      <c r="C53" s="455"/>
      <c r="D53" s="455"/>
      <c r="E53" s="455"/>
      <c r="F53" s="455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2027778.28</v>
      </c>
      <c r="J53" s="225">
        <f>+INDEX(DataEx!$1:$1048576,MATCH('2018'!$A53,DataEx!$D:$D,0),MATCH('2018'!J$6,DataEx!$7:$7,0))</f>
        <v>2459675.87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8374917.04</v>
      </c>
      <c r="T53" s="285">
        <f>+S53/$T$7</f>
        <v>1.9043857107124179E-3</v>
      </c>
    </row>
    <row r="54" spans="1:22" ht="13.5" thickBot="1">
      <c r="A54" s="71">
        <v>1005</v>
      </c>
      <c r="B54" s="488" t="str">
        <f>+VLOOKUP($A54,Master!$D$25:$G$225,4,FALSE)</f>
        <v>Neto povećanje obaveza</v>
      </c>
      <c r="C54" s="489"/>
      <c r="D54" s="489"/>
      <c r="E54" s="489"/>
      <c r="F54" s="489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7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60" t="str">
        <f>+VLOOKUP($A55,Master!$D$25:$G$223,4,FALSE)</f>
        <v>Suficit / deficit</v>
      </c>
      <c r="C55" s="461"/>
      <c r="D55" s="461"/>
      <c r="E55" s="461"/>
      <c r="F55" s="461"/>
      <c r="G55" s="177">
        <f t="shared" ref="G55:R55" si="9">+G10-G29</f>
        <v>-24555818.700000003</v>
      </c>
      <c r="H55" s="177">
        <f t="shared" si="9"/>
        <v>-11936273.369999975</v>
      </c>
      <c r="I55" s="177">
        <f t="shared" si="9"/>
        <v>-33549722.01000005</v>
      </c>
      <c r="J55" s="177">
        <f t="shared" si="9"/>
        <v>9737944.7399999797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-60303869.340000048</v>
      </c>
      <c r="T55" s="287">
        <f t="shared" si="4"/>
        <v>-1.3712592796234406E-2</v>
      </c>
    </row>
    <row r="56" spans="1:22" ht="13.5" thickBot="1">
      <c r="A56" s="170">
        <v>1001</v>
      </c>
      <c r="B56" s="462" t="str">
        <f>+VLOOKUP($A56,Master!$D$25:$G$223,4,FALSE)</f>
        <v>Primarni bilans</v>
      </c>
      <c r="C56" s="463"/>
      <c r="D56" s="463"/>
      <c r="E56" s="463"/>
      <c r="F56" s="463"/>
      <c r="G56" s="231">
        <f>+G55+G37</f>
        <v>-20231741.150000002</v>
      </c>
      <c r="H56" s="231">
        <f t="shared" ref="H56:R56" si="10">+H55+H37</f>
        <v>-10885472.139999975</v>
      </c>
      <c r="I56" s="231">
        <f t="shared" si="10"/>
        <v>5964954.6999999508</v>
      </c>
      <c r="J56" s="231">
        <f t="shared" si="10"/>
        <v>11366133.73999998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-13786124.850000046</v>
      </c>
      <c r="T56" s="287">
        <f t="shared" si="4"/>
        <v>-3.134848864179013E-3</v>
      </c>
    </row>
    <row r="57" spans="1:22">
      <c r="A57" s="170">
        <v>46</v>
      </c>
      <c r="B57" s="464" t="str">
        <f>+VLOOKUP($A57,Master!$D$25:$G$223,4,FALSE)</f>
        <v>Otplata dugova</v>
      </c>
      <c r="C57" s="465"/>
      <c r="D57" s="465"/>
      <c r="E57" s="465"/>
      <c r="F57" s="465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01">
        <f t="shared" si="11"/>
        <v>19981471.990000002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119736633.22</v>
      </c>
      <c r="T57" s="289">
        <f t="shared" si="4"/>
        <v>2.722710353593924E-2</v>
      </c>
      <c r="V57" s="384"/>
    </row>
    <row r="58" spans="1:22">
      <c r="A58" s="170">
        <v>4611</v>
      </c>
      <c r="B58" s="452" t="str">
        <f>+VLOOKUP($A58,Master!$D$25:$G$223,4,FALSE)</f>
        <v>Otplata hartija od vrijednosti i kredita rezidentima</v>
      </c>
      <c r="C58" s="453"/>
      <c r="D58" s="453"/>
      <c r="E58" s="453"/>
      <c r="F58" s="453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2231658.5099999998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84802182.190000013</v>
      </c>
      <c r="T58" s="291">
        <f t="shared" si="4"/>
        <v>1.9283303133456126E-2</v>
      </c>
    </row>
    <row r="59" spans="1:22" ht="13.5" thickBot="1">
      <c r="A59" s="170">
        <v>4612</v>
      </c>
      <c r="B59" s="436" t="str">
        <f>+VLOOKUP($A59,Master!$D$25:$G$223,4,FALSE)</f>
        <v>Otplata hartija od vrijednosti i kredita nerezidentima</v>
      </c>
      <c r="C59" s="437"/>
      <c r="D59" s="437"/>
      <c r="E59" s="437"/>
      <c r="F59" s="437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17749813.48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34934451.030000001</v>
      </c>
      <c r="T59" s="291">
        <f t="shared" si="4"/>
        <v>7.9438004024831171E-3</v>
      </c>
      <c r="V59" s="403"/>
    </row>
    <row r="60" spans="1:22" ht="13.5" thickBot="1">
      <c r="A60" s="170">
        <v>1002</v>
      </c>
      <c r="B60" s="456" t="str">
        <f>+VLOOKUP($A60,Master!$D$25:$G$223,4,FALSE)</f>
        <v>Nedostajuća sredstva</v>
      </c>
      <c r="C60" s="457"/>
      <c r="D60" s="457"/>
      <c r="E60" s="457"/>
      <c r="F60" s="457"/>
      <c r="G60" s="243">
        <f t="shared" ref="G60:R60" si="12">+G55-G57</f>
        <v>-50755983.680000007</v>
      </c>
      <c r="H60" s="243">
        <f t="shared" si="12"/>
        <v>-66425245.129999973</v>
      </c>
      <c r="I60" s="243">
        <f t="shared" si="12"/>
        <v>-52615746.500000052</v>
      </c>
      <c r="J60" s="243">
        <f t="shared" si="12"/>
        <v>-10243527.250000022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-180040502.56000006</v>
      </c>
      <c r="T60" s="293">
        <f t="shared" si="4"/>
        <v>-4.0939696332173647E-2</v>
      </c>
    </row>
    <row r="61" spans="1:22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+SUM(G62:G65)</f>
        <v>50755983.680000007</v>
      </c>
      <c r="H61" s="177">
        <f t="shared" ref="H61:R61" si="13">+SUM(H62:H65)</f>
        <v>66425245.129999973</v>
      </c>
      <c r="I61" s="177">
        <f t="shared" si="13"/>
        <v>52615746.500000052</v>
      </c>
      <c r="J61" s="177">
        <f t="shared" si="13"/>
        <v>10243527.250000015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180040502.56000006</v>
      </c>
      <c r="T61" s="295">
        <f t="shared" si="4"/>
        <v>4.0939696332173647E-2</v>
      </c>
    </row>
    <row r="62" spans="1:22">
      <c r="A62" s="170">
        <v>7511</v>
      </c>
      <c r="B62" s="452" t="str">
        <f>+VLOOKUP($A62,Master!$D$25:$G$223,4,FALSE)</f>
        <v>Pozajmice i krediti od domaćih izvora</v>
      </c>
      <c r="C62" s="453"/>
      <c r="D62" s="453"/>
      <c r="E62" s="453"/>
      <c r="F62" s="453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75357443.420000002</v>
      </c>
      <c r="I62" s="237">
        <f>+INDEX(DataEx!$1:$1048576,MATCH('2018'!$A62,DataEx!$D:$D,0),MATCH('2018'!I$6,DataEx!$7:$7,0))</f>
        <v>20706614.620000001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120600000</v>
      </c>
      <c r="T62" s="291">
        <f t="shared" si="4"/>
        <v>2.7423425881710893E-2</v>
      </c>
    </row>
    <row r="63" spans="1:22">
      <c r="A63" s="170">
        <v>7512</v>
      </c>
      <c r="B63" s="436" t="str">
        <f>+VLOOKUP($A63,Master!$D$25:$G$223,4,FALSE)</f>
        <v>Pozajmice i krediti od inostranih izvora</v>
      </c>
      <c r="C63" s="437"/>
      <c r="D63" s="437"/>
      <c r="E63" s="437"/>
      <c r="F63" s="437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5238085.6500000004</v>
      </c>
      <c r="J63" s="237">
        <f>+INDEX(DataEx!$1:$1048576,MATCH('2018'!$A63,DataEx!$D:$D,0),MATCH('2018'!J$6,DataEx!$7:$7,0))</f>
        <v>125398354.06999999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131047841.33</v>
      </c>
      <c r="T63" s="291">
        <f t="shared" si="4"/>
        <v>2.9799177144871181E-2</v>
      </c>
    </row>
    <row r="64" spans="1:22">
      <c r="A64" s="170">
        <v>72</v>
      </c>
      <c r="B64" s="436" t="str">
        <f>+VLOOKUP($A64,Master!$D$25:$G$223,4,FALSE)</f>
        <v>Primici od prodaje imovine</v>
      </c>
      <c r="C64" s="437"/>
      <c r="D64" s="437"/>
      <c r="E64" s="437"/>
      <c r="F64" s="437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2343256.64</v>
      </c>
      <c r="J64" s="237">
        <f>+INDEX(DataEx!$1:$1048576,MATCH('2018'!$A64,DataEx!$D:$D,0),MATCH('2018'!J$6,DataEx!$7:$7,0))</f>
        <v>108273.11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2861248.16</v>
      </c>
      <c r="T64" s="291">
        <f t="shared" si="4"/>
        <v>6.5062377151692936E-4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25863047.080000006</v>
      </c>
      <c r="H65" s="251">
        <f t="shared" ref="H65:R65" si="14">-H60-SUM(H62:H64)</f>
        <v>-9396323.6700000241</v>
      </c>
      <c r="I65" s="251">
        <f t="shared" si="14"/>
        <v>24327789.590000048</v>
      </c>
      <c r="J65" s="251">
        <f t="shared" si="14"/>
        <v>-115263099.92999998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-74468586.929999948</v>
      </c>
      <c r="T65" s="297">
        <f t="shared" si="4"/>
        <v>-1.693353046592536E-2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522" t="str">
        <f>+Master!G250</f>
        <v>Plan ostvarenja budžeta</v>
      </c>
      <c r="C101" s="523"/>
      <c r="D101" s="523"/>
      <c r="E101" s="523"/>
      <c r="F101" s="523"/>
      <c r="G101" s="516">
        <v>2018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17"/>
      <c r="S101" s="116" t="str">
        <f>+S7</f>
        <v>BDP</v>
      </c>
      <c r="T101" s="117">
        <f>+T7</f>
        <v>4397700000</v>
      </c>
    </row>
    <row r="102" spans="1:21" ht="15.75" customHeight="1">
      <c r="B102" s="524"/>
      <c r="C102" s="525"/>
      <c r="D102" s="525"/>
      <c r="E102" s="525"/>
      <c r="F102" s="52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16" t="str">
        <f>+Master!G244</f>
        <v>Jan - Dec</v>
      </c>
      <c r="T102" s="517">
        <f>+T8</f>
        <v>0</v>
      </c>
    </row>
    <row r="103" spans="1:21" ht="13.5" thickBot="1">
      <c r="B103" s="527"/>
      <c r="C103" s="528"/>
      <c r="D103" s="528"/>
      <c r="E103" s="528"/>
      <c r="F103" s="52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8" t="str">
        <f>+VLOOKUP(LEFT($A104,LEN(A104)-1)*1,Master!$D$25:$G$223,4,FALSE)</f>
        <v>Prihodi budžeta</v>
      </c>
      <c r="C104" s="519"/>
      <c r="D104" s="519"/>
      <c r="E104" s="519"/>
      <c r="F104" s="519"/>
      <c r="G104" s="97">
        <f t="shared" ref="G104:R104" si="18">+G105+G113+SUM(G118:G122)</f>
        <v>81452722.769545287</v>
      </c>
      <c r="H104" s="97">
        <f t="shared" si="18"/>
        <v>107089778.65808436</v>
      </c>
      <c r="I104" s="97">
        <f t="shared" si="18"/>
        <v>146725666.82751563</v>
      </c>
      <c r="J104" s="97">
        <f t="shared" si="18"/>
        <v>139657100.24302021</v>
      </c>
      <c r="K104" s="97">
        <f t="shared" si="18"/>
        <v>137080240.952337</v>
      </c>
      <c r="L104" s="97">
        <f t="shared" si="18"/>
        <v>147166759.04162213</v>
      </c>
      <c r="M104" s="97">
        <f t="shared" si="18"/>
        <v>194218626.54930359</v>
      </c>
      <c r="N104" s="97">
        <f t="shared" si="18"/>
        <v>167980284.49475008</v>
      </c>
      <c r="O104" s="97">
        <f t="shared" si="18"/>
        <v>156536999.59161776</v>
      </c>
      <c r="P104" s="97">
        <f t="shared" si="18"/>
        <v>151655169.29846382</v>
      </c>
      <c r="Q104" s="97">
        <f t="shared" si="18"/>
        <v>137707738.88505581</v>
      </c>
      <c r="R104" s="97">
        <f t="shared" si="18"/>
        <v>197975004.10197231</v>
      </c>
      <c r="S104" s="122">
        <f>+SUM(G104:R104)</f>
        <v>1765246091.4132881</v>
      </c>
      <c r="T104" s="123">
        <f>+S104/$T$7</f>
        <v>0.40140211733708259</v>
      </c>
    </row>
    <row r="105" spans="1:21">
      <c r="A105" s="138" t="str">
        <f t="shared" si="17"/>
        <v>711p</v>
      </c>
      <c r="B105" s="520" t="str">
        <f>+VLOOKUP(LEFT($A105,LEN(A105)-1)*1,Master!$D$25:$G$223,4,FALSE)</f>
        <v>Porezi</v>
      </c>
      <c r="C105" s="521"/>
      <c r="D105" s="521"/>
      <c r="E105" s="521"/>
      <c r="F105" s="521"/>
      <c r="G105" s="81">
        <f t="shared" ref="G105:R105" si="19">+SUM(G106:G112)</f>
        <v>60203729.449545287</v>
      </c>
      <c r="H105" s="81">
        <f t="shared" si="19"/>
        <v>64843710.358084358</v>
      </c>
      <c r="I105" s="81">
        <f t="shared" si="19"/>
        <v>99795007.214553386</v>
      </c>
      <c r="J105" s="81">
        <f t="shared" si="19"/>
        <v>90117605.258240208</v>
      </c>
      <c r="K105" s="81">
        <f t="shared" si="19"/>
        <v>86553600.036061302</v>
      </c>
      <c r="L105" s="81">
        <f t="shared" si="19"/>
        <v>94954923.140407905</v>
      </c>
      <c r="M105" s="81">
        <f t="shared" si="19"/>
        <v>99367696.161034286</v>
      </c>
      <c r="N105" s="81">
        <f t="shared" si="19"/>
        <v>110457863.00623669</v>
      </c>
      <c r="O105" s="81">
        <f t="shared" si="19"/>
        <v>102405679.34406348</v>
      </c>
      <c r="P105" s="81">
        <f t="shared" si="19"/>
        <v>95794499.228549376</v>
      </c>
      <c r="Q105" s="81">
        <f t="shared" si="19"/>
        <v>82607921.300175518</v>
      </c>
      <c r="R105" s="82">
        <f t="shared" si="19"/>
        <v>98219823.262677118</v>
      </c>
      <c r="S105" s="124">
        <f t="shared" ref="S105:S159" si="20">+SUM(G105:R105)</f>
        <v>1085322057.759629</v>
      </c>
      <c r="T105" s="125">
        <f t="shared" ref="T105:T159" si="21">+S105/$T$7</f>
        <v>0.24679310952534939</v>
      </c>
      <c r="U105" s="303"/>
    </row>
    <row r="106" spans="1:21">
      <c r="A106" s="138" t="str">
        <f t="shared" si="17"/>
        <v>7111p</v>
      </c>
      <c r="B106" s="502" t="str">
        <f>+VLOOKUP(LEFT($A106,LEN(A106)-1)*1,Master!$D$25:$G$223,4,FALSE)</f>
        <v>Porez na dohodak fizičkih lica</v>
      </c>
      <c r="C106" s="503"/>
      <c r="D106" s="503"/>
      <c r="E106" s="503"/>
      <c r="F106" s="503"/>
      <c r="G106" s="91">
        <f>+SUM(DataEx!ET221)</f>
        <v>3496624.83</v>
      </c>
      <c r="H106" s="91">
        <f>+SUM(DataEx!EU221)</f>
        <v>8897390.9499999993</v>
      </c>
      <c r="I106" s="91">
        <f>+SUM(DataEx!EV221)</f>
        <v>9851190.0684044715</v>
      </c>
      <c r="J106" s="91">
        <f>+SUM(DataEx!EW221)</f>
        <v>9456522.7919898443</v>
      </c>
      <c r="K106" s="91">
        <f>+SUM(DataEx!EX221)</f>
        <v>10644686.280068103</v>
      </c>
      <c r="L106" s="91">
        <f>+SUM(DataEx!EY221)</f>
        <v>10529536.439230289</v>
      </c>
      <c r="M106" s="91">
        <f>+SUM(DataEx!EZ221)</f>
        <v>11459377.222866835</v>
      </c>
      <c r="N106" s="91">
        <f>+SUM(DataEx!FA221)</f>
        <v>11349599.062734554</v>
      </c>
      <c r="O106" s="91">
        <f>+SUM(DataEx!FB221)</f>
        <v>10410490.432834331</v>
      </c>
      <c r="P106" s="91">
        <f>+SUM(DataEx!FC221)</f>
        <v>11079108.171049241</v>
      </c>
      <c r="Q106" s="91">
        <f>+SUM(DataEx!FD221)</f>
        <v>8309878.0236359257</v>
      </c>
      <c r="R106" s="91">
        <f>+SUM(DataEx!FE221)</f>
        <v>15650000.315266687</v>
      </c>
      <c r="S106" s="126">
        <f t="shared" si="20"/>
        <v>121134404.58808027</v>
      </c>
      <c r="T106" s="127">
        <f t="shared" si="21"/>
        <v>2.7544944991263677E-2</v>
      </c>
    </row>
    <row r="107" spans="1:21">
      <c r="A107" s="138" t="str">
        <f t="shared" si="17"/>
        <v>7112p</v>
      </c>
      <c r="B107" s="502" t="str">
        <f>+VLOOKUP(LEFT($A107,LEN(A107)-1)*1,Master!$D$25:$G$223,4,FALSE)</f>
        <v>Porez na dobit pravnih lica</v>
      </c>
      <c r="C107" s="503"/>
      <c r="D107" s="503"/>
      <c r="E107" s="503"/>
      <c r="F107" s="503"/>
      <c r="G107" s="91">
        <f>+SUM(DataEx!ET222)</f>
        <v>475602.8</v>
      </c>
      <c r="H107" s="91">
        <f>+SUM(DataEx!EU222)</f>
        <v>1641570.62</v>
      </c>
      <c r="I107" s="91">
        <f>+SUM(DataEx!EV222)</f>
        <v>18508918.148864955</v>
      </c>
      <c r="J107" s="91">
        <f>+SUM(DataEx!EW222)</f>
        <v>15245006.927149141</v>
      </c>
      <c r="K107" s="91">
        <f>+SUM(DataEx!EX222)</f>
        <v>2819722.624497789</v>
      </c>
      <c r="L107" s="91">
        <f>+SUM(DataEx!EY222)</f>
        <v>2620262.7727349945</v>
      </c>
      <c r="M107" s="91">
        <f>+SUM(DataEx!EZ222)</f>
        <v>2545870.4530727412</v>
      </c>
      <c r="N107" s="91">
        <f>+SUM(DataEx!FA222)</f>
        <v>2639127.1473694532</v>
      </c>
      <c r="O107" s="91">
        <f>+SUM(DataEx!FB222)</f>
        <v>1159823.8439063106</v>
      </c>
      <c r="P107" s="91">
        <f>+SUM(DataEx!FC222)</f>
        <v>1773979.57478168</v>
      </c>
      <c r="Q107" s="91">
        <f>+SUM(DataEx!FD222)</f>
        <v>701543.77928087593</v>
      </c>
      <c r="R107" s="91">
        <f>+SUM(DataEx!FE222)</f>
        <v>1749607.0819956034</v>
      </c>
      <c r="S107" s="126">
        <f t="shared" si="20"/>
        <v>51881035.773653544</v>
      </c>
      <c r="T107" s="127">
        <f t="shared" si="21"/>
        <v>1.1797311270358038E-2</v>
      </c>
    </row>
    <row r="108" spans="1:21">
      <c r="A108" s="138" t="str">
        <f t="shared" si="17"/>
        <v>7113p</v>
      </c>
      <c r="B108" s="502" t="str">
        <f>+VLOOKUP(LEFT($A108,LEN(A108)-1)*1,Master!$D$25:$G$223,4,FALSE)</f>
        <v>Porez na promet nepokretnosti</v>
      </c>
      <c r="C108" s="503"/>
      <c r="D108" s="503"/>
      <c r="E108" s="503"/>
      <c r="F108" s="503"/>
      <c r="G108" s="91">
        <f>+SUM(DataEx!ET223)</f>
        <v>93380.49</v>
      </c>
      <c r="H108" s="91">
        <f>+SUM(DataEx!EU223)</f>
        <v>116565.53</v>
      </c>
      <c r="I108" s="91">
        <f>+SUM(DataEx!EV223)</f>
        <v>104047.95602937166</v>
      </c>
      <c r="J108" s="91">
        <f>+SUM(DataEx!EW223)</f>
        <v>110349.59462185318</v>
      </c>
      <c r="K108" s="91">
        <f>+SUM(DataEx!EX223)</f>
        <v>210034.05441915779</v>
      </c>
      <c r="L108" s="91">
        <f>+SUM(DataEx!EY223)</f>
        <v>112881.03363916301</v>
      </c>
      <c r="M108" s="91">
        <f>+SUM(DataEx!EZ223)</f>
        <v>165237.90094273287</v>
      </c>
      <c r="N108" s="91">
        <f>+SUM(DataEx!FA223)</f>
        <v>179232.92735336185</v>
      </c>
      <c r="O108" s="91">
        <f>+SUM(DataEx!FB223)</f>
        <v>136199.31001440389</v>
      </c>
      <c r="P108" s="91">
        <f>+SUM(DataEx!FC223)</f>
        <v>229977.20409803133</v>
      </c>
      <c r="Q108" s="91">
        <f>+SUM(DataEx!FD223)</f>
        <v>194711.60663450463</v>
      </c>
      <c r="R108" s="91">
        <f>+SUM(DataEx!FE223)</f>
        <v>152772.0914955248</v>
      </c>
      <c r="S108" s="126">
        <f t="shared" si="20"/>
        <v>1805389.6992481051</v>
      </c>
      <c r="T108" s="127">
        <f t="shared" si="21"/>
        <v>4.1053043619348865E-4</v>
      </c>
    </row>
    <row r="109" spans="1:21">
      <c r="A109" s="138" t="str">
        <f t="shared" si="17"/>
        <v>7114p</v>
      </c>
      <c r="B109" s="502" t="str">
        <f>+VLOOKUP(LEFT($A109,LEN(A109)-1)*1,Master!$D$25:$G$223,4,FALSE)</f>
        <v>Porez na dodatu vrijednost</v>
      </c>
      <c r="C109" s="503"/>
      <c r="D109" s="503"/>
      <c r="E109" s="503"/>
      <c r="F109" s="503"/>
      <c r="G109" s="91">
        <f>+SUM(DataEx!ET224)</f>
        <v>40926868.810000002</v>
      </c>
      <c r="H109" s="91">
        <f>+SUM(DataEx!EU224)</f>
        <v>38270122.18</v>
      </c>
      <c r="I109" s="91">
        <f>+SUM(DataEx!EV224)</f>
        <v>51505849.984329924</v>
      </c>
      <c r="J109" s="91">
        <f>+SUM(DataEx!EW224)</f>
        <v>44717067.964572787</v>
      </c>
      <c r="K109" s="91">
        <f>+SUM(DataEx!EX224)</f>
        <v>49751840.238490134</v>
      </c>
      <c r="L109" s="91">
        <f>+SUM(DataEx!EY224)</f>
        <v>57304012.959073536</v>
      </c>
      <c r="M109" s="91">
        <f>+SUM(DataEx!EZ224)</f>
        <v>58128176.583145849</v>
      </c>
      <c r="N109" s="91">
        <f>+SUM(DataEx!FA224)</f>
        <v>63799253.340618283</v>
      </c>
      <c r="O109" s="91">
        <f>+SUM(DataEx!FB224)</f>
        <v>59973292.027199574</v>
      </c>
      <c r="P109" s="91">
        <f>+SUM(DataEx!FC224)</f>
        <v>56182097.926777624</v>
      </c>
      <c r="Q109" s="91">
        <f>+SUM(DataEx!FD224)</f>
        <v>50439907.871926405</v>
      </c>
      <c r="R109" s="91">
        <f>+SUM(DataEx!FE224)</f>
        <v>56341106.351527147</v>
      </c>
      <c r="S109" s="126">
        <f t="shared" si="20"/>
        <v>627339596.23766112</v>
      </c>
      <c r="T109" s="127">
        <f t="shared" si="21"/>
        <v>0.14265174892276897</v>
      </c>
    </row>
    <row r="110" spans="1:21">
      <c r="A110" s="138" t="str">
        <f t="shared" si="17"/>
        <v>7115p</v>
      </c>
      <c r="B110" s="502" t="str">
        <f>+VLOOKUP(LEFT($A110,LEN(A110)-1)*1,Master!$D$25:$G$223,4,FALSE)</f>
        <v>Akcize</v>
      </c>
      <c r="C110" s="503"/>
      <c r="D110" s="503"/>
      <c r="E110" s="503"/>
      <c r="F110" s="503"/>
      <c r="G110" s="91">
        <f>+SUM(DataEx!ET225)</f>
        <v>13370061.67</v>
      </c>
      <c r="H110" s="91">
        <f>+SUM(DataEx!EU225)</f>
        <v>13585674.48</v>
      </c>
      <c r="I110" s="91">
        <f>+SUM(DataEx!EV225)</f>
        <v>16615528.16120209</v>
      </c>
      <c r="J110" s="91">
        <f>+SUM(DataEx!EW225)</f>
        <v>17556372.154467821</v>
      </c>
      <c r="K110" s="91">
        <f>+SUM(DataEx!EX225)</f>
        <v>19907775.745794021</v>
      </c>
      <c r="L110" s="91">
        <f>+SUM(DataEx!EY225)</f>
        <v>20967411.446635</v>
      </c>
      <c r="M110" s="91">
        <f>+SUM(DataEx!EZ225)</f>
        <v>23494454.438663479</v>
      </c>
      <c r="N110" s="91">
        <f>+SUM(DataEx!FA225)</f>
        <v>28618280.907139812</v>
      </c>
      <c r="O110" s="91">
        <f>+SUM(DataEx!FB225)</f>
        <v>27608607.426119331</v>
      </c>
      <c r="P110" s="91">
        <f>+SUM(DataEx!FC225)</f>
        <v>23366507.59216639</v>
      </c>
      <c r="Q110" s="91">
        <f>+SUM(DataEx!FD225)</f>
        <v>20212469.544035491</v>
      </c>
      <c r="R110" s="91">
        <f>+SUM(DataEx!FE225)</f>
        <v>21069062.373790596</v>
      </c>
      <c r="S110" s="126">
        <f t="shared" si="20"/>
        <v>246372205.94001403</v>
      </c>
      <c r="T110" s="127">
        <f t="shared" si="21"/>
        <v>5.60229679014062E-2</v>
      </c>
    </row>
    <row r="111" spans="1:21">
      <c r="A111" s="138" t="str">
        <f t="shared" si="17"/>
        <v>7116p</v>
      </c>
      <c r="B111" s="502" t="str">
        <f>+VLOOKUP(LEFT($A111,LEN(A111)-1)*1,Master!$D$25:$G$223,4,FALSE)</f>
        <v>Porez na međunarodnu trgovinu i transakcije</v>
      </c>
      <c r="C111" s="503"/>
      <c r="D111" s="503"/>
      <c r="E111" s="503"/>
      <c r="F111" s="503"/>
      <c r="G111" s="91">
        <f>+SUM(DataEx!ET226)</f>
        <v>1218936.71</v>
      </c>
      <c r="H111" s="91">
        <f>+SUM(DataEx!EU226)</f>
        <v>1678360</v>
      </c>
      <c r="I111" s="91">
        <f>+SUM(DataEx!EV226)</f>
        <v>2333208.4438380604</v>
      </c>
      <c r="J111" s="91">
        <f>+SUM(DataEx!EW226)</f>
        <v>2103438.3700065464</v>
      </c>
      <c r="K111" s="91">
        <f>+SUM(DataEx!EX226)</f>
        <v>2392101.4273314034</v>
      </c>
      <c r="L111" s="91">
        <f>+SUM(DataEx!EY226)</f>
        <v>2474300.1004540911</v>
      </c>
      <c r="M111" s="91">
        <f>+SUM(DataEx!EZ226)</f>
        <v>2642207.3072099253</v>
      </c>
      <c r="N111" s="91">
        <f>+SUM(DataEx!FA226)</f>
        <v>2998374.8777813497</v>
      </c>
      <c r="O111" s="91">
        <f>+SUM(DataEx!FB226)</f>
        <v>2253516.7615488064</v>
      </c>
      <c r="P111" s="91">
        <f>+SUM(DataEx!FC226)</f>
        <v>2271028.6797934445</v>
      </c>
      <c r="Q111" s="91">
        <f>+SUM(DataEx!FD226)</f>
        <v>1980658.6013352112</v>
      </c>
      <c r="R111" s="91">
        <f>+SUM(DataEx!FE226)</f>
        <v>2394724.0287171667</v>
      </c>
      <c r="S111" s="126">
        <f t="shared" si="20"/>
        <v>26740855.308016006</v>
      </c>
      <c r="T111" s="127">
        <f t="shared" si="21"/>
        <v>6.0806456347672656E-3</v>
      </c>
    </row>
    <row r="112" spans="1:21">
      <c r="A112" s="138" t="str">
        <f t="shared" si="17"/>
        <v>7118p</v>
      </c>
      <c r="B112" s="502" t="str">
        <f>+VLOOKUP(LEFT($A112,LEN(A112)-1)*1,Master!$D$25:$G$223,4,FALSE)</f>
        <v>Ostali državni porezi</v>
      </c>
      <c r="C112" s="503"/>
      <c r="D112" s="503"/>
      <c r="E112" s="503"/>
      <c r="F112" s="503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14" t="str">
        <f>+VLOOKUP(LEFT($A113,LEN(A113)-1)*1,Master!$D$25:$G$223,4,FALSE)</f>
        <v>Doprinosi</v>
      </c>
      <c r="C113" s="515"/>
      <c r="D113" s="515"/>
      <c r="E113" s="515"/>
      <c r="F113" s="515"/>
      <c r="G113" s="83">
        <f>+SUM(G114:G117)</f>
        <v>14572676.99</v>
      </c>
      <c r="H113" s="83">
        <f t="shared" ref="H113:R113" si="22">+SUM(H114:H117)</f>
        <v>36938118.07</v>
      </c>
      <c r="I113" s="83">
        <f t="shared" si="22"/>
        <v>39514509.178451218</v>
      </c>
      <c r="J113" s="83">
        <f t="shared" si="22"/>
        <v>37910256.538797826</v>
      </c>
      <c r="K113" s="83">
        <f t="shared" si="22"/>
        <v>42763487.772590324</v>
      </c>
      <c r="L113" s="83">
        <f t="shared" si="22"/>
        <v>42792327.10322699</v>
      </c>
      <c r="M113" s="83">
        <f t="shared" si="22"/>
        <v>46921719.679339595</v>
      </c>
      <c r="N113" s="83">
        <f t="shared" si="22"/>
        <v>46273566.346314959</v>
      </c>
      <c r="O113" s="83">
        <f t="shared" si="22"/>
        <v>42432994.444399171</v>
      </c>
      <c r="P113" s="83">
        <f t="shared" si="22"/>
        <v>44988379.58037632</v>
      </c>
      <c r="Q113" s="83">
        <f t="shared" si="22"/>
        <v>46439891.107192069</v>
      </c>
      <c r="R113" s="84">
        <f t="shared" si="22"/>
        <v>81000468.221336052</v>
      </c>
      <c r="S113" s="128">
        <f t="shared" si="20"/>
        <v>522548395.03202456</v>
      </c>
      <c r="T113" s="129">
        <f t="shared" si="21"/>
        <v>0.11882311095163939</v>
      </c>
    </row>
    <row r="114" spans="1:20">
      <c r="A114" s="138" t="str">
        <f t="shared" si="17"/>
        <v>7121p</v>
      </c>
      <c r="B114" s="502" t="str">
        <f>+VLOOKUP(LEFT($A114,LEN(A114)-1)*1,Master!$D$25:$G$223,4,FALSE)</f>
        <v>Doprinosi za penzijsko i invalidsko osiguranje</v>
      </c>
      <c r="C114" s="503"/>
      <c r="D114" s="503"/>
      <c r="E114" s="503"/>
      <c r="F114" s="503"/>
      <c r="G114" s="91">
        <f>+SUM(DataEx!ET230)</f>
        <v>8994145.9900000002</v>
      </c>
      <c r="H114" s="91">
        <f>+SUM(DataEx!EU230)</f>
        <v>22424749.280000001</v>
      </c>
      <c r="I114" s="91">
        <f>+SUM(DataEx!EV230)</f>
        <v>23365365.124011513</v>
      </c>
      <c r="J114" s="91">
        <f>+SUM(DataEx!EW230)</f>
        <v>22345094.772705231</v>
      </c>
      <c r="K114" s="91">
        <f>+SUM(DataEx!EX230)</f>
        <v>25181449.621492796</v>
      </c>
      <c r="L114" s="91">
        <f>+SUM(DataEx!EY230)</f>
        <v>25103820.774740268</v>
      </c>
      <c r="M114" s="91">
        <f>+SUM(DataEx!EZ230)</f>
        <v>27904136.750176284</v>
      </c>
      <c r="N114" s="91">
        <f>+SUM(DataEx!FA230)</f>
        <v>27444585.567905214</v>
      </c>
      <c r="O114" s="91">
        <f>+SUM(DataEx!FB230)</f>
        <v>24835286.371805832</v>
      </c>
      <c r="P114" s="91">
        <f>+SUM(DataEx!FC230)</f>
        <v>26846713.827655204</v>
      </c>
      <c r="Q114" s="91">
        <f>+SUM(DataEx!FD230)</f>
        <v>30176111.349047177</v>
      </c>
      <c r="R114" s="91">
        <f>+SUM(DataEx!FE230)</f>
        <v>49874655.533011168</v>
      </c>
      <c r="S114" s="126">
        <f t="shared" si="20"/>
        <v>314496114.96255064</v>
      </c>
      <c r="T114" s="127">
        <f t="shared" si="21"/>
        <v>7.1513771963196818E-2</v>
      </c>
    </row>
    <row r="115" spans="1:20">
      <c r="A115" s="138" t="str">
        <f t="shared" si="17"/>
        <v>7122p</v>
      </c>
      <c r="B115" s="502" t="str">
        <f>+VLOOKUP(LEFT($A115,LEN(A115)-1)*1,Master!$D$25:$G$223,4,FALSE)</f>
        <v>Doprinosi za zdravstveno osiguranje</v>
      </c>
      <c r="C115" s="503"/>
      <c r="D115" s="503"/>
      <c r="E115" s="503"/>
      <c r="F115" s="503"/>
      <c r="G115" s="91">
        <f>+SUM(DataEx!ET231)</f>
        <v>4907250.76</v>
      </c>
      <c r="H115" s="91">
        <f>+SUM(DataEx!EU231)</f>
        <v>12702016.77</v>
      </c>
      <c r="I115" s="91">
        <f>+SUM(DataEx!EV231)</f>
        <v>14123196.061495384</v>
      </c>
      <c r="J115" s="91">
        <f>+SUM(DataEx!EW231)</f>
        <v>13479819.286998</v>
      </c>
      <c r="K115" s="91">
        <f>+SUM(DataEx!EX231)</f>
        <v>15202549.555480573</v>
      </c>
      <c r="L115" s="91">
        <f>+SUM(DataEx!EY231)</f>
        <v>15112176.785213545</v>
      </c>
      <c r="M115" s="91">
        <f>+SUM(DataEx!EZ231)</f>
        <v>16317942.270240625</v>
      </c>
      <c r="N115" s="91">
        <f>+SUM(DataEx!FA231)</f>
        <v>16148082.088868527</v>
      </c>
      <c r="O115" s="91">
        <f>+SUM(DataEx!FB231)</f>
        <v>14931344.202533228</v>
      </c>
      <c r="P115" s="91">
        <f>+SUM(DataEx!FC231)</f>
        <v>15915846.876421463</v>
      </c>
      <c r="Q115" s="91">
        <f>+SUM(DataEx!FD231)</f>
        <v>14543340.427429322</v>
      </c>
      <c r="R115" s="91">
        <f>+SUM(DataEx!FE231)</f>
        <v>27554145.495885469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502" t="str">
        <f>+VLOOKUP(LEFT($A116,LEN(A116)-1)*1,Master!$D$25:$G$223,4,FALSE)</f>
        <v>Doprinosi za osiguranje od nezaposlenosti</v>
      </c>
      <c r="C116" s="503"/>
      <c r="D116" s="503"/>
      <c r="E116" s="503"/>
      <c r="F116" s="503"/>
      <c r="G116" s="91">
        <f>+SUM(DataEx!ET232)</f>
        <v>365962.97</v>
      </c>
      <c r="H116" s="91">
        <f>+SUM(DataEx!EU232)</f>
        <v>960588.74</v>
      </c>
      <c r="I116" s="91">
        <f>+SUM(DataEx!EV232)</f>
        <v>988122.34359266201</v>
      </c>
      <c r="J116" s="91">
        <f>+SUM(DataEx!EW232)</f>
        <v>1096195.1509071102</v>
      </c>
      <c r="K116" s="91">
        <f>+SUM(DataEx!EX232)</f>
        <v>1260180.935030153</v>
      </c>
      <c r="L116" s="91">
        <f>+SUM(DataEx!EY232)</f>
        <v>1467089.8435203447</v>
      </c>
      <c r="M116" s="91">
        <f>+SUM(DataEx!EZ232)</f>
        <v>1507057.6202343714</v>
      </c>
      <c r="N116" s="91">
        <f>+SUM(DataEx!FA232)</f>
        <v>1489600.3728872528</v>
      </c>
      <c r="O116" s="91">
        <f>+SUM(DataEx!FB232)</f>
        <v>1581435.7501726148</v>
      </c>
      <c r="P116" s="91">
        <f>+SUM(DataEx!FC232)</f>
        <v>1083098.6791097028</v>
      </c>
      <c r="Q116" s="91">
        <f>+SUM(DataEx!FD232)</f>
        <v>1113083.9028196863</v>
      </c>
      <c r="R116" s="91">
        <f>+SUM(DataEx!FE232)</f>
        <v>1400755.0445958641</v>
      </c>
      <c r="S116" s="126">
        <f t="shared" si="20"/>
        <v>14313171.35286976</v>
      </c>
      <c r="T116" s="127">
        <f t="shared" si="21"/>
        <v>3.2546948070286195E-3</v>
      </c>
    </row>
    <row r="117" spans="1:20">
      <c r="A117" s="138" t="str">
        <f t="shared" si="17"/>
        <v>7124p</v>
      </c>
      <c r="B117" s="502" t="str">
        <f>+VLOOKUP(LEFT($A117,LEN(A117)-1)*1,Master!$D$25:$G$223,4,FALSE)</f>
        <v>Ostali doprinosi</v>
      </c>
      <c r="C117" s="503"/>
      <c r="D117" s="503"/>
      <c r="E117" s="503"/>
      <c r="F117" s="503"/>
      <c r="G117" s="91">
        <f>+SUM(DataEx!ET233)</f>
        <v>305317.27</v>
      </c>
      <c r="H117" s="91">
        <f>+SUM(DataEx!EU233)</f>
        <v>850763.28</v>
      </c>
      <c r="I117" s="91">
        <f>+SUM(DataEx!EV233)</f>
        <v>1037825.6493516645</v>
      </c>
      <c r="J117" s="91">
        <f>+SUM(DataEx!EW233)</f>
        <v>989147.32818748779</v>
      </c>
      <c r="K117" s="91">
        <f>+SUM(DataEx!EX233)</f>
        <v>1119307.6605867953</v>
      </c>
      <c r="L117" s="91">
        <f>+SUM(DataEx!EY233)</f>
        <v>1109239.6997528379</v>
      </c>
      <c r="M117" s="91">
        <f>+SUM(DataEx!EZ233)</f>
        <v>1192583.0386883139</v>
      </c>
      <c r="N117" s="91">
        <f>+SUM(DataEx!FA233)</f>
        <v>1191298.3166539699</v>
      </c>
      <c r="O117" s="91">
        <f>+SUM(DataEx!FB233)</f>
        <v>1084928.1198874905</v>
      </c>
      <c r="P117" s="91">
        <f>+SUM(DataEx!FC233)</f>
        <v>1142720.1971899595</v>
      </c>
      <c r="Q117" s="91">
        <f>+SUM(DataEx!FD233)</f>
        <v>607355.42789588484</v>
      </c>
      <c r="R117" s="91">
        <f>+SUM(DataEx!FE233)</f>
        <v>2170912.1478435569</v>
      </c>
      <c r="S117" s="126">
        <f t="shared" si="20"/>
        <v>12801398.136037959</v>
      </c>
      <c r="T117" s="127">
        <f t="shared" si="21"/>
        <v>2.9109302899329101E-3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Takse</v>
      </c>
      <c r="C118" s="507"/>
      <c r="D118" s="507"/>
      <c r="E118" s="507"/>
      <c r="F118" s="507"/>
      <c r="G118" s="85">
        <f>+SUM(DataEx!ET234)</f>
        <v>725562.24</v>
      </c>
      <c r="H118" s="85">
        <f>+SUM(DataEx!EU234)</f>
        <v>930915.02999999991</v>
      </c>
      <c r="I118" s="85">
        <f>+SUM(DataEx!EV234)</f>
        <v>1478055.9886604978</v>
      </c>
      <c r="J118" s="85">
        <f>+SUM(DataEx!EW234)</f>
        <v>1310324.9067236972</v>
      </c>
      <c r="K118" s="85">
        <f>+SUM(DataEx!EX234)</f>
        <v>1516721.2364768749</v>
      </c>
      <c r="L118" s="85">
        <f>+SUM(DataEx!EY234)</f>
        <v>1934611.5967205677</v>
      </c>
      <c r="M118" s="85">
        <f>+SUM(DataEx!EZ234)</f>
        <v>2006573.8890331213</v>
      </c>
      <c r="N118" s="85">
        <f>+SUM(DataEx!FA234)</f>
        <v>2107162.0760087203</v>
      </c>
      <c r="O118" s="85">
        <f>+SUM(DataEx!FB234)</f>
        <v>1770373.1150840893</v>
      </c>
      <c r="P118" s="85">
        <f>+SUM(DataEx!FC234)</f>
        <v>1768509.5534105706</v>
      </c>
      <c r="Q118" s="85">
        <f>+SUM(DataEx!FD234)</f>
        <v>1548897.2115143323</v>
      </c>
      <c r="R118" s="85">
        <f>+SUM(DataEx!FE234)</f>
        <v>1581985.8731730294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Naknade</v>
      </c>
      <c r="C119" s="507"/>
      <c r="D119" s="507"/>
      <c r="E119" s="507"/>
      <c r="F119" s="507"/>
      <c r="G119" s="85">
        <f>+SUM(DataEx!ET241)</f>
        <v>1774503.5699999998</v>
      </c>
      <c r="H119" s="85">
        <f>+SUM(DataEx!EU241)</f>
        <v>1435893.46</v>
      </c>
      <c r="I119" s="85">
        <f>+SUM(DataEx!EV241)</f>
        <v>1493293.5585805762</v>
      </c>
      <c r="J119" s="85">
        <f>+SUM(DataEx!EW241)</f>
        <v>2221665.9925666279</v>
      </c>
      <c r="K119" s="85">
        <f>+SUM(DataEx!EX241)</f>
        <v>1600994.4152378035</v>
      </c>
      <c r="L119" s="85">
        <f>+SUM(DataEx!EY241)</f>
        <v>1759003.5114608184</v>
      </c>
      <c r="M119" s="85">
        <f>+SUM(DataEx!EZ241)</f>
        <v>2768982.89609381</v>
      </c>
      <c r="N119" s="85">
        <f>+SUM(DataEx!FA241)</f>
        <v>1878964.846878767</v>
      </c>
      <c r="O119" s="85">
        <f>+SUM(DataEx!FB241)</f>
        <v>2453431.0919642458</v>
      </c>
      <c r="P119" s="85">
        <f>+SUM(DataEx!FC241)</f>
        <v>3062621.0292725526</v>
      </c>
      <c r="Q119" s="85">
        <f>+SUM(DataEx!FD241)</f>
        <v>2157522.0205821833</v>
      </c>
      <c r="R119" s="85">
        <f>+SUM(DataEx!FE241)</f>
        <v>3364455.4723437326</v>
      </c>
      <c r="S119" s="128">
        <f t="shared" si="20"/>
        <v>25971331.864981115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Ostali prihodi</v>
      </c>
      <c r="C120" s="507"/>
      <c r="D120" s="507"/>
      <c r="E120" s="507"/>
      <c r="F120" s="507"/>
      <c r="G120" s="85">
        <f>+SUM(DataEx!ET251)</f>
        <v>2486753.54</v>
      </c>
      <c r="H120" s="85">
        <f>+SUM(DataEx!EU251)</f>
        <v>2087518.1099999999</v>
      </c>
      <c r="I120" s="85">
        <f>+SUM(DataEx!EV251)</f>
        <v>2355602.4630320384</v>
      </c>
      <c r="J120" s="85">
        <f>+SUM(DataEx!EW251)</f>
        <v>3298254.427910096</v>
      </c>
      <c r="K120" s="85">
        <f>+SUM(DataEx!EX251)</f>
        <v>2621799.4151039477</v>
      </c>
      <c r="L120" s="85">
        <f>+SUM(DataEx!EY251)</f>
        <v>3669790.935121492</v>
      </c>
      <c r="M120" s="85">
        <f>+SUM(DataEx!EZ251)</f>
        <v>40239322.121180184</v>
      </c>
      <c r="N120" s="85">
        <f>+SUM(DataEx!FA251)</f>
        <v>6556432.7673175065</v>
      </c>
      <c r="O120" s="85">
        <f>+SUM(DataEx!FB251)</f>
        <v>5955444.0638419371</v>
      </c>
      <c r="P120" s="85">
        <f>+SUM(DataEx!FC251)</f>
        <v>3080614.3453884441</v>
      </c>
      <c r="Q120" s="85">
        <f>+SUM(DataEx!FD251)</f>
        <v>2054798.3756645597</v>
      </c>
      <c r="R120" s="85">
        <f>+SUM(DataEx!FE251)</f>
        <v>4981072.0471647922</v>
      </c>
      <c r="S120" s="128">
        <f t="shared" si="20"/>
        <v>79387402.611725003</v>
      </c>
      <c r="T120" s="129">
        <f t="shared" si="21"/>
        <v>1.8052027789918594E-2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Primici od otplate kredita i sredstva prenesena iz prethodne godine</v>
      </c>
      <c r="C121" s="507"/>
      <c r="D121" s="507"/>
      <c r="E121" s="507"/>
      <c r="F121" s="507"/>
      <c r="G121" s="85">
        <f>+SUM(DataEx!ET260)</f>
        <v>170875.32</v>
      </c>
      <c r="H121" s="85">
        <f>+SUM(DataEx!EU260)</f>
        <v>72092.639999999999</v>
      </c>
      <c r="I121" s="85">
        <f>+SUM(DataEx!EV260)</f>
        <v>122723.60855213084</v>
      </c>
      <c r="J121" s="85">
        <f>+SUM(DataEx!EW260)</f>
        <v>77400.581818860912</v>
      </c>
      <c r="K121" s="85">
        <f>+SUM(DataEx!EX260)</f>
        <v>287457.35036751837</v>
      </c>
      <c r="L121" s="85">
        <f>+SUM(DataEx!EY260)</f>
        <v>1127348.4167469807</v>
      </c>
      <c r="M121" s="85">
        <f>+SUM(DataEx!EZ260)</f>
        <v>478781.26200871647</v>
      </c>
      <c r="N121" s="85">
        <f>+SUM(DataEx!FA260)</f>
        <v>135623.91601735391</v>
      </c>
      <c r="O121" s="85">
        <f>+SUM(DataEx!FB260)</f>
        <v>165878.65208433714</v>
      </c>
      <c r="P121" s="85">
        <f>+SUM(DataEx!FC260)</f>
        <v>490320.35892417241</v>
      </c>
      <c r="Q121" s="85">
        <f>+SUM(DataEx!FD260)</f>
        <v>785775.49666312477</v>
      </c>
      <c r="R121" s="85">
        <f>+SUM(DataEx!FE260)</f>
        <v>912933.8249398045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8" t="str">
        <f>+VLOOKUP(LEFT($A122,LEN(A122)-1)*1,Master!$D$25:$G$223,4,FALSE)</f>
        <v>Donacije i transferi</v>
      </c>
      <c r="C122" s="509"/>
      <c r="D122" s="509"/>
      <c r="E122" s="509"/>
      <c r="F122" s="509"/>
      <c r="G122" s="85">
        <f>+SUM(DataEx!ET263)</f>
        <v>1518621.66</v>
      </c>
      <c r="H122" s="85">
        <f>+SUM(DataEx!EU263)</f>
        <v>781530.99</v>
      </c>
      <c r="I122" s="85">
        <f>+SUM(DataEx!EV263)</f>
        <v>1966474.8156858</v>
      </c>
      <c r="J122" s="85">
        <f>+SUM(DataEx!EW263)</f>
        <v>4721592.536962891</v>
      </c>
      <c r="K122" s="85">
        <f>+SUM(DataEx!EX263)</f>
        <v>1736180.726499218</v>
      </c>
      <c r="L122" s="85">
        <f>+SUM(DataEx!EY263)</f>
        <v>928754.33793739846</v>
      </c>
      <c r="M122" s="85">
        <f>+SUM(DataEx!EZ263)</f>
        <v>2435550.5406138748</v>
      </c>
      <c r="N122" s="85">
        <f>+SUM(DataEx!FA263)</f>
        <v>570671.53597611003</v>
      </c>
      <c r="O122" s="85">
        <f>+SUM(DataEx!FB263)</f>
        <v>1353198.8801805205</v>
      </c>
      <c r="P122" s="85">
        <f>+SUM(DataEx!FC263)</f>
        <v>2470225.2025423776</v>
      </c>
      <c r="Q122" s="85">
        <f>+SUM(DataEx!FD263)</f>
        <v>2112933.3732640138</v>
      </c>
      <c r="R122" s="85">
        <f>+SUM(DataEx!FE263)</f>
        <v>7914265.4003377939</v>
      </c>
      <c r="S122" s="130">
        <f t="shared" si="20"/>
        <v>28510000</v>
      </c>
      <c r="T122" s="131">
        <f t="shared" si="21"/>
        <v>6.4829342610910248E-3</v>
      </c>
    </row>
    <row r="123" spans="1:20" ht="13.5" thickBot="1">
      <c r="A123" s="138" t="str">
        <f t="shared" si="17"/>
        <v>4p</v>
      </c>
      <c r="B123" s="492" t="str">
        <f>+VLOOKUP(LEFT($A123,LEN(A123)-1)*1,Master!$D$25:$G$223,4,FALSE)</f>
        <v>Budžetski izdaci</v>
      </c>
      <c r="C123" s="493"/>
      <c r="D123" s="493"/>
      <c r="E123" s="493"/>
      <c r="F123" s="493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148999586.37577778</v>
      </c>
      <c r="K123" s="97">
        <f t="shared" si="23"/>
        <v>219556586.02311113</v>
      </c>
      <c r="L123" s="97">
        <f t="shared" si="23"/>
        <v>148880586.49177778</v>
      </c>
      <c r="M123" s="97">
        <f t="shared" si="23"/>
        <v>158107547.35211113</v>
      </c>
      <c r="N123" s="97">
        <f t="shared" si="23"/>
        <v>158107547.35211113</v>
      </c>
      <c r="O123" s="97">
        <f t="shared" si="23"/>
        <v>158107547.35211113</v>
      </c>
      <c r="P123" s="97">
        <f t="shared" si="23"/>
        <v>158107547.35211113</v>
      </c>
      <c r="Q123" s="97">
        <f t="shared" si="23"/>
        <v>158607547.35544446</v>
      </c>
      <c r="R123" s="97">
        <f t="shared" si="23"/>
        <v>158607547.34544447</v>
      </c>
      <c r="S123" s="132">
        <f>+SUM(G123:R123)</f>
        <v>1904390469.142</v>
      </c>
      <c r="T123" s="133">
        <f t="shared" si="21"/>
        <v>0.43304237877572366</v>
      </c>
    </row>
    <row r="124" spans="1:20" ht="13.5" thickBot="1">
      <c r="A124" s="138" t="str">
        <f t="shared" si="17"/>
        <v>41p</v>
      </c>
      <c r="B124" s="510" t="str">
        <f>+VLOOKUP(LEFT($A124,LEN(A124)-1)*1,Master!$D$25:$G$223,4,FALSE)</f>
        <v>Tekući izdaci</v>
      </c>
      <c r="C124" s="511"/>
      <c r="D124" s="511"/>
      <c r="E124" s="511"/>
      <c r="F124" s="511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127527503.04244445</v>
      </c>
      <c r="K124" s="80">
        <f t="shared" si="24"/>
        <v>198084502.68977779</v>
      </c>
      <c r="L124" s="80">
        <f t="shared" si="24"/>
        <v>127408503.15844445</v>
      </c>
      <c r="M124" s="80">
        <f t="shared" si="24"/>
        <v>131117130.68544447</v>
      </c>
      <c r="N124" s="80">
        <f t="shared" si="24"/>
        <v>131117130.68544447</v>
      </c>
      <c r="O124" s="80">
        <f t="shared" si="24"/>
        <v>131117130.68544447</v>
      </c>
      <c r="P124" s="80">
        <f t="shared" si="24"/>
        <v>131117130.68544447</v>
      </c>
      <c r="Q124" s="80">
        <f t="shared" si="24"/>
        <v>131117130.68544446</v>
      </c>
      <c r="R124" s="80">
        <f t="shared" si="24"/>
        <v>131117130.68544447</v>
      </c>
      <c r="S124" s="134">
        <f t="shared" si="20"/>
        <v>1612615469.1453333</v>
      </c>
      <c r="T124" s="135">
        <f t="shared" si="21"/>
        <v>0.36669519729525279</v>
      </c>
    </row>
    <row r="125" spans="1:20">
      <c r="A125" s="138" t="str">
        <f t="shared" si="17"/>
        <v>40p</v>
      </c>
      <c r="B125" s="512" t="str">
        <f>+VLOOKUP(LEFT($A125,LEN(A125)-1)*1,Master!$D$25:$G$223,4,FALSE)</f>
        <v>Tekući budžetski izdaci</v>
      </c>
      <c r="C125" s="513"/>
      <c r="D125" s="513"/>
      <c r="E125" s="513"/>
      <c r="F125" s="513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62225471.106277786</v>
      </c>
      <c r="K125" s="89">
        <f t="shared" si="25"/>
        <v>132425471.10161112</v>
      </c>
      <c r="L125" s="89">
        <f t="shared" si="25"/>
        <v>62225471.106277786</v>
      </c>
      <c r="M125" s="89">
        <f t="shared" si="25"/>
        <v>68385342.175944448</v>
      </c>
      <c r="N125" s="89">
        <f t="shared" si="25"/>
        <v>68385342.175944448</v>
      </c>
      <c r="O125" s="89">
        <f t="shared" si="25"/>
        <v>68385342.175944448</v>
      </c>
      <c r="P125" s="89">
        <f t="shared" si="25"/>
        <v>68385342.175944448</v>
      </c>
      <c r="Q125" s="89">
        <f t="shared" si="25"/>
        <v>68385342.175944448</v>
      </c>
      <c r="R125" s="90">
        <f t="shared" si="25"/>
        <v>68385342.175944448</v>
      </c>
      <c r="S125" s="124">
        <f t="shared" si="20"/>
        <v>853131546.35533333</v>
      </c>
      <c r="T125" s="125">
        <f t="shared" si="21"/>
        <v>0.1939949397083324</v>
      </c>
    </row>
    <row r="126" spans="1:20">
      <c r="A126" s="138" t="str">
        <f t="shared" si="17"/>
        <v>411p</v>
      </c>
      <c r="B126" s="502" t="str">
        <f>+VLOOKUP(LEFT($A126,LEN(A126)-1)*1,Master!$D$25:$G$223,4,FALSE)</f>
        <v>Bruto zarade i doprinosi na teret poslodavca</v>
      </c>
      <c r="C126" s="503"/>
      <c r="D126" s="503"/>
      <c r="E126" s="503"/>
      <c r="F126" s="503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502" t="str">
        <f>+VLOOKUP(LEFT($A127,LEN(A127)-1)*1,Master!$D$25:$G$223,4,FALSE)</f>
        <v>Ostala lična primanja</v>
      </c>
      <c r="C127" s="503"/>
      <c r="D127" s="503"/>
      <c r="E127" s="503"/>
      <c r="F127" s="503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1064654.7372222226</v>
      </c>
      <c r="K127" s="91">
        <f>+SUM(DataEx!EX278)</f>
        <v>1064654.7372222226</v>
      </c>
      <c r="L127" s="91">
        <f>+SUM(DataEx!EY278)</f>
        <v>1064654.7372222226</v>
      </c>
      <c r="M127" s="91">
        <f>+SUM(DataEx!EZ278)</f>
        <v>1064654.7372222226</v>
      </c>
      <c r="N127" s="91">
        <f>+SUM(DataEx!FA278)</f>
        <v>1064654.7372222226</v>
      </c>
      <c r="O127" s="91">
        <f>+SUM(DataEx!FB278)</f>
        <v>1064654.7372222226</v>
      </c>
      <c r="P127" s="91">
        <f>+SUM(DataEx!FC278)</f>
        <v>1064654.7372222226</v>
      </c>
      <c r="Q127" s="91">
        <f>+SUM(DataEx!FD278)</f>
        <v>1064654.7372222226</v>
      </c>
      <c r="R127" s="91">
        <f>+SUM(DataEx!FE278)</f>
        <v>1064654.7372222226</v>
      </c>
      <c r="S127" s="126">
        <f t="shared" si="20"/>
        <v>12719190.180000003</v>
      </c>
      <c r="T127" s="127">
        <f t="shared" si="21"/>
        <v>2.8922368920117343E-3</v>
      </c>
    </row>
    <row r="128" spans="1:20">
      <c r="A128" s="138" t="str">
        <f t="shared" si="17"/>
        <v>413p</v>
      </c>
      <c r="B128" s="502" t="str">
        <f>+VLOOKUP(LEFT($A128,LEN(A128)-1)*1,Master!$D$25:$G$223,4,FALSE)</f>
        <v>Rashodi za materijal</v>
      </c>
      <c r="C128" s="503"/>
      <c r="D128" s="503"/>
      <c r="E128" s="503"/>
      <c r="F128" s="503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502" t="str">
        <f>+VLOOKUP(LEFT($A129,LEN(A129)-1)*1,Master!$D$25:$G$223,4,FALSE)</f>
        <v>Rashodi za usluge</v>
      </c>
      <c r="C129" s="503"/>
      <c r="D129" s="503"/>
      <c r="E129" s="503"/>
      <c r="F129" s="503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4097531.7004444432</v>
      </c>
      <c r="K129" s="91">
        <f>+SUM(DataEx!EX293)</f>
        <v>4097531.7004444432</v>
      </c>
      <c r="L129" s="91">
        <f>+SUM(DataEx!EY293)</f>
        <v>4097531.7004444432</v>
      </c>
      <c r="M129" s="91">
        <f>+SUM(DataEx!EZ293)</f>
        <v>6090741.9951111097</v>
      </c>
      <c r="N129" s="91">
        <f>+SUM(DataEx!FA293)</f>
        <v>6090741.9951111097</v>
      </c>
      <c r="O129" s="91">
        <f>+SUM(DataEx!FB293)</f>
        <v>6090741.9951111097</v>
      </c>
      <c r="P129" s="91">
        <f>+SUM(DataEx!FC293)</f>
        <v>6090741.9951111097</v>
      </c>
      <c r="Q129" s="91">
        <f>+SUM(DataEx!FD293)</f>
        <v>6090741.9951111097</v>
      </c>
      <c r="R129" s="91">
        <f>+SUM(DataEx!FE293)</f>
        <v>6090741.9951111097</v>
      </c>
      <c r="S129" s="126">
        <f t="shared" si="20"/>
        <v>60796308.839999974</v>
      </c>
      <c r="T129" s="127">
        <f t="shared" si="21"/>
        <v>1.382456939763967E-2</v>
      </c>
    </row>
    <row r="130" spans="1:20">
      <c r="A130" s="138" t="str">
        <f t="shared" si="17"/>
        <v>415p</v>
      </c>
      <c r="B130" s="502" t="str">
        <f>+VLOOKUP(LEFT($A130,LEN(A130)-1)*1,Master!$D$25:$G$223,4,FALSE)</f>
        <v>Rashodi za tekuće održavanje</v>
      </c>
      <c r="C130" s="503"/>
      <c r="D130" s="503"/>
      <c r="E130" s="503"/>
      <c r="F130" s="503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502" t="str">
        <f>+VLOOKUP(LEFT($A131,LEN(A131)-1)*1,Master!$D$25:$G$223,4,FALSE)</f>
        <v>Kamate</v>
      </c>
      <c r="C131" s="503"/>
      <c r="D131" s="503"/>
      <c r="E131" s="503"/>
      <c r="F131" s="503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502" t="str">
        <f>+VLOOKUP(LEFT($A132,LEN(A132)-1)*1,Master!$D$25:$G$223,4,FALSE)</f>
        <v>Renta</v>
      </c>
      <c r="C132" s="503"/>
      <c r="D132" s="503"/>
      <c r="E132" s="503"/>
      <c r="F132" s="503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502" t="str">
        <f>+VLOOKUP(LEFT($A133,LEN(A133)-1)*1,Master!$D$25:$G$223,4,FALSE)</f>
        <v>Subvencije</v>
      </c>
      <c r="C133" s="503"/>
      <c r="D133" s="503"/>
      <c r="E133" s="503"/>
      <c r="F133" s="503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502" t="str">
        <f>+VLOOKUP(LEFT($A134,LEN(A134)-1)*1,Master!$D$25:$G$223,4,FALSE)</f>
        <v>Ostali izdaci</v>
      </c>
      <c r="C134" s="503"/>
      <c r="D134" s="503"/>
      <c r="E134" s="503"/>
      <c r="F134" s="503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2696268.3784444444</v>
      </c>
      <c r="K134" s="91">
        <f>+SUM(DataEx!EX318)</f>
        <v>2696268.3784444444</v>
      </c>
      <c r="L134" s="91">
        <f>+SUM(DataEx!EY318)</f>
        <v>2696268.3784444444</v>
      </c>
      <c r="M134" s="91">
        <f>+SUM(DataEx!EZ318)</f>
        <v>3987180.345444445</v>
      </c>
      <c r="N134" s="91">
        <f>+SUM(DataEx!FA318)</f>
        <v>3987180.345444445</v>
      </c>
      <c r="O134" s="91">
        <f>+SUM(DataEx!FB318)</f>
        <v>3987180.345444445</v>
      </c>
      <c r="P134" s="91">
        <f>+SUM(DataEx!FC318)</f>
        <v>3987180.345444445</v>
      </c>
      <c r="Q134" s="91">
        <f>+SUM(DataEx!FD318)</f>
        <v>3987180.345444445</v>
      </c>
      <c r="R134" s="91">
        <f>+SUM(DataEx!FE318)</f>
        <v>3987180.345444445</v>
      </c>
      <c r="S134" s="126">
        <f t="shared" si="20"/>
        <v>39757359.010000005</v>
      </c>
      <c r="T134" s="127">
        <f t="shared" si="21"/>
        <v>9.040489121586285E-3</v>
      </c>
    </row>
    <row r="135" spans="1:20">
      <c r="A135" s="138" t="str">
        <f t="shared" si="17"/>
        <v>440p</v>
      </c>
      <c r="B135" s="502" t="str">
        <f>+VLOOKUP(LEFT($A135,LEN(A135)-1)*1,Master!$D$25:$G$223,4,FALSE)</f>
        <v>Kapitalni izdaci u tekućem budžetu</v>
      </c>
      <c r="C135" s="503"/>
      <c r="D135" s="503"/>
      <c r="E135" s="503"/>
      <c r="F135" s="503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73522124.290000007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120031864.41533335</v>
      </c>
      <c r="T135" s="127">
        <f t="shared" si="21"/>
        <v>2.7294236627176331E-2</v>
      </c>
    </row>
    <row r="136" spans="1:20">
      <c r="A136" s="138" t="str">
        <f t="shared" si="17"/>
        <v>42p</v>
      </c>
      <c r="B136" s="500" t="str">
        <f>+VLOOKUP(LEFT($A136,LEN(A136)-1)*1,Master!$D$25:$G$223,4,FALSE)</f>
        <v>Transferi za socijalnu zaštitu</v>
      </c>
      <c r="C136" s="501"/>
      <c r="D136" s="501"/>
      <c r="E136" s="501"/>
      <c r="F136" s="501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502" t="str">
        <f>+VLOOKUP(LEFT($A137,LEN(A137)-1)*1,Master!$D$25:$G$223,4,FALSE)</f>
        <v>Prava iz oblasti socijalne zaštite</v>
      </c>
      <c r="C137" s="503"/>
      <c r="D137" s="503"/>
      <c r="E137" s="503"/>
      <c r="F137" s="503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502" t="str">
        <f>+VLOOKUP(LEFT($A138,LEN(A138)-1)*1,Master!$D$25:$G$223,4,FALSE)</f>
        <v>Sredstva za tehnološke viškove</v>
      </c>
      <c r="C138" s="503"/>
      <c r="D138" s="503"/>
      <c r="E138" s="503"/>
      <c r="F138" s="503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502" t="str">
        <f>+VLOOKUP(LEFT($A139,LEN(A139)-1)*1,Master!$D$25:$G$223,4,FALSE)</f>
        <v>Prava iz oblasti penzijskog i invalidskog osiguranja</v>
      </c>
      <c r="C139" s="503"/>
      <c r="D139" s="503"/>
      <c r="E139" s="503"/>
      <c r="F139" s="503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502" t="str">
        <f>+VLOOKUP(LEFT($A140,LEN(A140)-1)*1,Master!$D$25:$G$223,4,FALSE)</f>
        <v>Ostala prava iz oblasti zdravstvene zaštite</v>
      </c>
      <c r="C140" s="503"/>
      <c r="D140" s="503"/>
      <c r="E140" s="503"/>
      <c r="F140" s="503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502" t="str">
        <f>+VLOOKUP(LEFT($A141,LEN(A141)-1)*1,Master!$D$25:$G$223,4,FALSE)</f>
        <v>Ostala prava iz zdravstvenog osiguranja</v>
      </c>
      <c r="C141" s="503"/>
      <c r="D141" s="503"/>
      <c r="E141" s="503"/>
      <c r="F141" s="503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504" t="str">
        <f>+VLOOKUP(LEFT($A142,LEN(A142)-1)*1,Master!$D$25:$G$223,4,FALSE)</f>
        <v xml:space="preserve">Transferi institucijama, pojedincima, nevladinom i javnom sektoru </v>
      </c>
      <c r="C142" s="505"/>
      <c r="D142" s="505"/>
      <c r="E142" s="505"/>
      <c r="F142" s="505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18161878.224999998</v>
      </c>
      <c r="K142" s="85">
        <f>SUM(DataEx!EX357)</f>
        <v>18161878.224999998</v>
      </c>
      <c r="L142" s="85">
        <f>SUM(DataEx!EY357)</f>
        <v>18161878.224999998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192142538.69999999</v>
      </c>
      <c r="T142" s="129">
        <f t="shared" si="21"/>
        <v>4.3691597585101299E-2</v>
      </c>
    </row>
    <row r="143" spans="1:20">
      <c r="A143" s="138" t="str">
        <f t="shared" si="17"/>
        <v>44p</v>
      </c>
      <c r="B143" s="504" t="str">
        <f>+VLOOKUP(LEFT($A143,LEN(A143)-1)*1,Master!$D$25:$G$223,4,FALSE)</f>
        <v>Kapitalni budžet</v>
      </c>
      <c r="C143" s="505"/>
      <c r="D143" s="505"/>
      <c r="E143" s="505"/>
      <c r="F143" s="505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27490416.670000002</v>
      </c>
      <c r="R143" s="85">
        <f>SUM(DataEx!FE375)</f>
        <v>27490416.66</v>
      </c>
      <c r="S143" s="128">
        <f t="shared" si="20"/>
        <v>291774999.99666667</v>
      </c>
      <c r="T143" s="129">
        <f t="shared" si="21"/>
        <v>6.6347181480470849E-2</v>
      </c>
    </row>
    <row r="144" spans="1:20">
      <c r="A144" s="138" t="str">
        <f t="shared" si="17"/>
        <v>451p</v>
      </c>
      <c r="B144" s="486" t="str">
        <f>+VLOOKUP(LEFT($A144,LEN(A144)-1)*1,Master!$D$25:$G$223,4,FALSE)</f>
        <v>Pozajmice i krediti</v>
      </c>
      <c r="C144" s="487"/>
      <c r="D144" s="487"/>
      <c r="E144" s="487"/>
      <c r="F144" s="487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486" t="str">
        <f>+VLOOKUP(LEFT($A145,LEN(A145)-1)*1,Master!$D$25:$G$223,4,FALSE)</f>
        <v>Rezerve</v>
      </c>
      <c r="C145" s="487"/>
      <c r="D145" s="487"/>
      <c r="E145" s="487"/>
      <c r="F145" s="487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486" t="str">
        <f>+VLOOKUP(LEFT($A146,LEN(A146)-1)*1,Master!$D$25:$G$223,4,FALSE)</f>
        <v>Otplata garancija</v>
      </c>
      <c r="C146" s="487"/>
      <c r="D146" s="487"/>
      <c r="E146" s="487"/>
      <c r="F146" s="487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6" t="str">
        <f>+VLOOKUP(LEFT($A148,LEN(A148)-1)*1,Master!$D$25:$G$223,4,FALSE)</f>
        <v>Suficit / deficit</v>
      </c>
      <c r="C148" s="497"/>
      <c r="D148" s="497"/>
      <c r="E148" s="497"/>
      <c r="F148" s="497"/>
      <c r="G148" s="97">
        <f t="shared" ref="G148:R148" si="27">+G104-G123</f>
        <v>-64316752.611121386</v>
      </c>
      <c r="H148" s="97">
        <f t="shared" si="27"/>
        <v>-38679696.72258231</v>
      </c>
      <c r="I148" s="97">
        <f t="shared" si="27"/>
        <v>956191.44684895873</v>
      </c>
      <c r="J148" s="97">
        <f t="shared" si="27"/>
        <v>-9342486.1327575743</v>
      </c>
      <c r="K148" s="97">
        <f t="shared" si="27"/>
        <v>-82476345.070774138</v>
      </c>
      <c r="L148" s="97">
        <f t="shared" si="27"/>
        <v>-1713827.4501556456</v>
      </c>
      <c r="M148" s="97">
        <f t="shared" si="27"/>
        <v>36111079.19719246</v>
      </c>
      <c r="N148" s="97">
        <f t="shared" si="27"/>
        <v>9872737.1426389515</v>
      </c>
      <c r="O148" s="97">
        <f t="shared" si="27"/>
        <v>-1570547.7604933679</v>
      </c>
      <c r="P148" s="97">
        <f t="shared" si="27"/>
        <v>-6452378.0536473095</v>
      </c>
      <c r="Q148" s="97">
        <f t="shared" si="27"/>
        <v>-20899808.470388651</v>
      </c>
      <c r="R148" s="97">
        <f t="shared" si="27"/>
        <v>39367456.756527841</v>
      </c>
      <c r="S148" s="114">
        <f t="shared" si="20"/>
        <v>-139144377.72871217</v>
      </c>
      <c r="T148" s="115">
        <f t="shared" si="21"/>
        <v>-3.1640261438641147E-2</v>
      </c>
    </row>
    <row r="149" spans="1:20" ht="13.5" thickBot="1">
      <c r="A149" s="139" t="str">
        <f>+CONCATENATE(A56,"p")</f>
        <v>1001p</v>
      </c>
      <c r="B149" s="498" t="str">
        <f>+VLOOKUP(LEFT($A149,LEN(A149)-1)*1,Master!$D$25:$G$223,4,FALSE)</f>
        <v>Primarni bilans</v>
      </c>
      <c r="C149" s="499"/>
      <c r="D149" s="499"/>
      <c r="E149" s="499"/>
      <c r="F149" s="499"/>
      <c r="G149" s="98">
        <f t="shared" ref="G149:R149" si="28">+G148+G131</f>
        <v>-57194027.611121386</v>
      </c>
      <c r="H149" s="98">
        <f t="shared" si="28"/>
        <v>-31556971.72258231</v>
      </c>
      <c r="I149" s="98">
        <f t="shared" si="28"/>
        <v>8078916.4468489587</v>
      </c>
      <c r="J149" s="98">
        <f t="shared" si="28"/>
        <v>-2219761.1327575743</v>
      </c>
      <c r="K149" s="98">
        <f t="shared" si="28"/>
        <v>-75353620.070774138</v>
      </c>
      <c r="L149" s="98">
        <f t="shared" si="28"/>
        <v>5408897.5498443544</v>
      </c>
      <c r="M149" s="98">
        <f t="shared" si="28"/>
        <v>43233804.19719246</v>
      </c>
      <c r="N149" s="98">
        <f t="shared" si="28"/>
        <v>16995462.142638952</v>
      </c>
      <c r="O149" s="98">
        <f t="shared" si="28"/>
        <v>5552177.2395066321</v>
      </c>
      <c r="P149" s="98">
        <f t="shared" si="28"/>
        <v>670346.94635269046</v>
      </c>
      <c r="Q149" s="98">
        <f t="shared" si="28"/>
        <v>-13777083.470388651</v>
      </c>
      <c r="R149" s="98">
        <f t="shared" si="28"/>
        <v>46490181.756527841</v>
      </c>
      <c r="S149" s="114">
        <f t="shared" si="20"/>
        <v>-53671677.728712171</v>
      </c>
      <c r="T149" s="115">
        <f t="shared" si="21"/>
        <v>-1.2204488193535751E-2</v>
      </c>
    </row>
    <row r="150" spans="1:20">
      <c r="A150" s="139" t="str">
        <f>+CONCATENATE(A57,"p")</f>
        <v>46p</v>
      </c>
      <c r="B150" s="500" t="str">
        <f>+VLOOKUP(LEFT($A150,LEN(A150)-1)*1,Master!$D$25:$G$223,4,FALSE)</f>
        <v>Otplata dugova</v>
      </c>
      <c r="C150" s="501"/>
      <c r="D150" s="501"/>
      <c r="E150" s="501"/>
      <c r="F150" s="501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494" t="str">
        <f>+VLOOKUP(LEFT($A151,LEN(A151)-1)*1,Master!$D$25:$G$223,4,FALSE)</f>
        <v>Otplata hartija od vrijednosti i kredita rezidentima</v>
      </c>
      <c r="C151" s="495"/>
      <c r="D151" s="495"/>
      <c r="E151" s="495"/>
      <c r="F151" s="495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486" t="str">
        <f>+VLOOKUP(LEFT($A152,LEN(A152)-1)*1,Master!$D$25:$G$223,4,FALSE)</f>
        <v>Otplata hartija od vrijednosti i kredita nerezidentima</v>
      </c>
      <c r="C152" s="487"/>
      <c r="D152" s="487"/>
      <c r="E152" s="487"/>
      <c r="F152" s="487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8" t="str">
        <f>+VLOOKUP(LEFT($A153,LEN(A153)-1)*1,Master!$D$25:$G$223,4,FALSE)</f>
        <v>Otplata obaveza iz prethodnih godina</v>
      </c>
      <c r="C153" s="489"/>
      <c r="D153" s="489"/>
      <c r="E153" s="489"/>
      <c r="F153" s="489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490" t="str">
        <f>+VLOOKUP(LEFT($A154,LEN(A154)-1)*1,Master!$D$25:$G$223,4,FALSE)</f>
        <v>Nedostajuća sredstva</v>
      </c>
      <c r="C154" s="491"/>
      <c r="D154" s="491"/>
      <c r="E154" s="491"/>
      <c r="F154" s="491"/>
      <c r="G154" s="79">
        <f t="shared" ref="G154:R154" si="31">+G148-G150</f>
        <v>-68312737.952365071</v>
      </c>
      <c r="H154" s="79">
        <f t="shared" si="31"/>
        <v>-44291880.224622495</v>
      </c>
      <c r="I154" s="79">
        <f t="shared" si="31"/>
        <v>-21250270.408058401</v>
      </c>
      <c r="J154" s="79">
        <f t="shared" si="31"/>
        <v>-33062842.212331764</v>
      </c>
      <c r="K154" s="79">
        <f t="shared" si="31"/>
        <v>-102425727.96353146</v>
      </c>
      <c r="L154" s="79">
        <f t="shared" si="31"/>
        <v>-19739215.211399335</v>
      </c>
      <c r="M154" s="79">
        <f t="shared" si="31"/>
        <v>30104473.425948773</v>
      </c>
      <c r="N154" s="79">
        <f t="shared" si="31"/>
        <v>-7287410.8594012372</v>
      </c>
      <c r="O154" s="79">
        <f t="shared" si="31"/>
        <v>-22912132.920055509</v>
      </c>
      <c r="P154" s="79">
        <f t="shared" si="31"/>
        <v>-14980282.083221497</v>
      </c>
      <c r="Q154" s="79">
        <f t="shared" si="31"/>
        <v>-31554040.494958341</v>
      </c>
      <c r="R154" s="79">
        <f t="shared" si="31"/>
        <v>14814914.365284149</v>
      </c>
      <c r="S154" s="118">
        <f t="shared" si="20"/>
        <v>-320897152.5387122</v>
      </c>
      <c r="T154" s="119">
        <f t="shared" si="21"/>
        <v>-7.2969314082068401E-2</v>
      </c>
    </row>
    <row r="155" spans="1:20" ht="13.5" thickBot="1">
      <c r="A155" s="139" t="str">
        <f t="shared" si="30"/>
        <v>1003p</v>
      </c>
      <c r="B155" s="492" t="str">
        <f>+VLOOKUP(LEFT($A155,LEN(A155)-1)*1,Master!$D$25:$G$223,4,FALSE)</f>
        <v>Finansiranje</v>
      </c>
      <c r="C155" s="493"/>
      <c r="D155" s="493"/>
      <c r="E155" s="493"/>
      <c r="F155" s="493"/>
      <c r="G155" s="97">
        <f t="shared" ref="G155:R155" si="32">+SUM(G156:G159)</f>
        <v>68312737.952365071</v>
      </c>
      <c r="H155" s="97">
        <f t="shared" si="32"/>
        <v>44291880.224622495</v>
      </c>
      <c r="I155" s="97">
        <f t="shared" si="32"/>
        <v>21250270.408058401</v>
      </c>
      <c r="J155" s="97">
        <f t="shared" si="32"/>
        <v>33062842.212331764</v>
      </c>
      <c r="K155" s="97">
        <f t="shared" si="32"/>
        <v>102425727.96353146</v>
      </c>
      <c r="L155" s="97">
        <f t="shared" si="32"/>
        <v>19739215.211399335</v>
      </c>
      <c r="M155" s="97">
        <f t="shared" si="32"/>
        <v>-30104473.425948769</v>
      </c>
      <c r="N155" s="97">
        <f t="shared" si="32"/>
        <v>7287410.8594012372</v>
      </c>
      <c r="O155" s="97">
        <f t="shared" si="32"/>
        <v>22912132.920055509</v>
      </c>
      <c r="P155" s="97">
        <f t="shared" si="32"/>
        <v>14980282.083221497</v>
      </c>
      <c r="Q155" s="97">
        <f t="shared" si="32"/>
        <v>31554040.494958341</v>
      </c>
      <c r="R155" s="97">
        <f t="shared" si="32"/>
        <v>-14814914.365284145</v>
      </c>
      <c r="S155" s="120">
        <f t="shared" si="20"/>
        <v>320897152.5387122</v>
      </c>
      <c r="T155" s="121">
        <f t="shared" si="21"/>
        <v>7.2969314082068401E-2</v>
      </c>
    </row>
    <row r="156" spans="1:20">
      <c r="A156" s="139" t="str">
        <f t="shared" si="30"/>
        <v>7511p</v>
      </c>
      <c r="B156" s="494" t="str">
        <f>+VLOOKUP(LEFT($A156,LEN(A156)-1)*1,Master!$D$25:$G$223,4,FALSE)</f>
        <v>Pozajmice i krediti od domaćih izvora</v>
      </c>
      <c r="C156" s="495"/>
      <c r="D156" s="495"/>
      <c r="E156" s="495"/>
      <c r="F156" s="495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486" t="str">
        <f>+VLOOKUP(LEFT($A157,LEN(A157)-1)*1,Master!$D$25:$G$223,4,FALSE)</f>
        <v>Pozajmice i krediti od inostranih izvora</v>
      </c>
      <c r="C157" s="487"/>
      <c r="D157" s="487"/>
      <c r="E157" s="487"/>
      <c r="F157" s="487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486" t="str">
        <f>+VLOOKUP(LEFT($A158,LEN(A158)-1)*1,Master!$D$25:$G$223,4,FALSE)</f>
        <v>Primici od prodaje imovine</v>
      </c>
      <c r="C158" s="487"/>
      <c r="D158" s="487"/>
      <c r="E158" s="487"/>
      <c r="F158" s="487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43654404.622365072</v>
      </c>
      <c r="H159" s="101">
        <f t="shared" si="33"/>
        <v>19633546.894622497</v>
      </c>
      <c r="I159" s="101">
        <f t="shared" si="33"/>
        <v>-3408062.921941597</v>
      </c>
      <c r="J159" s="101">
        <f t="shared" si="33"/>
        <v>8404508.8823317662</v>
      </c>
      <c r="K159" s="101">
        <f t="shared" si="33"/>
        <v>77767394.633531466</v>
      </c>
      <c r="L159" s="101">
        <f t="shared" si="33"/>
        <v>-4919118.1186006628</v>
      </c>
      <c r="M159" s="101">
        <f t="shared" si="33"/>
        <v>-54762806.755948767</v>
      </c>
      <c r="N159" s="101">
        <f t="shared" si="33"/>
        <v>-17370922.470598761</v>
      </c>
      <c r="O159" s="101">
        <f t="shared" si="33"/>
        <v>-1746200.4099444896</v>
      </c>
      <c r="P159" s="101">
        <f t="shared" si="33"/>
        <v>-9678051.2467785012</v>
      </c>
      <c r="Q159" s="101">
        <f t="shared" si="33"/>
        <v>6895707.1649583429</v>
      </c>
      <c r="R159" s="101">
        <f t="shared" si="33"/>
        <v>-39473247.695284143</v>
      </c>
      <c r="S159" s="112">
        <f t="shared" si="20"/>
        <v>24997152.57871224</v>
      </c>
      <c r="T159" s="113">
        <f t="shared" si="21"/>
        <v>5.6841422968170272E-3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59"/>
  <sheetViews>
    <sheetView zoomScaleNormal="100" workbookViewId="0">
      <pane ySplit="1" topLeftCell="A23" activePane="bottomLeft" state="frozen"/>
      <selection pane="bottomLeft" activeCell="G45" sqref="G45:J45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85546875" style="304" customWidth="1"/>
    <col min="6" max="6" width="0.42578125" style="304" customWidth="1"/>
    <col min="7" max="7" width="12.5703125" style="304" customWidth="1"/>
    <col min="8" max="8" width="14.28515625" style="304" customWidth="1"/>
    <col min="9" max="9" width="14.5703125" style="304" customWidth="1"/>
    <col min="10" max="10" width="16.5703125" style="304" customWidth="1"/>
    <col min="11" max="11" width="17.140625" style="304" customWidth="1"/>
    <col min="12" max="12" width="14.85546875" style="304" customWidth="1"/>
    <col min="13" max="13" width="15.7109375" style="304" customWidth="1"/>
    <col min="14" max="14" width="14" style="304" customWidth="1"/>
    <col min="15" max="15" width="15" style="304" customWidth="1"/>
    <col min="16" max="16" width="13.85546875" style="304" customWidth="1"/>
    <col min="17" max="17" width="14.28515625" style="304" customWidth="1"/>
    <col min="18" max="18" width="19.140625" style="304" customWidth="1"/>
    <col min="19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531" t="str">
        <f>+[1]Master!G249</f>
        <v>Budget Execution</v>
      </c>
      <c r="C7" s="439"/>
      <c r="D7" s="439"/>
      <c r="E7" s="439"/>
      <c r="F7" s="439"/>
      <c r="G7" s="447">
        <v>2017</v>
      </c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51"/>
      <c r="S7" s="261" t="str">
        <f>+[1]Master!G246</f>
        <v>GDP</v>
      </c>
      <c r="T7" s="262">
        <v>4236600000</v>
      </c>
    </row>
    <row r="8" spans="1:20" ht="16.5" customHeight="1">
      <c r="A8" s="170"/>
      <c r="B8" s="440"/>
      <c r="C8" s="441"/>
      <c r="D8" s="441"/>
      <c r="E8" s="441"/>
      <c r="F8" s="442"/>
      <c r="G8" s="171" t="str">
        <f>+[1]Master!G229</f>
        <v>January</v>
      </c>
      <c r="H8" s="171" t="str">
        <f>+[1]Master!G230</f>
        <v>February</v>
      </c>
      <c r="I8" s="171" t="str">
        <f>+[1]Master!G231</f>
        <v>March</v>
      </c>
      <c r="J8" s="171" t="str">
        <f>+[1]Master!G232</f>
        <v>April</v>
      </c>
      <c r="K8" s="171" t="str">
        <f>+[1]Master!G233</f>
        <v>May</v>
      </c>
      <c r="L8" s="171" t="str">
        <f>+[1]Master!G234</f>
        <v>June</v>
      </c>
      <c r="M8" s="171" t="str">
        <f>+[1]Master!G235</f>
        <v>July</v>
      </c>
      <c r="N8" s="171" t="str">
        <f>+[1]Master!G236</f>
        <v>August</v>
      </c>
      <c r="O8" s="171" t="str">
        <f>+[1]Master!G237</f>
        <v>September</v>
      </c>
      <c r="P8" s="171" t="str">
        <f>+[1]Master!G238</f>
        <v>October</v>
      </c>
      <c r="Q8" s="171" t="str">
        <f>+[1]Master!G239</f>
        <v>November</v>
      </c>
      <c r="R8" s="171" t="str">
        <f>+[1]Master!G240</f>
        <v>December</v>
      </c>
      <c r="S8" s="447" t="str">
        <f>+[1]Master!G243</f>
        <v>Jan - 12</v>
      </c>
      <c r="T8" s="451"/>
    </row>
    <row r="9" spans="1:20" ht="13.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GDP</v>
      </c>
    </row>
    <row r="10" spans="1:20" ht="13.5" thickBot="1">
      <c r="A10" s="176">
        <v>7</v>
      </c>
      <c r="B10" s="480" t="str">
        <f>+VLOOKUP($A10,[1]Master!$D$25:$G$223,4,FALSE)</f>
        <v>Total Revenues</v>
      </c>
      <c r="C10" s="481"/>
      <c r="D10" s="481"/>
      <c r="E10" s="481"/>
      <c r="F10" s="481"/>
      <c r="G10" s="42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135181723.15000001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138865322.25999999</v>
      </c>
      <c r="Q10" s="177">
        <f t="shared" si="1"/>
        <v>125487638.99000001</v>
      </c>
      <c r="R10" s="177">
        <f t="shared" si="1"/>
        <v>185889054.22</v>
      </c>
      <c r="S10" s="265">
        <f>+SUM(G10:R10)</f>
        <v>1566273677.4000001</v>
      </c>
      <c r="T10" s="266">
        <f>+S10/$T$7</f>
        <v>0.36970062724826513</v>
      </c>
    </row>
    <row r="11" spans="1:20">
      <c r="A11" s="176">
        <v>711</v>
      </c>
      <c r="B11" s="482" t="str">
        <f>+VLOOKUP($A11,[1]Master!$D$25:$G$223,4,FALSE)</f>
        <v>Taxes</v>
      </c>
      <c r="C11" s="483"/>
      <c r="D11" s="483"/>
      <c r="E11" s="483"/>
      <c r="F11" s="483"/>
      <c r="G11" s="429">
        <f t="shared" ref="G11:R11" si="2">+SUM(G12:G18)</f>
        <v>53512170.450000003</v>
      </c>
      <c r="H11" s="428">
        <f t="shared" si="2"/>
        <v>50615120.200000003</v>
      </c>
      <c r="I11" s="428">
        <f t="shared" si="2"/>
        <v>90524246.909999996</v>
      </c>
      <c r="J11" s="428">
        <f t="shared" si="2"/>
        <v>81677988.170000002</v>
      </c>
      <c r="K11" s="428">
        <f t="shared" si="2"/>
        <v>77800336.479999989</v>
      </c>
      <c r="L11" s="428">
        <f t="shared" si="2"/>
        <v>85282444.409999996</v>
      </c>
      <c r="M11" s="428">
        <f t="shared" si="2"/>
        <v>89248400.649999991</v>
      </c>
      <c r="N11" s="428">
        <f t="shared" si="2"/>
        <v>99153787.180000007</v>
      </c>
      <c r="O11" s="428">
        <f t="shared" si="2"/>
        <v>92913520.620000005</v>
      </c>
      <c r="P11" s="428">
        <f t="shared" si="2"/>
        <v>86378572.320000008</v>
      </c>
      <c r="Q11" s="428">
        <f t="shared" si="2"/>
        <v>74654697.830000013</v>
      </c>
      <c r="R11" s="428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0.22922994247273762</v>
      </c>
    </row>
    <row r="12" spans="1:20">
      <c r="A12" s="176">
        <v>7111</v>
      </c>
      <c r="B12" s="468" t="str">
        <f>+VLOOKUP($A12,[1]Master!$D$25:$G$223,4,FALSE)</f>
        <v>Personal Income Tax</v>
      </c>
      <c r="C12" s="469"/>
      <c r="D12" s="469"/>
      <c r="E12" s="469"/>
      <c r="F12" s="469"/>
      <c r="G12" s="430">
        <v>3855468.97</v>
      </c>
      <c r="H12" s="430">
        <v>7751521.5300000003</v>
      </c>
      <c r="I12" s="430">
        <v>9093379.6300000008</v>
      </c>
      <c r="J12" s="430">
        <v>8729072.4399999995</v>
      </c>
      <c r="K12" s="430">
        <v>9825835.5299999993</v>
      </c>
      <c r="L12" s="430">
        <v>9719543.6799999997</v>
      </c>
      <c r="M12" s="430">
        <v>10577855.74</v>
      </c>
      <c r="N12" s="430">
        <v>10476522.35</v>
      </c>
      <c r="O12" s="430">
        <v>9609655.3800000008</v>
      </c>
      <c r="P12" s="430">
        <v>10226839.18</v>
      </c>
      <c r="Q12" s="430">
        <v>7670634.21</v>
      </c>
      <c r="R12" s="430">
        <v>14446111.9</v>
      </c>
      <c r="S12" s="270">
        <f t="shared" si="3"/>
        <v>111982440.54000001</v>
      </c>
      <c r="T12" s="271">
        <f t="shared" si="4"/>
        <v>2.6432148548364256E-2</v>
      </c>
    </row>
    <row r="13" spans="1:20">
      <c r="A13" s="176">
        <v>7112</v>
      </c>
      <c r="B13" s="468" t="str">
        <f>+VLOOKUP($A13,[1]Master!$D$25:$G$223,4,FALSE)</f>
        <v>Corporate Income Tax</v>
      </c>
      <c r="C13" s="469"/>
      <c r="D13" s="469"/>
      <c r="E13" s="469"/>
      <c r="F13" s="469"/>
      <c r="G13" s="189">
        <v>632316.18999999994</v>
      </c>
      <c r="H13" s="189">
        <v>1242026.04</v>
      </c>
      <c r="I13" s="189">
        <v>17612665.690000001</v>
      </c>
      <c r="J13" s="189">
        <v>14506801.98</v>
      </c>
      <c r="K13" s="189">
        <v>2683183.94</v>
      </c>
      <c r="L13" s="189">
        <v>2493382.48</v>
      </c>
      <c r="M13" s="189">
        <v>2422592.44</v>
      </c>
      <c r="N13" s="189">
        <v>2511333.39</v>
      </c>
      <c r="O13" s="189">
        <v>1103662</v>
      </c>
      <c r="P13" s="189">
        <v>1688078.63</v>
      </c>
      <c r="Q13" s="189">
        <v>667573.11</v>
      </c>
      <c r="R13" s="189">
        <v>1664886.32</v>
      </c>
      <c r="S13" s="270">
        <f t="shared" si="3"/>
        <v>49228502.210000001</v>
      </c>
      <c r="T13" s="271">
        <f t="shared" si="4"/>
        <v>1.1619813579285276E-2</v>
      </c>
    </row>
    <row r="14" spans="1:20">
      <c r="A14" s="176">
        <v>7113</v>
      </c>
      <c r="B14" s="468" t="str">
        <f>+VLOOKUP($A14,[1]Master!$D$25:$G$223,4,FALSE)</f>
        <v xml:space="preserve">Taxes on Sales of Property </v>
      </c>
      <c r="C14" s="469"/>
      <c r="D14" s="469"/>
      <c r="E14" s="469"/>
      <c r="F14" s="469"/>
      <c r="G14" s="189">
        <v>58790.3</v>
      </c>
      <c r="H14" s="189">
        <v>107978.26</v>
      </c>
      <c r="I14" s="189">
        <v>88556.13</v>
      </c>
      <c r="J14" s="189">
        <v>93919.51</v>
      </c>
      <c r="K14" s="189">
        <v>178761.83</v>
      </c>
      <c r="L14" s="189">
        <v>96074.04</v>
      </c>
      <c r="M14" s="189">
        <v>140635.43</v>
      </c>
      <c r="N14" s="189">
        <v>152546.72</v>
      </c>
      <c r="O14" s="189">
        <v>115920.43</v>
      </c>
      <c r="P14" s="189">
        <v>195735.62</v>
      </c>
      <c r="Q14" s="189">
        <v>165720.76</v>
      </c>
      <c r="R14" s="189">
        <v>130025.67</v>
      </c>
      <c r="S14" s="270">
        <f t="shared" si="3"/>
        <v>1524664.7</v>
      </c>
      <c r="T14" s="271">
        <f t="shared" si="4"/>
        <v>3.598793136005287E-4</v>
      </c>
    </row>
    <row r="15" spans="1:20">
      <c r="A15" s="176">
        <v>7114</v>
      </c>
      <c r="B15" s="468" t="str">
        <f>+VLOOKUP($A15,[1]Master!$D$25:$G$223,4,FALSE)</f>
        <v>Value Added Tax</v>
      </c>
      <c r="C15" s="469"/>
      <c r="D15" s="469"/>
      <c r="E15" s="469"/>
      <c r="F15" s="469"/>
      <c r="G15" s="189">
        <v>33352018.879999999</v>
      </c>
      <c r="H15" s="189">
        <v>26961493.609999999</v>
      </c>
      <c r="I15" s="189">
        <v>45891894.880000003</v>
      </c>
      <c r="J15" s="189">
        <v>39843066.039999999</v>
      </c>
      <c r="K15" s="189">
        <v>44329065.979999997</v>
      </c>
      <c r="L15" s="189">
        <v>51058078.640000001</v>
      </c>
      <c r="M15" s="189">
        <v>51792411.350000001</v>
      </c>
      <c r="N15" s="189">
        <v>56845360.840000004</v>
      </c>
      <c r="O15" s="189">
        <v>53436415.75</v>
      </c>
      <c r="P15" s="189">
        <v>50058448.369999997</v>
      </c>
      <c r="Q15" s="189">
        <v>44942136.68</v>
      </c>
      <c r="R15" s="189">
        <v>50200125.439999998</v>
      </c>
      <c r="S15" s="270">
        <f t="shared" si="3"/>
        <v>548710516.46000004</v>
      </c>
      <c r="T15" s="271">
        <f t="shared" si="4"/>
        <v>0.12951671539914084</v>
      </c>
    </row>
    <row r="16" spans="1:20">
      <c r="A16" s="176">
        <v>7115</v>
      </c>
      <c r="B16" s="468" t="str">
        <f>+VLOOKUP($A16,[1]Master!$D$25:$G$223,4,FALSE)</f>
        <v>Excises</v>
      </c>
      <c r="C16" s="469"/>
      <c r="D16" s="469"/>
      <c r="E16" s="469"/>
      <c r="F16" s="469"/>
      <c r="G16" s="189">
        <v>13972593.029999999</v>
      </c>
      <c r="H16" s="189">
        <v>12356371.449999999</v>
      </c>
      <c r="I16" s="189">
        <v>14808666.49</v>
      </c>
      <c r="J16" s="189">
        <v>15647198.060000001</v>
      </c>
      <c r="K16" s="189">
        <v>17742897.41</v>
      </c>
      <c r="L16" s="189">
        <v>18687302.640000001</v>
      </c>
      <c r="M16" s="189">
        <v>20939541.420000002</v>
      </c>
      <c r="N16" s="189">
        <v>25506175.510000002</v>
      </c>
      <c r="O16" s="189">
        <v>25706299.34</v>
      </c>
      <c r="P16" s="189">
        <v>21225508.199999999</v>
      </c>
      <c r="Q16" s="189">
        <v>18614457.170000002</v>
      </c>
      <c r="R16" s="189">
        <v>19877899.5</v>
      </c>
      <c r="S16" s="270">
        <f t="shared" si="3"/>
        <v>225084910.21999997</v>
      </c>
      <c r="T16" s="271">
        <f t="shared" si="4"/>
        <v>5.3128666907425758E-2</v>
      </c>
    </row>
    <row r="17" spans="1:25">
      <c r="A17" s="176">
        <v>7116</v>
      </c>
      <c r="B17" s="468" t="str">
        <f>+VLOOKUP($A17,[1]Master!$D$25:$G$223,4,FALSE)</f>
        <v>Tax on International Trade and Transactions</v>
      </c>
      <c r="C17" s="469"/>
      <c r="D17" s="469"/>
      <c r="E17" s="469"/>
      <c r="F17" s="469"/>
      <c r="G17" s="189">
        <v>1071292.49</v>
      </c>
      <c r="H17" s="189">
        <v>1596950.17</v>
      </c>
      <c r="I17" s="189">
        <v>2226840.15</v>
      </c>
      <c r="J17" s="189">
        <v>2007545.03</v>
      </c>
      <c r="K17" s="189">
        <v>2283048.27</v>
      </c>
      <c r="L17" s="189">
        <v>2361499.6</v>
      </c>
      <c r="M17" s="189">
        <v>2521752.11</v>
      </c>
      <c r="N17" s="189">
        <v>2861682.41</v>
      </c>
      <c r="O17" s="189">
        <v>2150781.52</v>
      </c>
      <c r="P17" s="189">
        <v>2167495.09</v>
      </c>
      <c r="Q17" s="189">
        <v>1890362.65</v>
      </c>
      <c r="R17" s="189">
        <v>2285551.31</v>
      </c>
      <c r="S17" s="270">
        <f t="shared" si="3"/>
        <v>25424800.799999997</v>
      </c>
      <c r="T17" s="271">
        <f t="shared" si="4"/>
        <v>6.0012275881603169E-3</v>
      </c>
    </row>
    <row r="18" spans="1:25">
      <c r="A18" s="176">
        <v>7118</v>
      </c>
      <c r="B18" s="468" t="str">
        <f>+VLOOKUP($A18,[1]Master!$D$25:$G$223,4,FALSE)</f>
        <v>Other Republic Taxes</v>
      </c>
      <c r="C18" s="469"/>
      <c r="D18" s="469"/>
      <c r="E18" s="469"/>
      <c r="F18" s="469"/>
      <c r="G18" s="189">
        <v>569690.59</v>
      </c>
      <c r="H18" s="189">
        <v>598779.14</v>
      </c>
      <c r="I18" s="189">
        <v>802243.94</v>
      </c>
      <c r="J18" s="189">
        <v>850385.11</v>
      </c>
      <c r="K18" s="189">
        <v>757543.52</v>
      </c>
      <c r="L18" s="189">
        <v>866563.33</v>
      </c>
      <c r="M18" s="189">
        <v>853612.16</v>
      </c>
      <c r="N18" s="189">
        <v>800165.96</v>
      </c>
      <c r="O18" s="189">
        <v>790786.2</v>
      </c>
      <c r="P18" s="189">
        <v>816467.23</v>
      </c>
      <c r="Q18" s="189">
        <v>703813.25</v>
      </c>
      <c r="R18" s="189">
        <v>789688.92</v>
      </c>
      <c r="S18" s="270">
        <f t="shared" si="3"/>
        <v>9199739.3499999996</v>
      </c>
      <c r="T18" s="271">
        <f t="shared" si="4"/>
        <v>2.17149113676061E-3</v>
      </c>
    </row>
    <row r="19" spans="1:25">
      <c r="A19" s="176">
        <v>712</v>
      </c>
      <c r="B19" s="478" t="str">
        <f>+VLOOKUP($A19,[1]Master!$D$25:$G$223,4,FALSE)</f>
        <v>Contributions</v>
      </c>
      <c r="C19" s="479"/>
      <c r="D19" s="479"/>
      <c r="E19" s="479"/>
      <c r="F19" s="479"/>
      <c r="G19" s="431">
        <f>+INDEX([1]DataEx!$1:$1048576,MATCH('2017'!$A19,[1]DataEx!$D:$D,0),MATCH('2017'!G$6,[1]DataEx!$7:$7,0))</f>
        <v>15942566.910000002</v>
      </c>
      <c r="H19" s="431">
        <f>+INDEX([1]DataEx!$1:$1048576,MATCH('2017'!$A19,[1]DataEx!$D:$D,0),MATCH('2017'!H$6,[1]DataEx!$7:$7,0))</f>
        <v>32105522.039999999</v>
      </c>
      <c r="I19" s="431">
        <f>+INDEX([1]DataEx!$1:$1048576,MATCH('2017'!$A19,[1]DataEx!$D:$D,0),MATCH('2017'!I$6,[1]DataEx!$7:$7,0))</f>
        <v>37652066.75</v>
      </c>
      <c r="J19" s="431">
        <f>+INDEX([1]DataEx!$1:$1048576,MATCH('2017'!$A19,[1]DataEx!$D:$D,0),MATCH('2017'!J$6,[1]DataEx!$7:$7,0))</f>
        <v>35977730.460000001</v>
      </c>
      <c r="K19" s="431">
        <f>+INDEX([1]DataEx!$1:$1048576,MATCH('2017'!$A19,[1]DataEx!$D:$D,0),MATCH('2017'!K$6,[1]DataEx!$7:$7,0))</f>
        <v>40567246.729999997</v>
      </c>
      <c r="L19" s="431">
        <f>+INDEX([1]DataEx!$1:$1048576,MATCH('2017'!$A19,[1]DataEx!$D:$D,0),MATCH('2017'!L$6,[1]DataEx!$7:$7,0))</f>
        <v>40389805.469999999</v>
      </c>
      <c r="M19" s="431">
        <f>+INDEX([1]DataEx!$1:$1048576,MATCH('2017'!$A19,[1]DataEx!$D:$D,0),MATCH('2017'!M$6,[1]DataEx!$7:$7,0))</f>
        <v>44393326.049999997</v>
      </c>
      <c r="N19" s="431">
        <f>+INDEX([1]DataEx!$1:$1048576,MATCH('2017'!$A19,[1]DataEx!$D:$D,0),MATCH('2017'!N$6,[1]DataEx!$7:$7,0))</f>
        <v>43764113.43</v>
      </c>
      <c r="O19" s="431">
        <f>+INDEX([1]DataEx!$1:$1048576,MATCH('2017'!$A19,[1]DataEx!$D:$D,0),MATCH('2017'!O$6,[1]DataEx!$7:$7,0))</f>
        <v>39922755.840000004</v>
      </c>
      <c r="P19" s="431">
        <f>+INDEX([1]DataEx!$1:$1048576,MATCH('2017'!$A19,[1]DataEx!$D:$D,0),MATCH('2017'!P$6,[1]DataEx!$7:$7,0))</f>
        <v>42882136.189999998</v>
      </c>
      <c r="Q19" s="431">
        <f>+INDEX([1]DataEx!$1:$1048576,MATCH('2017'!$A19,[1]DataEx!$D:$D,0),MATCH('2017'!Q$6,[1]DataEx!$7:$7,0))</f>
        <v>43774643.869999997</v>
      </c>
      <c r="R19" s="431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0.11682779408487938</v>
      </c>
    </row>
    <row r="20" spans="1:25">
      <c r="A20" s="176">
        <v>7121</v>
      </c>
      <c r="B20" s="468" t="str">
        <f>+VLOOKUP($A20,[1]Master!$D$25:$G$223,4,FALSE)</f>
        <v>Contributions for Pension and Disability Insurance</v>
      </c>
      <c r="C20" s="469"/>
      <c r="D20" s="469"/>
      <c r="E20" s="469"/>
      <c r="F20" s="469"/>
      <c r="G20" s="189">
        <v>9612063.3000000007</v>
      </c>
      <c r="H20" s="189">
        <v>19294210.57</v>
      </c>
      <c r="I20" s="189">
        <v>22627334.059999999</v>
      </c>
      <c r="J20" s="189">
        <v>21639290.52</v>
      </c>
      <c r="K20" s="189">
        <v>24386054.73</v>
      </c>
      <c r="L20" s="189">
        <v>24310877.91</v>
      </c>
      <c r="M20" s="189">
        <v>27022741.59</v>
      </c>
      <c r="N20" s="189">
        <v>26577706.039999999</v>
      </c>
      <c r="O20" s="189">
        <v>24050825.579999998</v>
      </c>
      <c r="P20" s="189">
        <v>25998719</v>
      </c>
      <c r="Q20" s="189">
        <v>29222952.370000001</v>
      </c>
      <c r="R20" s="189">
        <v>48299287.68</v>
      </c>
      <c r="S20" s="270">
        <f t="shared" si="3"/>
        <v>303042063.35000002</v>
      </c>
      <c r="T20" s="271">
        <f t="shared" si="4"/>
        <v>7.1529543348439792E-2</v>
      </c>
    </row>
    <row r="21" spans="1:25">
      <c r="A21" s="176">
        <v>7122</v>
      </c>
      <c r="B21" s="468" t="str">
        <f>+VLOOKUP($A21,[1]Master!$D$25:$G$223,4,FALSE)</f>
        <v>Contributions for Health Insurance</v>
      </c>
      <c r="C21" s="469"/>
      <c r="D21" s="469"/>
      <c r="E21" s="469"/>
      <c r="F21" s="469"/>
      <c r="G21" s="189">
        <v>5487815.8700000001</v>
      </c>
      <c r="H21" s="189">
        <v>11136277.539999999</v>
      </c>
      <c r="I21" s="189">
        <v>13033326.75</v>
      </c>
      <c r="J21" s="189">
        <v>12438084.859999999</v>
      </c>
      <c r="K21" s="189">
        <v>14031927.32</v>
      </c>
      <c r="L21" s="189">
        <v>13948315.880000001</v>
      </c>
      <c r="M21" s="189">
        <v>15063870.800000001</v>
      </c>
      <c r="N21" s="189">
        <v>14906718.880000001</v>
      </c>
      <c r="O21" s="189">
        <v>13781012.470000001</v>
      </c>
      <c r="P21" s="189">
        <v>14691858.58</v>
      </c>
      <c r="Q21" s="189">
        <v>13422037.59</v>
      </c>
      <c r="R21" s="189">
        <v>25459426.109999999</v>
      </c>
      <c r="S21" s="270">
        <f t="shared" si="3"/>
        <v>167400672.64999998</v>
      </c>
      <c r="T21" s="271">
        <f t="shared" si="4"/>
        <v>3.9512975652645985E-2</v>
      </c>
    </row>
    <row r="22" spans="1:25">
      <c r="A22" s="176">
        <v>7123</v>
      </c>
      <c r="B22" s="468" t="str">
        <f>+VLOOKUP($A22,[1]Master!$D$25:$G$223,4,FALSE)</f>
        <v>Contributions for  Unemployment Insurance</v>
      </c>
      <c r="C22" s="469"/>
      <c r="D22" s="469"/>
      <c r="E22" s="469"/>
      <c r="F22" s="469"/>
      <c r="G22" s="189">
        <v>436423.06</v>
      </c>
      <c r="H22" s="189">
        <v>884778.14</v>
      </c>
      <c r="I22" s="189">
        <v>1037531.02</v>
      </c>
      <c r="J22" s="189">
        <v>991786.18</v>
      </c>
      <c r="K22" s="189">
        <v>1119552.6000000001</v>
      </c>
      <c r="L22" s="189">
        <v>1110270.08</v>
      </c>
      <c r="M22" s="189">
        <v>1208802.52</v>
      </c>
      <c r="N22" s="189">
        <v>1182973.0900000001</v>
      </c>
      <c r="O22" s="189">
        <v>1093203.53</v>
      </c>
      <c r="P22" s="189">
        <v>1140055.95</v>
      </c>
      <c r="Q22" s="189">
        <v>576427.41</v>
      </c>
      <c r="R22" s="189">
        <v>1813540.61</v>
      </c>
      <c r="S22" s="270">
        <f t="shared" si="3"/>
        <v>12595344.189999998</v>
      </c>
      <c r="T22" s="271">
        <f t="shared" si="4"/>
        <v>2.9729840414483306E-3</v>
      </c>
    </row>
    <row r="23" spans="1:25">
      <c r="A23" s="176">
        <v>7124</v>
      </c>
      <c r="B23" s="468" t="str">
        <f>+VLOOKUP($A23,[1]Master!$D$25:$G$223,4,FALSE)</f>
        <v>Other contributions</v>
      </c>
      <c r="C23" s="469"/>
      <c r="D23" s="469"/>
      <c r="E23" s="469"/>
      <c r="F23" s="469"/>
      <c r="G23" s="189">
        <v>406264.68</v>
      </c>
      <c r="H23" s="189">
        <v>790255.79</v>
      </c>
      <c r="I23" s="189">
        <v>953874.92</v>
      </c>
      <c r="J23" s="189">
        <v>908568.9</v>
      </c>
      <c r="K23" s="189">
        <v>1029712.08</v>
      </c>
      <c r="L23" s="189">
        <v>1020341.6</v>
      </c>
      <c r="M23" s="189">
        <v>1097911.1399999999</v>
      </c>
      <c r="N23" s="189">
        <v>1096715.42</v>
      </c>
      <c r="O23" s="189">
        <v>997714.26</v>
      </c>
      <c r="P23" s="189">
        <v>1051502.6599999999</v>
      </c>
      <c r="Q23" s="189">
        <v>553226.5</v>
      </c>
      <c r="R23" s="189">
        <v>2008464.28</v>
      </c>
      <c r="S23" s="270">
        <f t="shared" si="3"/>
        <v>11914552.229999999</v>
      </c>
      <c r="T23" s="271">
        <f t="shared" si="4"/>
        <v>2.8122910423452763E-3</v>
      </c>
      <c r="Y23" s="380"/>
    </row>
    <row r="24" spans="1:25">
      <c r="A24" s="176">
        <v>713</v>
      </c>
      <c r="B24" s="470" t="str">
        <f>+VLOOKUP($A24,[1]Master!$D$25:$G$223,4,FALSE)</f>
        <v>Duties</v>
      </c>
      <c r="C24" s="471"/>
      <c r="D24" s="471"/>
      <c r="E24" s="471"/>
      <c r="F24" s="471"/>
      <c r="G24" s="431">
        <v>579949.69999999995</v>
      </c>
      <c r="H24" s="431">
        <v>799058.78</v>
      </c>
      <c r="I24" s="431">
        <v>1000001.89</v>
      </c>
      <c r="J24" s="431">
        <v>900446.92</v>
      </c>
      <c r="K24" s="431">
        <v>1044119.04</v>
      </c>
      <c r="L24" s="431">
        <v>1380660.13</v>
      </c>
      <c r="M24" s="431">
        <v>1483988.38</v>
      </c>
      <c r="N24" s="431">
        <v>1598254.37</v>
      </c>
      <c r="O24" s="431">
        <v>1300121.74</v>
      </c>
      <c r="P24" s="431">
        <v>1269238.77</v>
      </c>
      <c r="Q24" s="431">
        <v>1101076.77</v>
      </c>
      <c r="R24" s="431">
        <v>1156088.19</v>
      </c>
      <c r="S24" s="273">
        <f t="shared" si="3"/>
        <v>13613004.68</v>
      </c>
      <c r="T24" s="274">
        <f t="shared" si="4"/>
        <v>3.2131909266864939E-3</v>
      </c>
      <c r="Y24" s="380"/>
    </row>
    <row r="25" spans="1:25">
      <c r="A25" s="176">
        <v>714</v>
      </c>
      <c r="B25" s="470" t="str">
        <f>+VLOOKUP($A25,[1]Master!$D$25:$G$223,4,FALSE)</f>
        <v>Fees</v>
      </c>
      <c r="C25" s="471"/>
      <c r="D25" s="471"/>
      <c r="E25" s="471"/>
      <c r="F25" s="471"/>
      <c r="G25" s="431">
        <v>1745843.13</v>
      </c>
      <c r="H25" s="431">
        <v>1266650.8400000001</v>
      </c>
      <c r="I25" s="431">
        <v>1508161.35</v>
      </c>
      <c r="J25" s="431">
        <v>1901163.79</v>
      </c>
      <c r="K25" s="431">
        <v>1513570.26</v>
      </c>
      <c r="L25" s="431">
        <v>830213.16</v>
      </c>
      <c r="M25" s="431">
        <v>1705945.14</v>
      </c>
      <c r="N25" s="431">
        <v>1608311.46</v>
      </c>
      <c r="O25" s="431">
        <v>1107710.8999999999</v>
      </c>
      <c r="P25" s="431">
        <v>1997706.83</v>
      </c>
      <c r="Q25" s="431">
        <v>793640.92</v>
      </c>
      <c r="R25" s="431">
        <v>2988857.35</v>
      </c>
      <c r="S25" s="273">
        <f t="shared" si="3"/>
        <v>18967775.129999999</v>
      </c>
      <c r="T25" s="274">
        <f t="shared" si="4"/>
        <v>4.4771220152952833E-3</v>
      </c>
    </row>
    <row r="26" spans="1:25">
      <c r="A26" s="176">
        <v>715</v>
      </c>
      <c r="B26" s="470" t="str">
        <f>+VLOOKUP($A26,[1]Master!$D$25:$G$223,4,FALSE)</f>
        <v>Other revenues</v>
      </c>
      <c r="C26" s="471"/>
      <c r="D26" s="471"/>
      <c r="E26" s="471"/>
      <c r="F26" s="471"/>
      <c r="G26" s="431">
        <v>1549598.76</v>
      </c>
      <c r="H26" s="431">
        <v>2362534.5499999998</v>
      </c>
      <c r="I26" s="431">
        <v>2237749.3199999998</v>
      </c>
      <c r="J26" s="431">
        <v>3537625.59</v>
      </c>
      <c r="K26" s="431">
        <v>2195275.86</v>
      </c>
      <c r="L26" s="431">
        <v>3677729.73</v>
      </c>
      <c r="M26" s="431">
        <v>5924157.2800000003</v>
      </c>
      <c r="N26" s="431">
        <v>2465692.11</v>
      </c>
      <c r="O26" s="431">
        <v>1761653.61</v>
      </c>
      <c r="P26" s="431">
        <v>3080830.83</v>
      </c>
      <c r="Q26" s="431">
        <v>1891187.54</v>
      </c>
      <c r="R26" s="431">
        <v>5038974.07</v>
      </c>
      <c r="S26" s="273">
        <f t="shared" si="3"/>
        <v>35723009.25</v>
      </c>
      <c r="T26" s="274">
        <f t="shared" si="4"/>
        <v>8.4319995397252514E-3</v>
      </c>
    </row>
    <row r="27" spans="1:25">
      <c r="A27" s="176">
        <v>73</v>
      </c>
      <c r="B27" s="470" t="str">
        <f>+VLOOKUP($A27,[1]Master!$D$25:$G$223,4,FALSE)</f>
        <v>Receipts from Repayment of Loans and Funds Carried over from Previous Year</v>
      </c>
      <c r="C27" s="471"/>
      <c r="D27" s="471"/>
      <c r="E27" s="471"/>
      <c r="F27" s="471"/>
      <c r="G27" s="431">
        <v>150350.67000000001</v>
      </c>
      <c r="H27" s="431">
        <v>500193.46</v>
      </c>
      <c r="I27" s="431">
        <v>126045.79</v>
      </c>
      <c r="J27" s="431">
        <v>67133.97</v>
      </c>
      <c r="K27" s="431">
        <v>340170.16</v>
      </c>
      <c r="L27" s="431">
        <v>1431878.17</v>
      </c>
      <c r="M27" s="431">
        <v>588856.99</v>
      </c>
      <c r="N27" s="431">
        <v>142813.88</v>
      </c>
      <c r="O27" s="431">
        <v>182139.62</v>
      </c>
      <c r="P27" s="431">
        <v>603855.75</v>
      </c>
      <c r="Q27" s="431">
        <v>987894.53</v>
      </c>
      <c r="R27" s="431">
        <v>1458878.89</v>
      </c>
      <c r="S27" s="273">
        <f t="shared" si="3"/>
        <v>6580211.8799999999</v>
      </c>
      <c r="T27" s="274">
        <f t="shared" si="4"/>
        <v>1.5531822404758532E-3</v>
      </c>
    </row>
    <row r="28" spans="1:25" ht="13.5" thickBot="1">
      <c r="A28" s="176">
        <v>74</v>
      </c>
      <c r="B28" s="472" t="str">
        <f>+VLOOKUP($A28,[1]Master!$D$25:$G$223,4,FALSE)</f>
        <v>Grants and Transfers</v>
      </c>
      <c r="C28" s="473"/>
      <c r="D28" s="473"/>
      <c r="E28" s="473"/>
      <c r="F28" s="473"/>
      <c r="G28" s="431">
        <v>198902.46</v>
      </c>
      <c r="H28" s="431">
        <v>1119540.18</v>
      </c>
      <c r="I28" s="431">
        <v>2133451.14</v>
      </c>
      <c r="J28" s="431">
        <v>849572.77</v>
      </c>
      <c r="K28" s="431">
        <v>1895943.06</v>
      </c>
      <c r="L28" s="431">
        <v>1063223.94</v>
      </c>
      <c r="M28" s="431">
        <v>2617220.7200000002</v>
      </c>
      <c r="N28" s="431">
        <v>693924.15</v>
      </c>
      <c r="O28" s="431">
        <v>1500964.26</v>
      </c>
      <c r="P28" s="431">
        <v>2652981.5699999998</v>
      </c>
      <c r="Q28" s="431">
        <v>2284497.5299999998</v>
      </c>
      <c r="R28" s="431">
        <v>8271247.9800000004</v>
      </c>
      <c r="S28" s="276">
        <f t="shared" si="3"/>
        <v>25281469.760000002</v>
      </c>
      <c r="T28" s="277">
        <f t="shared" si="4"/>
        <v>5.9673959684652788E-3</v>
      </c>
    </row>
    <row r="29" spans="1:25" ht="13.5" thickBot="1">
      <c r="A29" s="176">
        <v>4</v>
      </c>
      <c r="B29" s="458" t="str">
        <f>+VLOOKUP($A29,[1]Master!$D$25:$G$223,4,FALSE)</f>
        <v>Total Expenditures</v>
      </c>
      <c r="C29" s="459"/>
      <c r="D29" s="459"/>
      <c r="E29" s="459"/>
      <c r="F29" s="459"/>
      <c r="G29" s="177">
        <f>+G31+G42+G48+SUM(G49:G53)</f>
        <v>95190856.049999982</v>
      </c>
      <c r="H29" s="177">
        <f t="shared" ref="H29:R29" si="5">+H31+H42+H48+SUM(H49:H53)</f>
        <v>106549785.00999999</v>
      </c>
      <c r="I29" s="177">
        <f t="shared" si="5"/>
        <v>166413895.22999999</v>
      </c>
      <c r="J29" s="177">
        <f t="shared" si="5"/>
        <v>141189204.78999999</v>
      </c>
      <c r="K29" s="177">
        <f t="shared" si="5"/>
        <v>129568583.72</v>
      </c>
      <c r="L29" s="177">
        <f t="shared" si="5"/>
        <v>148131629.06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137503517.67999998</v>
      </c>
      <c r="P29" s="177">
        <f t="shared" si="5"/>
        <v>156775579.92000002</v>
      </c>
      <c r="Q29" s="177">
        <f t="shared" si="5"/>
        <v>157298649.06</v>
      </c>
      <c r="R29" s="177">
        <f t="shared" si="5"/>
        <v>270369781.30000001</v>
      </c>
      <c r="S29" s="278">
        <f t="shared" si="3"/>
        <v>1803136078.8299999</v>
      </c>
      <c r="T29" s="279">
        <f t="shared" si="4"/>
        <v>0.42560923354340741</v>
      </c>
    </row>
    <row r="30" spans="1:25" ht="13.5" thickBot="1">
      <c r="A30" s="176">
        <v>41</v>
      </c>
      <c r="B30" s="474" t="str">
        <f>+VLOOKUP($A30,[1]Master!$D$25:$G$223,4,FALSE)</f>
        <v>Current Expenditures</v>
      </c>
      <c r="C30" s="475"/>
      <c r="D30" s="475"/>
      <c r="E30" s="475"/>
      <c r="F30" s="475"/>
      <c r="G30" s="432">
        <f>+G29-G49</f>
        <v>95081211.609999985</v>
      </c>
      <c r="H30" s="432">
        <f t="shared" ref="H30:R30" si="6">+H29-H49</f>
        <v>105058194.66999999</v>
      </c>
      <c r="I30" s="432">
        <f t="shared" si="6"/>
        <v>159051074.73999998</v>
      </c>
      <c r="J30" s="432">
        <f t="shared" si="6"/>
        <v>134270687.53</v>
      </c>
      <c r="K30" s="432">
        <f t="shared" si="6"/>
        <v>127056839.55</v>
      </c>
      <c r="L30" s="432">
        <f t="shared" si="6"/>
        <v>125448006.67</v>
      </c>
      <c r="M30" s="432">
        <f t="shared" si="6"/>
        <v>135015939.43000001</v>
      </c>
      <c r="N30" s="432">
        <f t="shared" si="6"/>
        <v>119078138.24000001</v>
      </c>
      <c r="O30" s="432">
        <f t="shared" si="6"/>
        <v>117563216.00999998</v>
      </c>
      <c r="P30" s="432">
        <f t="shared" si="6"/>
        <v>126782294.63000003</v>
      </c>
      <c r="Q30" s="432">
        <f t="shared" si="6"/>
        <v>119362889.43000001</v>
      </c>
      <c r="R30" s="432">
        <f t="shared" si="6"/>
        <v>187491019.35000002</v>
      </c>
      <c r="S30" s="280">
        <f t="shared" si="3"/>
        <v>1551259511.8600001</v>
      </c>
      <c r="T30" s="281">
        <f t="shared" si="4"/>
        <v>0.36615670864844452</v>
      </c>
    </row>
    <row r="31" spans="1:25">
      <c r="A31" s="176">
        <v>40</v>
      </c>
      <c r="B31" s="476" t="str">
        <f>+VLOOKUP($A31,[1]Master!$D$25:$G$223,4,FALSE)</f>
        <v>Current Budgetary Expenditures</v>
      </c>
      <c r="C31" s="477"/>
      <c r="D31" s="477"/>
      <c r="E31" s="477"/>
      <c r="F31" s="477"/>
      <c r="G31" s="428">
        <f>+SUM(G32:G41)</f>
        <v>43671166.869999997</v>
      </c>
      <c r="H31" s="428">
        <f t="shared" ref="H31:R31" si="7">+SUM(H32:H41)</f>
        <v>48408706.909999989</v>
      </c>
      <c r="I31" s="428">
        <f t="shared" si="7"/>
        <v>96989262.820000008</v>
      </c>
      <c r="J31" s="428">
        <f t="shared" si="7"/>
        <v>70965970.75</v>
      </c>
      <c r="K31" s="428">
        <f t="shared" si="7"/>
        <v>64485987.470000006</v>
      </c>
      <c r="L31" s="428">
        <f t="shared" si="7"/>
        <v>61416603.619999997</v>
      </c>
      <c r="M31" s="428">
        <f t="shared" si="7"/>
        <v>59163591.209999993</v>
      </c>
      <c r="N31" s="428">
        <f t="shared" si="7"/>
        <v>55546071.519999996</v>
      </c>
      <c r="O31" s="428">
        <f t="shared" si="7"/>
        <v>56191213.159999996</v>
      </c>
      <c r="P31" s="428">
        <f t="shared" si="7"/>
        <v>60486450.390000001</v>
      </c>
      <c r="Q31" s="428">
        <f t="shared" si="7"/>
        <v>60535623.090000004</v>
      </c>
      <c r="R31" s="428">
        <f t="shared" si="7"/>
        <v>103964777.77000001</v>
      </c>
      <c r="S31" s="268">
        <f t="shared" si="3"/>
        <v>781825425.57999992</v>
      </c>
      <c r="T31" s="269">
        <f t="shared" si="4"/>
        <v>0.18454076985790491</v>
      </c>
    </row>
    <row r="32" spans="1:25">
      <c r="A32" s="176">
        <v>411</v>
      </c>
      <c r="B32" s="468" t="str">
        <f>+VLOOKUP($A32,[1]Master!$D$25:$G$223,4,FALSE)</f>
        <v>Gross Salaries and Contributions</v>
      </c>
      <c r="C32" s="469"/>
      <c r="D32" s="469"/>
      <c r="E32" s="469"/>
      <c r="F32" s="469"/>
      <c r="G32" s="189">
        <v>36337751.869999997</v>
      </c>
      <c r="H32" s="189">
        <v>36442747.460000001</v>
      </c>
      <c r="I32" s="189">
        <v>36477113.590000004</v>
      </c>
      <c r="J32" s="189">
        <v>36703828.340000004</v>
      </c>
      <c r="K32" s="189">
        <v>34203194.770000003</v>
      </c>
      <c r="L32" s="189">
        <v>40628800.600000001</v>
      </c>
      <c r="M32" s="189">
        <v>36224128.640000001</v>
      </c>
      <c r="N32" s="189">
        <v>35575955.729999997</v>
      </c>
      <c r="O32" s="189">
        <v>36145069.369999997</v>
      </c>
      <c r="P32" s="189">
        <v>37968977.82</v>
      </c>
      <c r="Q32" s="189">
        <v>37251539.810000002</v>
      </c>
      <c r="R32" s="189">
        <v>41404585.670000002</v>
      </c>
      <c r="S32" s="270">
        <f t="shared" si="3"/>
        <v>445363693.67000002</v>
      </c>
      <c r="T32" s="271">
        <f t="shared" si="4"/>
        <v>0.10512290366567531</v>
      </c>
    </row>
    <row r="33" spans="1:21">
      <c r="A33" s="176">
        <v>412</v>
      </c>
      <c r="B33" s="468" t="str">
        <f>+VLOOKUP($A33,[1]Master!$D$25:$G$223,4,FALSE)</f>
        <v>Other Personal Income</v>
      </c>
      <c r="C33" s="469"/>
      <c r="D33" s="469"/>
      <c r="E33" s="469"/>
      <c r="F33" s="469"/>
      <c r="G33" s="189">
        <v>70065.570000000007</v>
      </c>
      <c r="H33" s="189">
        <v>920424.11</v>
      </c>
      <c r="I33" s="189">
        <v>936990.91</v>
      </c>
      <c r="J33" s="189">
        <v>685539.4</v>
      </c>
      <c r="K33" s="189">
        <v>763370.53</v>
      </c>
      <c r="L33" s="189">
        <v>888374.79</v>
      </c>
      <c r="M33" s="189">
        <v>845413.4</v>
      </c>
      <c r="N33" s="189">
        <v>982340.29</v>
      </c>
      <c r="O33" s="189">
        <v>710611.47</v>
      </c>
      <c r="P33" s="189">
        <v>864910.68</v>
      </c>
      <c r="Q33" s="189">
        <v>1028980.9</v>
      </c>
      <c r="R33" s="189">
        <v>1951716.68</v>
      </c>
      <c r="S33" s="270">
        <f t="shared" si="3"/>
        <v>10648738.729999999</v>
      </c>
      <c r="T33" s="271">
        <f t="shared" si="4"/>
        <v>2.5135105343907847E-3</v>
      </c>
      <c r="U33" s="368"/>
    </row>
    <row r="34" spans="1:21">
      <c r="A34" s="176">
        <v>413</v>
      </c>
      <c r="B34" s="468" t="str">
        <f>+VLOOKUP($A34,[1]Master!$D$25:$G$223,4,FALSE)</f>
        <v>Expenditures for Supplies</v>
      </c>
      <c r="C34" s="469"/>
      <c r="D34" s="469"/>
      <c r="E34" s="469"/>
      <c r="F34" s="469"/>
      <c r="G34" s="189">
        <v>956521.67</v>
      </c>
      <c r="H34" s="189">
        <v>2109254.7599999998</v>
      </c>
      <c r="I34" s="189">
        <v>2769108.2</v>
      </c>
      <c r="J34" s="189">
        <v>1859042.69</v>
      </c>
      <c r="K34" s="189">
        <v>2061379.38</v>
      </c>
      <c r="L34" s="189">
        <v>2036796.31</v>
      </c>
      <c r="M34" s="189">
        <v>1900343.87</v>
      </c>
      <c r="N34" s="189">
        <v>2421002.2400000002</v>
      </c>
      <c r="O34" s="189">
        <v>1844593.48</v>
      </c>
      <c r="P34" s="189">
        <v>3032654.88</v>
      </c>
      <c r="Q34" s="189">
        <v>2235715.75</v>
      </c>
      <c r="R34" s="189">
        <v>5973408.79</v>
      </c>
      <c r="S34" s="270">
        <f t="shared" si="3"/>
        <v>29199822.019999996</v>
      </c>
      <c r="T34" s="271">
        <f t="shared" si="4"/>
        <v>6.8922773025539338E-3</v>
      </c>
      <c r="U34" s="386"/>
    </row>
    <row r="35" spans="1:21">
      <c r="A35" s="176">
        <v>414</v>
      </c>
      <c r="B35" s="468" t="str">
        <f>+VLOOKUP($A35,[1]Master!$D$25:$G$223,4,FALSE)</f>
        <v>Expenditures for Services</v>
      </c>
      <c r="C35" s="469"/>
      <c r="D35" s="469"/>
      <c r="E35" s="469"/>
      <c r="F35" s="469"/>
      <c r="G35" s="189">
        <v>1439453.4</v>
      </c>
      <c r="H35" s="189">
        <v>3317597.8</v>
      </c>
      <c r="I35" s="189">
        <v>7050406.4900000002</v>
      </c>
      <c r="J35" s="189">
        <v>5446746.7800000003</v>
      </c>
      <c r="K35" s="189">
        <v>3548711.83</v>
      </c>
      <c r="L35" s="189">
        <v>4342615.72</v>
      </c>
      <c r="M35" s="189">
        <v>5219310.84</v>
      </c>
      <c r="N35" s="189">
        <v>5169360.8</v>
      </c>
      <c r="O35" s="189">
        <v>4338671.4800000004</v>
      </c>
      <c r="P35" s="189">
        <v>4884082.33</v>
      </c>
      <c r="Q35" s="189">
        <v>4047161.45</v>
      </c>
      <c r="R35" s="189">
        <v>17901369.530000001</v>
      </c>
      <c r="S35" s="270">
        <f t="shared" si="3"/>
        <v>66705488.450000003</v>
      </c>
      <c r="T35" s="271">
        <f t="shared" si="4"/>
        <v>1.5745052270688762E-2</v>
      </c>
    </row>
    <row r="36" spans="1:21">
      <c r="A36" s="176">
        <v>415</v>
      </c>
      <c r="B36" s="468" t="str">
        <f>+VLOOKUP($A36,[1]Master!$D$25:$G$223,4,FALSE)</f>
        <v>Current Maintenance</v>
      </c>
      <c r="C36" s="469"/>
      <c r="D36" s="469"/>
      <c r="E36" s="469"/>
      <c r="F36" s="469"/>
      <c r="G36" s="189">
        <v>133702.59</v>
      </c>
      <c r="H36" s="189">
        <v>831412.02</v>
      </c>
      <c r="I36" s="189">
        <v>1518146.21</v>
      </c>
      <c r="J36" s="189">
        <v>1548888.06</v>
      </c>
      <c r="K36" s="189">
        <v>2002570.68</v>
      </c>
      <c r="L36" s="189">
        <v>1160043.8799999999</v>
      </c>
      <c r="M36" s="189">
        <v>1865668.51</v>
      </c>
      <c r="N36" s="189">
        <v>1371232.73</v>
      </c>
      <c r="O36" s="189">
        <v>2163282.15</v>
      </c>
      <c r="P36" s="189">
        <v>1881648.29</v>
      </c>
      <c r="Q36" s="189">
        <v>1702269.74</v>
      </c>
      <c r="R36" s="189">
        <v>4024462.06</v>
      </c>
      <c r="S36" s="270">
        <f t="shared" si="3"/>
        <v>20203326.920000002</v>
      </c>
      <c r="T36" s="271">
        <f t="shared" si="4"/>
        <v>4.7687595996789879E-3</v>
      </c>
    </row>
    <row r="37" spans="1:21">
      <c r="A37" s="176">
        <v>416</v>
      </c>
      <c r="B37" s="468" t="str">
        <f>+VLOOKUP($A37,[1]Master!$D$25:$G$223,4,FALSE)</f>
        <v>Interests</v>
      </c>
      <c r="C37" s="469"/>
      <c r="D37" s="469"/>
      <c r="E37" s="469"/>
      <c r="F37" s="469"/>
      <c r="G37" s="189">
        <v>3229720.9</v>
      </c>
      <c r="H37" s="189">
        <v>1105648.4099999999</v>
      </c>
      <c r="I37" s="189">
        <v>39350670.159999996</v>
      </c>
      <c r="J37" s="189">
        <v>18359667.859999999</v>
      </c>
      <c r="K37" s="189">
        <v>16347481.07</v>
      </c>
      <c r="L37" s="189">
        <v>2519907.7599999998</v>
      </c>
      <c r="M37" s="189">
        <v>6570219.0800000001</v>
      </c>
      <c r="N37" s="189">
        <v>1254218.04</v>
      </c>
      <c r="O37" s="189">
        <v>2016695.15</v>
      </c>
      <c r="P37" s="189">
        <v>1739140.99</v>
      </c>
      <c r="Q37" s="189">
        <v>3918626.83</v>
      </c>
      <c r="R37" s="189">
        <v>2293382.33</v>
      </c>
      <c r="S37" s="270">
        <f>+SUM(G37:R37)</f>
        <v>98705378.580000013</v>
      </c>
      <c r="T37" s="271">
        <f t="shared" si="4"/>
        <v>2.3298252981164145E-2</v>
      </c>
    </row>
    <row r="38" spans="1:21">
      <c r="A38" s="176">
        <v>417</v>
      </c>
      <c r="B38" s="468" t="str">
        <f>+VLOOKUP($A38,[1]Master!$D$25:$G$223,4,FALSE)</f>
        <v>Rent</v>
      </c>
      <c r="C38" s="469"/>
      <c r="D38" s="469"/>
      <c r="E38" s="469"/>
      <c r="F38" s="469"/>
      <c r="G38" s="189">
        <v>576439.54</v>
      </c>
      <c r="H38" s="189">
        <v>609518.68999999994</v>
      </c>
      <c r="I38" s="189">
        <v>647095.18000000005</v>
      </c>
      <c r="J38" s="189">
        <v>737903.15</v>
      </c>
      <c r="K38" s="189">
        <v>649640.18999999994</v>
      </c>
      <c r="L38" s="189">
        <v>723692.29</v>
      </c>
      <c r="M38" s="189">
        <v>744151.17</v>
      </c>
      <c r="N38" s="189">
        <v>655865.84</v>
      </c>
      <c r="O38" s="189">
        <v>680175.47</v>
      </c>
      <c r="P38" s="189">
        <v>802737.21</v>
      </c>
      <c r="Q38" s="189">
        <v>721286.02</v>
      </c>
      <c r="R38" s="189">
        <v>1392442.62</v>
      </c>
      <c r="S38" s="270">
        <f t="shared" si="3"/>
        <v>8940947.370000001</v>
      </c>
      <c r="T38" s="271">
        <f t="shared" si="4"/>
        <v>2.1104063093046314E-3</v>
      </c>
    </row>
    <row r="39" spans="1:21">
      <c r="A39" s="176">
        <v>418</v>
      </c>
      <c r="B39" s="468" t="str">
        <f>+VLOOKUP($A39,[1]Master!$D$25:$G$223,4,FALSE)</f>
        <v>Subsidies</v>
      </c>
      <c r="C39" s="469"/>
      <c r="D39" s="469"/>
      <c r="E39" s="469"/>
      <c r="F39" s="469"/>
      <c r="G39" s="189">
        <v>1010</v>
      </c>
      <c r="H39" s="189">
        <v>437077.96</v>
      </c>
      <c r="I39" s="189">
        <v>2564740.2200000002</v>
      </c>
      <c r="J39" s="189">
        <v>735427.01</v>
      </c>
      <c r="K39" s="189">
        <v>700208.25</v>
      </c>
      <c r="L39" s="189">
        <v>1456109.61</v>
      </c>
      <c r="M39" s="189">
        <v>1493000.87</v>
      </c>
      <c r="N39" s="189">
        <v>2964968.57</v>
      </c>
      <c r="O39" s="189">
        <v>3824679.63</v>
      </c>
      <c r="P39" s="189">
        <v>2388415.48</v>
      </c>
      <c r="Q39" s="189">
        <v>3022483.62</v>
      </c>
      <c r="R39" s="189">
        <v>8215705.0499999998</v>
      </c>
      <c r="S39" s="270">
        <f t="shared" si="3"/>
        <v>27803826.270000003</v>
      </c>
      <c r="T39" s="271">
        <f t="shared" si="4"/>
        <v>6.5627687933720443E-3</v>
      </c>
    </row>
    <row r="40" spans="1:21">
      <c r="A40" s="176">
        <v>419</v>
      </c>
      <c r="B40" s="468" t="str">
        <f>+VLOOKUP($A40,[1]Master!$D$25:$G$223,4,FALSE)</f>
        <v>Other expenditures</v>
      </c>
      <c r="C40" s="469"/>
      <c r="D40" s="469"/>
      <c r="E40" s="469"/>
      <c r="F40" s="469"/>
      <c r="G40" s="189">
        <v>640573.4</v>
      </c>
      <c r="H40" s="189">
        <v>1813144.72</v>
      </c>
      <c r="I40" s="189">
        <v>3850774.87</v>
      </c>
      <c r="J40" s="189">
        <v>2537947.84</v>
      </c>
      <c r="K40" s="189">
        <v>2629633.84</v>
      </c>
      <c r="L40" s="189">
        <v>2647992.59</v>
      </c>
      <c r="M40" s="189">
        <v>2526292.0099999998</v>
      </c>
      <c r="N40" s="189">
        <v>2670416.61</v>
      </c>
      <c r="O40" s="189">
        <v>2766749.02</v>
      </c>
      <c r="P40" s="189">
        <v>3382897.72</v>
      </c>
      <c r="Q40" s="189">
        <v>4807051.49</v>
      </c>
      <c r="R40" s="189">
        <v>7968970.9500000002</v>
      </c>
      <c r="S40" s="270">
        <f t="shared" si="3"/>
        <v>38242445.060000002</v>
      </c>
      <c r="T40" s="271">
        <f t="shared" si="4"/>
        <v>9.0266829674739181E-3</v>
      </c>
    </row>
    <row r="41" spans="1:21">
      <c r="A41" s="176">
        <v>440</v>
      </c>
      <c r="B41" s="468" t="str">
        <f>+VLOOKUP($A41,[1]Master!$D$25:$G$223,4,FALSE)</f>
        <v>Current Capital Expenditure</v>
      </c>
      <c r="C41" s="469"/>
      <c r="D41" s="469"/>
      <c r="E41" s="469"/>
      <c r="F41" s="469"/>
      <c r="G41" s="189">
        <v>285927.93</v>
      </c>
      <c r="H41" s="189">
        <v>821880.98</v>
      </c>
      <c r="I41" s="189">
        <v>1824216.99</v>
      </c>
      <c r="J41" s="189">
        <v>2350979.62</v>
      </c>
      <c r="K41" s="189">
        <v>1579796.93</v>
      </c>
      <c r="L41" s="189">
        <v>5012270.07</v>
      </c>
      <c r="M41" s="189">
        <v>1775062.82</v>
      </c>
      <c r="N41" s="189">
        <v>2480710.67</v>
      </c>
      <c r="O41" s="189">
        <v>1700685.94</v>
      </c>
      <c r="P41" s="189">
        <v>3540984.99</v>
      </c>
      <c r="Q41" s="189">
        <v>1800507.48</v>
      </c>
      <c r="R41" s="189">
        <v>12838734.09</v>
      </c>
      <c r="S41" s="270">
        <f t="shared" si="3"/>
        <v>36011758.509999998</v>
      </c>
      <c r="T41" s="271">
        <f t="shared" si="4"/>
        <v>8.5001554336024167E-3</v>
      </c>
    </row>
    <row r="42" spans="1:21">
      <c r="A42" s="176">
        <v>42</v>
      </c>
      <c r="B42" s="464" t="str">
        <f>+VLOOKUP($A42,[1]Master!$D$25:$G$223,4,FALSE)</f>
        <v>Social Security Transfers</v>
      </c>
      <c r="C42" s="465"/>
      <c r="D42" s="465"/>
      <c r="E42" s="465"/>
      <c r="F42" s="465"/>
      <c r="G42" s="431">
        <f>+SUM(G43:G47)</f>
        <v>43853641.199999996</v>
      </c>
      <c r="H42" s="431">
        <f t="shared" ref="H42:R42" si="8">+SUM(H43:H47)</f>
        <v>46694958.479999997</v>
      </c>
      <c r="I42" s="431">
        <f t="shared" si="8"/>
        <v>46060225.379999995</v>
      </c>
      <c r="J42" s="431">
        <f t="shared" si="8"/>
        <v>45239884.829999998</v>
      </c>
      <c r="K42" s="431">
        <f t="shared" si="8"/>
        <v>45683297.689999998</v>
      </c>
      <c r="L42" s="431">
        <f t="shared" si="8"/>
        <v>45402922.969999999</v>
      </c>
      <c r="M42" s="431">
        <f t="shared" si="8"/>
        <v>45267241.289999999</v>
      </c>
      <c r="N42" s="431">
        <f t="shared" si="8"/>
        <v>42270056.32</v>
      </c>
      <c r="O42" s="431">
        <f t="shared" si="8"/>
        <v>44046758.639999993</v>
      </c>
      <c r="P42" s="431">
        <f t="shared" si="8"/>
        <v>44748876.500000007</v>
      </c>
      <c r="Q42" s="431">
        <f t="shared" si="8"/>
        <v>43633580.93999999</v>
      </c>
      <c r="R42" s="431">
        <f t="shared" si="8"/>
        <v>45149451.939999998</v>
      </c>
      <c r="S42" s="273">
        <f t="shared" si="3"/>
        <v>538050896.17999995</v>
      </c>
      <c r="T42" s="274">
        <f t="shared" si="4"/>
        <v>0.12700063640183165</v>
      </c>
    </row>
    <row r="43" spans="1:21">
      <c r="A43" s="176">
        <v>421</v>
      </c>
      <c r="B43" s="468" t="str">
        <f>+VLOOKUP($A43,[1]Master!$D$25:$G$223,4,FALSE)</f>
        <v>Social Security</v>
      </c>
      <c r="C43" s="469"/>
      <c r="D43" s="469"/>
      <c r="E43" s="469"/>
      <c r="F43" s="469"/>
      <c r="G43" s="189">
        <v>10235148.66</v>
      </c>
      <c r="H43" s="189">
        <v>10418756.810000001</v>
      </c>
      <c r="I43" s="189">
        <v>9027967.8599999994</v>
      </c>
      <c r="J43" s="189">
        <v>9060292.8100000005</v>
      </c>
      <c r="K43" s="189">
        <v>9323783.9399999995</v>
      </c>
      <c r="L43" s="189">
        <v>9371948.4000000004</v>
      </c>
      <c r="M43" s="189">
        <v>9055138.0800000001</v>
      </c>
      <c r="N43" s="189">
        <v>5035876.3099999996</v>
      </c>
      <c r="O43" s="189">
        <v>6564978.3200000003</v>
      </c>
      <c r="P43" s="189">
        <v>7602969.7000000002</v>
      </c>
      <c r="Q43" s="189">
        <v>6324073.25</v>
      </c>
      <c r="R43" s="189">
        <v>6683946.5800000001</v>
      </c>
      <c r="S43" s="270">
        <f t="shared" si="3"/>
        <v>98704880.719999999</v>
      </c>
      <c r="T43" s="271">
        <f t="shared" si="4"/>
        <v>2.3298135467119861E-2</v>
      </c>
    </row>
    <row r="44" spans="1:21">
      <c r="A44" s="176">
        <v>422</v>
      </c>
      <c r="B44" s="468" t="str">
        <f>+VLOOKUP($A44,[1]Master!$D$25:$G$223,4,FALSE)</f>
        <v>Funds for redundant labor</v>
      </c>
      <c r="C44" s="469"/>
      <c r="D44" s="469"/>
      <c r="E44" s="469"/>
      <c r="F44" s="469"/>
      <c r="G44" s="189">
        <v>173100.67</v>
      </c>
      <c r="H44" s="189">
        <v>1036027.42</v>
      </c>
      <c r="I44" s="189">
        <v>1054894.68</v>
      </c>
      <c r="J44" s="189">
        <v>1150894.96</v>
      </c>
      <c r="K44" s="189">
        <v>1082297.17</v>
      </c>
      <c r="L44" s="189">
        <v>1038790.65</v>
      </c>
      <c r="M44" s="189">
        <v>1069131.58</v>
      </c>
      <c r="N44" s="189">
        <v>1024731.32</v>
      </c>
      <c r="O44" s="189">
        <v>1115186.56</v>
      </c>
      <c r="P44" s="189">
        <v>1056401.0900000001</v>
      </c>
      <c r="Q44" s="189">
        <v>1118494.9099999999</v>
      </c>
      <c r="R44" s="189">
        <v>2048499.78</v>
      </c>
      <c r="S44" s="270">
        <f t="shared" si="3"/>
        <v>12968450.790000001</v>
      </c>
      <c r="T44" s="271">
        <f t="shared" si="4"/>
        <v>3.0610515012037959E-3</v>
      </c>
    </row>
    <row r="45" spans="1:21">
      <c r="A45" s="176">
        <v>423</v>
      </c>
      <c r="B45" s="468" t="str">
        <f>+VLOOKUP($A45,[1]Master!$D$25:$G$223,4,FALSE)</f>
        <v>Pension and Disability Insurance</v>
      </c>
      <c r="C45" s="469"/>
      <c r="D45" s="469"/>
      <c r="E45" s="469"/>
      <c r="F45" s="469"/>
      <c r="G45" s="189">
        <v>32976338.859999999</v>
      </c>
      <c r="H45" s="189">
        <v>33304068.809999999</v>
      </c>
      <c r="I45" s="189">
        <v>33118374.059999999</v>
      </c>
      <c r="J45" s="189">
        <v>33225573.780000001</v>
      </c>
      <c r="K45" s="189">
        <v>33097965.640000001</v>
      </c>
      <c r="L45" s="189">
        <v>32864422.489999998</v>
      </c>
      <c r="M45" s="189">
        <v>32909306.579999998</v>
      </c>
      <c r="N45" s="189">
        <v>34045532.219999999</v>
      </c>
      <c r="O45" s="189">
        <v>33914885.549999997</v>
      </c>
      <c r="P45" s="189">
        <v>33960607.270000003</v>
      </c>
      <c r="Q45" s="189">
        <v>33919324.859999999</v>
      </c>
      <c r="R45" s="189">
        <v>33927498.649999999</v>
      </c>
      <c r="S45" s="270">
        <f t="shared" si="3"/>
        <v>401263898.76999998</v>
      </c>
      <c r="T45" s="271">
        <f t="shared" si="4"/>
        <v>9.4713661608365196E-2</v>
      </c>
    </row>
    <row r="46" spans="1:21">
      <c r="A46" s="176">
        <v>424</v>
      </c>
      <c r="B46" s="468" t="str">
        <f>+VLOOKUP($A46,[1]Master!$D$25:$G$223,4,FALSE)</f>
        <v>Other Health Care Transfers</v>
      </c>
      <c r="C46" s="469"/>
      <c r="D46" s="469"/>
      <c r="E46" s="469"/>
      <c r="F46" s="469"/>
      <c r="G46" s="189">
        <v>202511.01</v>
      </c>
      <c r="H46" s="189">
        <v>1122393.47</v>
      </c>
      <c r="I46" s="189">
        <v>2105961.34</v>
      </c>
      <c r="J46" s="189">
        <v>1278855.19</v>
      </c>
      <c r="K46" s="189">
        <v>1134813.47</v>
      </c>
      <c r="L46" s="189">
        <v>1335830.71</v>
      </c>
      <c r="M46" s="189">
        <v>1666149.56</v>
      </c>
      <c r="N46" s="189">
        <v>1463570.61</v>
      </c>
      <c r="O46" s="189">
        <v>1518302.55</v>
      </c>
      <c r="P46" s="189">
        <v>1424217.95</v>
      </c>
      <c r="Q46" s="189">
        <v>1512893.76</v>
      </c>
      <c r="R46" s="189">
        <v>1723879.49</v>
      </c>
      <c r="S46" s="270">
        <f t="shared" si="3"/>
        <v>16489379.109999999</v>
      </c>
      <c r="T46" s="271">
        <f t="shared" si="4"/>
        <v>3.8921255511495064E-3</v>
      </c>
    </row>
    <row r="47" spans="1:21">
      <c r="A47" s="176">
        <v>425</v>
      </c>
      <c r="B47" s="468" t="str">
        <f>+VLOOKUP($A47,[1]Master!$D$25:$G$223,4,FALSE)</f>
        <v>Other Health Care Insurance</v>
      </c>
      <c r="C47" s="469"/>
      <c r="D47" s="469"/>
      <c r="E47" s="469"/>
      <c r="F47" s="469"/>
      <c r="G47" s="189">
        <v>266542</v>
      </c>
      <c r="H47" s="189">
        <v>813711.97</v>
      </c>
      <c r="I47" s="189">
        <v>753027.44</v>
      </c>
      <c r="J47" s="189">
        <v>524268.09</v>
      </c>
      <c r="K47" s="189">
        <v>1044437.47</v>
      </c>
      <c r="L47" s="189">
        <v>791930.72</v>
      </c>
      <c r="M47" s="189">
        <v>567515.49</v>
      </c>
      <c r="N47" s="189">
        <v>700345.86</v>
      </c>
      <c r="O47" s="189">
        <v>933405.66</v>
      </c>
      <c r="P47" s="189">
        <v>704680.49</v>
      </c>
      <c r="Q47" s="189">
        <v>758794.16</v>
      </c>
      <c r="R47" s="189">
        <v>765627.44</v>
      </c>
      <c r="S47" s="270">
        <f t="shared" si="3"/>
        <v>8624286.790000001</v>
      </c>
      <c r="T47" s="271">
        <f t="shared" si="4"/>
        <v>2.0356622739932969E-3</v>
      </c>
    </row>
    <row r="48" spans="1:21">
      <c r="A48" s="176">
        <v>43</v>
      </c>
      <c r="B48" s="466" t="str">
        <f>+VLOOKUP($A48,[1]Master!$D$25:$G$223,4,FALSE)</f>
        <v xml:space="preserve">Transfers to Institutions, Individuals, NGO and Public Sector </v>
      </c>
      <c r="C48" s="467"/>
      <c r="D48" s="467"/>
      <c r="E48" s="467"/>
      <c r="F48" s="467"/>
      <c r="G48" s="431">
        <v>5367351.82</v>
      </c>
      <c r="H48" s="431">
        <v>7878426.2999999998</v>
      </c>
      <c r="I48" s="431">
        <v>12624632.02</v>
      </c>
      <c r="J48" s="431">
        <v>15717196.880000001</v>
      </c>
      <c r="K48" s="431">
        <v>10712461.529999999</v>
      </c>
      <c r="L48" s="431">
        <v>13588572.92</v>
      </c>
      <c r="M48" s="431">
        <v>17165199.760000002</v>
      </c>
      <c r="N48" s="431">
        <v>15793377.119999999</v>
      </c>
      <c r="O48" s="431">
        <v>13743974.02</v>
      </c>
      <c r="P48" s="431">
        <v>13251144.24</v>
      </c>
      <c r="Q48" s="431">
        <v>11142113.050000001</v>
      </c>
      <c r="R48" s="431">
        <v>29896675.100000001</v>
      </c>
      <c r="S48" s="273">
        <f t="shared" si="3"/>
        <v>166881124.75999999</v>
      </c>
      <c r="T48" s="274">
        <f t="shared" si="4"/>
        <v>3.9390342434971436E-2</v>
      </c>
    </row>
    <row r="49" spans="1:21">
      <c r="A49" s="176">
        <v>44</v>
      </c>
      <c r="B49" s="466" t="str">
        <f>+VLOOKUP($A49,[1]Master!$D$25:$G$223,4,FALSE)</f>
        <v>Capital Expenditure</v>
      </c>
      <c r="C49" s="467"/>
      <c r="D49" s="467"/>
      <c r="E49" s="467"/>
      <c r="F49" s="467"/>
      <c r="G49" s="431">
        <v>109644.44</v>
      </c>
      <c r="H49" s="431">
        <v>1491590.34</v>
      </c>
      <c r="I49" s="431">
        <v>7362820.4900000002</v>
      </c>
      <c r="J49" s="431">
        <v>6918517.2599999998</v>
      </c>
      <c r="K49" s="431">
        <v>2511744.17</v>
      </c>
      <c r="L49" s="431">
        <v>22683622.390000001</v>
      </c>
      <c r="M49" s="431">
        <v>10754440.220000001</v>
      </c>
      <c r="N49" s="431">
        <v>29296079.120000001</v>
      </c>
      <c r="O49" s="431">
        <v>19940301.670000002</v>
      </c>
      <c r="P49" s="431">
        <v>29993285.289999999</v>
      </c>
      <c r="Q49" s="431">
        <v>37935759.630000003</v>
      </c>
      <c r="R49" s="431">
        <v>82878761.950000003</v>
      </c>
      <c r="S49" s="273">
        <f t="shared" si="3"/>
        <v>251876566.97000003</v>
      </c>
      <c r="T49" s="274">
        <f t="shared" si="4"/>
        <v>5.9452524894962951E-2</v>
      </c>
    </row>
    <row r="50" spans="1:21">
      <c r="A50" s="176">
        <v>451</v>
      </c>
      <c r="B50" s="436" t="str">
        <f>+VLOOKUP($A50,[1]Master!$D$25:$G$223,4,FALSE)</f>
        <v>Credits and Borrowings</v>
      </c>
      <c r="C50" s="437"/>
      <c r="D50" s="437"/>
      <c r="E50" s="437"/>
      <c r="F50" s="437"/>
      <c r="G50" s="189">
        <v>0</v>
      </c>
      <c r="H50" s="189">
        <v>285802</v>
      </c>
      <c r="I50" s="189">
        <v>0</v>
      </c>
      <c r="J50" s="189">
        <v>294172</v>
      </c>
      <c r="K50" s="189">
        <v>40272</v>
      </c>
      <c r="L50" s="189">
        <v>468970.67</v>
      </c>
      <c r="M50" s="189">
        <v>0</v>
      </c>
      <c r="N50" s="189">
        <v>40000</v>
      </c>
      <c r="O50" s="189">
        <v>15000</v>
      </c>
      <c r="P50" s="189">
        <v>691995.33</v>
      </c>
      <c r="Q50" s="189">
        <v>70920.759999999995</v>
      </c>
      <c r="R50" s="189">
        <v>2950278</v>
      </c>
      <c r="S50" s="270">
        <f t="shared" si="3"/>
        <v>4857410.76</v>
      </c>
      <c r="T50" s="271">
        <f t="shared" si="4"/>
        <v>1.1465351366661946E-3</v>
      </c>
    </row>
    <row r="51" spans="1:21">
      <c r="A51" s="176">
        <v>47</v>
      </c>
      <c r="B51" s="436" t="str">
        <f>+VLOOKUP($A51,[1]Master!$D$25:$G$223,4,FALSE)</f>
        <v>Reserves</v>
      </c>
      <c r="C51" s="437"/>
      <c r="D51" s="437"/>
      <c r="E51" s="437"/>
      <c r="F51" s="437"/>
      <c r="G51" s="189">
        <v>5000</v>
      </c>
      <c r="H51" s="189">
        <v>25400</v>
      </c>
      <c r="I51" s="189">
        <v>493700</v>
      </c>
      <c r="J51" s="189">
        <v>285897.84000000003</v>
      </c>
      <c r="K51" s="189">
        <v>4315705.9400000004</v>
      </c>
      <c r="L51" s="189">
        <v>1297104.97</v>
      </c>
      <c r="M51" s="189">
        <v>826758.17</v>
      </c>
      <c r="N51" s="189">
        <v>1509270</v>
      </c>
      <c r="O51" s="189">
        <v>1178123.47</v>
      </c>
      <c r="P51" s="189">
        <v>4740919.33</v>
      </c>
      <c r="Q51" s="189">
        <v>1360299.94</v>
      </c>
      <c r="R51" s="189">
        <v>3645650.27</v>
      </c>
      <c r="S51" s="270">
        <f t="shared" si="3"/>
        <v>19683829.93</v>
      </c>
      <c r="T51" s="271">
        <f t="shared" si="4"/>
        <v>4.6461383963555683E-3</v>
      </c>
    </row>
    <row r="52" spans="1:21" ht="13.5" thickBot="1">
      <c r="A52" s="176">
        <v>462</v>
      </c>
      <c r="B52" s="454" t="str">
        <f>+VLOOKUP($A52,[1]Master!$D$25:$G$223,4,FALSE)</f>
        <v>Repayment of Guarantees</v>
      </c>
      <c r="C52" s="455"/>
      <c r="D52" s="455"/>
      <c r="E52" s="455"/>
      <c r="F52" s="455"/>
      <c r="G52" s="225">
        <v>0</v>
      </c>
      <c r="H52" s="225">
        <v>0</v>
      </c>
      <c r="I52" s="225">
        <v>0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0</v>
      </c>
      <c r="P52" s="225">
        <v>0</v>
      </c>
      <c r="Q52" s="225">
        <v>0</v>
      </c>
      <c r="R52" s="225"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54" t="str">
        <f>+VLOOKUP($A53,[1]Master!$D$25:$G$223,4,TRUE)</f>
        <v>Repayments of Arrears</v>
      </c>
      <c r="C53" s="455"/>
      <c r="D53" s="455"/>
      <c r="E53" s="455"/>
      <c r="F53" s="455"/>
      <c r="G53" s="225">
        <v>2184051.7200000002</v>
      </c>
      <c r="H53" s="225">
        <v>1764900.98</v>
      </c>
      <c r="I53" s="225">
        <v>2883254.52</v>
      </c>
      <c r="J53" s="225">
        <v>1767565.23</v>
      </c>
      <c r="K53" s="225">
        <v>1819114.92</v>
      </c>
      <c r="L53" s="225">
        <v>3273831.52</v>
      </c>
      <c r="M53" s="225">
        <v>12593149</v>
      </c>
      <c r="N53" s="225">
        <v>3919363.28</v>
      </c>
      <c r="O53" s="225">
        <v>2388146.7200000002</v>
      </c>
      <c r="P53" s="225">
        <v>2862908.84</v>
      </c>
      <c r="Q53" s="225">
        <v>2620351.65</v>
      </c>
      <c r="R53" s="225">
        <v>1884186.27</v>
      </c>
      <c r="S53" s="284">
        <f>+SUM(G53:R53)</f>
        <v>39960824.650000006</v>
      </c>
      <c r="T53" s="285">
        <f>+S53/$T$7</f>
        <v>9.432286420714725E-3</v>
      </c>
    </row>
    <row r="54" spans="1:21" ht="13.5" thickBot="1">
      <c r="A54" s="71">
        <v>1005</v>
      </c>
      <c r="B54" s="488" t="str">
        <f>+VLOOKUP($A54,[1]Master!$D$25:$G$225,4,FALSE)</f>
        <v>Net increase of liabilities</v>
      </c>
      <c r="C54" s="489"/>
      <c r="D54" s="489"/>
      <c r="E54" s="489"/>
      <c r="F54" s="48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60" t="str">
        <f>+VLOOKUP($A55,[1]Master!$D$25:$G$223,4,FALSE)</f>
        <v>Surplus / deficit</v>
      </c>
      <c r="C55" s="461"/>
      <c r="D55" s="461"/>
      <c r="E55" s="461"/>
      <c r="F55" s="461"/>
      <c r="G55" s="177">
        <f t="shared" ref="G55:R55" si="9">+G10-G29</f>
        <v>-21511473.969999984</v>
      </c>
      <c r="H55" s="177">
        <f t="shared" si="9"/>
        <v>-17781164.959999979</v>
      </c>
      <c r="I55" s="177">
        <f t="shared" si="9"/>
        <v>-31232172.079999983</v>
      </c>
      <c r="J55" s="177">
        <f t="shared" si="9"/>
        <v>-16277543.120000005</v>
      </c>
      <c r="K55" s="177">
        <f t="shared" si="9"/>
        <v>-4211922.130000025</v>
      </c>
      <c r="L55" s="177">
        <f t="shared" si="9"/>
        <v>-14075674.050000012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1185348.9100000262</v>
      </c>
      <c r="P55" s="177">
        <f t="shared" si="9"/>
        <v>-17910257.660000026</v>
      </c>
      <c r="Q55" s="177">
        <f t="shared" si="9"/>
        <v>-31811010.069999993</v>
      </c>
      <c r="R55" s="177">
        <f t="shared" si="9"/>
        <v>-84480727.080000013</v>
      </c>
      <c r="S55" s="286">
        <f t="shared" si="3"/>
        <v>-236862401.43000004</v>
      </c>
      <c r="T55" s="287">
        <f t="shared" si="4"/>
        <v>-5.5908606295142341E-2</v>
      </c>
    </row>
    <row r="56" spans="1:21" ht="13.5" thickBot="1">
      <c r="A56" s="170">
        <v>1001</v>
      </c>
      <c r="B56" s="462" t="str">
        <f>+VLOOKUP($A56,[1]Master!$D$25:$G$223,4,FALSE)</f>
        <v>Primary balance</v>
      </c>
      <c r="C56" s="463"/>
      <c r="D56" s="463"/>
      <c r="E56" s="463"/>
      <c r="F56" s="463"/>
      <c r="G56" s="231">
        <f>+G55+G37</f>
        <v>-18281753.069999985</v>
      </c>
      <c r="H56" s="231">
        <f t="shared" ref="H56:R56" si="10">+H55+H37</f>
        <v>-16675516.549999978</v>
      </c>
      <c r="I56" s="231">
        <f t="shared" si="10"/>
        <v>8118498.0800000131</v>
      </c>
      <c r="J56" s="231">
        <f t="shared" si="10"/>
        <v>2082124.7399999946</v>
      </c>
      <c r="K56" s="231">
        <f t="shared" si="10"/>
        <v>12135558.939999975</v>
      </c>
      <c r="L56" s="231">
        <f t="shared" si="10"/>
        <v>-11555766.290000012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3202044.0600000261</v>
      </c>
      <c r="P56" s="231">
        <f t="shared" si="10"/>
        <v>-16171116.670000026</v>
      </c>
      <c r="Q56" s="231">
        <f t="shared" si="10"/>
        <v>-27892383.239999995</v>
      </c>
      <c r="R56" s="231">
        <f t="shared" si="10"/>
        <v>-82187344.750000015</v>
      </c>
      <c r="S56" s="286">
        <f t="shared" si="3"/>
        <v>-138157022.85000002</v>
      </c>
      <c r="T56" s="287">
        <f t="shared" si="4"/>
        <v>-3.2610353313978192E-2</v>
      </c>
    </row>
    <row r="57" spans="1:21">
      <c r="A57" s="170">
        <v>46</v>
      </c>
      <c r="B57" s="464" t="str">
        <f>+VLOOKUP($A57,[1]Master!$D$25:$G$223,4,FALSE)</f>
        <v>Repayment of Debt</v>
      </c>
      <c r="C57" s="465"/>
      <c r="D57" s="465"/>
      <c r="E57" s="465"/>
      <c r="F57" s="465"/>
      <c r="G57" s="433">
        <f t="shared" ref="G57:R57" si="11">+SUM(G58:G59)</f>
        <v>18311638.189999998</v>
      </c>
      <c r="H57" s="433">
        <f t="shared" si="11"/>
        <v>42352594.400000006</v>
      </c>
      <c r="I57" s="433">
        <f t="shared" si="11"/>
        <v>36492059.539999999</v>
      </c>
      <c r="J57" s="433">
        <f t="shared" si="11"/>
        <v>65432249.010000005</v>
      </c>
      <c r="K57" s="433">
        <f t="shared" si="11"/>
        <v>6070178.8200000003</v>
      </c>
      <c r="L57" s="433">
        <f t="shared" si="11"/>
        <v>29898962.890000001</v>
      </c>
      <c r="M57" s="433">
        <f t="shared" si="11"/>
        <v>35563936.18</v>
      </c>
      <c r="N57" s="433">
        <f t="shared" si="11"/>
        <v>68410518.010000005</v>
      </c>
      <c r="O57" s="433">
        <f t="shared" si="11"/>
        <v>13074495.76</v>
      </c>
      <c r="P57" s="433">
        <f t="shared" si="11"/>
        <v>7199515.9700000007</v>
      </c>
      <c r="Q57" s="433">
        <f t="shared" si="11"/>
        <v>7022219.0999999996</v>
      </c>
      <c r="R57" s="433">
        <f t="shared" si="11"/>
        <v>28772200.979999997</v>
      </c>
      <c r="S57" s="288">
        <f t="shared" si="3"/>
        <v>358600568.85000002</v>
      </c>
      <c r="T57" s="289">
        <f t="shared" si="4"/>
        <v>8.4643480349808814E-2</v>
      </c>
    </row>
    <row r="58" spans="1:21">
      <c r="A58" s="170">
        <v>4611</v>
      </c>
      <c r="B58" s="452" t="str">
        <f>+VLOOKUP($A58,[1]Master!$D$25:$G$223,4,FALSE)</f>
        <v>Repayment of Domestic Debt</v>
      </c>
      <c r="C58" s="453"/>
      <c r="D58" s="453"/>
      <c r="E58" s="453"/>
      <c r="F58" s="453"/>
      <c r="G58" s="237">
        <v>16509330.02</v>
      </c>
      <c r="H58" s="237">
        <v>40459986.270000003</v>
      </c>
      <c r="I58" s="237">
        <v>28547623.149999999</v>
      </c>
      <c r="J58" s="237">
        <v>111178.77</v>
      </c>
      <c r="K58" s="237">
        <v>861846.67</v>
      </c>
      <c r="L58" s="237">
        <v>18678429.690000001</v>
      </c>
      <c r="M58" s="237">
        <v>25930516.890000001</v>
      </c>
      <c r="N58" s="237">
        <v>65870871.859999999</v>
      </c>
      <c r="O58" s="237">
        <v>8684013.8599999994</v>
      </c>
      <c r="P58" s="237">
        <v>2314998.5699999998</v>
      </c>
      <c r="Q58" s="237">
        <v>865501.84</v>
      </c>
      <c r="R58" s="237">
        <v>17178358.239999998</v>
      </c>
      <c r="S58" s="290">
        <f t="shared" si="3"/>
        <v>226012655.83000001</v>
      </c>
      <c r="T58" s="291">
        <f t="shared" si="4"/>
        <v>5.3347650434310535E-2</v>
      </c>
    </row>
    <row r="59" spans="1:21" ht="13.5" thickBot="1">
      <c r="A59" s="170">
        <v>4612</v>
      </c>
      <c r="B59" s="436" t="str">
        <f>+VLOOKUP($A59,[1]Master!$D$25:$G$223,4,FALSE)</f>
        <v>Repayment of Foreign Debt</v>
      </c>
      <c r="C59" s="437"/>
      <c r="D59" s="437"/>
      <c r="E59" s="437"/>
      <c r="F59" s="437"/>
      <c r="G59" s="237">
        <v>1802308.17</v>
      </c>
      <c r="H59" s="237">
        <v>1892608.13</v>
      </c>
      <c r="I59" s="237">
        <v>7944436.3899999997</v>
      </c>
      <c r="J59" s="237">
        <v>65321070.240000002</v>
      </c>
      <c r="K59" s="237">
        <v>5208332.1500000004</v>
      </c>
      <c r="L59" s="237">
        <v>11220533.199999999</v>
      </c>
      <c r="M59" s="237">
        <v>9633419.2899999991</v>
      </c>
      <c r="N59" s="237">
        <v>2539646.15</v>
      </c>
      <c r="O59" s="237">
        <v>4390481.9000000004</v>
      </c>
      <c r="P59" s="237">
        <v>4884517.4000000004</v>
      </c>
      <c r="Q59" s="237">
        <v>6156717.2599999998</v>
      </c>
      <c r="R59" s="237">
        <v>11593842.74</v>
      </c>
      <c r="S59" s="270">
        <f t="shared" si="3"/>
        <v>132587913.02000004</v>
      </c>
      <c r="T59" s="291">
        <f t="shared" si="4"/>
        <v>3.1295829915498286E-2</v>
      </c>
    </row>
    <row r="60" spans="1:21" ht="13.5" thickBot="1">
      <c r="A60" s="170">
        <v>1002</v>
      </c>
      <c r="B60" s="456" t="str">
        <f>+VLOOKUP($A60,[1]Master!$D$25:$G$223,4,FALSE)</f>
        <v>Financing needs</v>
      </c>
      <c r="C60" s="457"/>
      <c r="D60" s="457"/>
      <c r="E60" s="457"/>
      <c r="F60" s="457"/>
      <c r="G60" s="243">
        <f t="shared" ref="G60:R60" si="12">+G55-G57</f>
        <v>-39823112.159999982</v>
      </c>
      <c r="H60" s="243">
        <f t="shared" si="12"/>
        <v>-60133759.359999985</v>
      </c>
      <c r="I60" s="243">
        <f t="shared" si="12"/>
        <v>-67724231.619999975</v>
      </c>
      <c r="J60" s="243">
        <f t="shared" si="12"/>
        <v>-81709792.13000001</v>
      </c>
      <c r="K60" s="243">
        <f t="shared" si="12"/>
        <v>-10282100.950000025</v>
      </c>
      <c r="L60" s="243">
        <f t="shared" si="12"/>
        <v>-43974636.940000013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-11889146.849999974</v>
      </c>
      <c r="P60" s="243">
        <f t="shared" si="12"/>
        <v>-25109773.630000025</v>
      </c>
      <c r="Q60" s="243">
        <f t="shared" si="12"/>
        <v>-38833229.169999994</v>
      </c>
      <c r="R60" s="243">
        <f t="shared" si="12"/>
        <v>-113252928.06</v>
      </c>
      <c r="S60" s="292">
        <f t="shared" si="3"/>
        <v>-595462970.27999997</v>
      </c>
      <c r="T60" s="293">
        <f t="shared" si="4"/>
        <v>-0.14055208664495114</v>
      </c>
    </row>
    <row r="61" spans="1:21" ht="13.5" thickBot="1">
      <c r="A61" s="170">
        <v>1003</v>
      </c>
      <c r="B61" s="458" t="str">
        <f>+VLOOKUP($A61,[1]Master!$D$25:$G$223,4,FALSE)</f>
        <v>Financing</v>
      </c>
      <c r="C61" s="459"/>
      <c r="D61" s="459"/>
      <c r="E61" s="459"/>
      <c r="F61" s="459"/>
      <c r="G61" s="177">
        <f>+SUM(G62:G65)</f>
        <v>39823112.159999982</v>
      </c>
      <c r="H61" s="177">
        <f t="shared" ref="H61:R61" si="13">+SUM(H62:H65)</f>
        <v>60133759.359999985</v>
      </c>
      <c r="I61" s="177">
        <f t="shared" si="13"/>
        <v>67724231.619999975</v>
      </c>
      <c r="J61" s="177">
        <f t="shared" si="13"/>
        <v>81709792.13000001</v>
      </c>
      <c r="K61" s="177">
        <f t="shared" si="13"/>
        <v>10282100.950000025</v>
      </c>
      <c r="L61" s="177">
        <f t="shared" si="13"/>
        <v>43974636.940000013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11889146.849999972</v>
      </c>
      <c r="P61" s="177">
        <f t="shared" si="13"/>
        <v>25109773.630000025</v>
      </c>
      <c r="Q61" s="177">
        <f t="shared" si="13"/>
        <v>38833229.169999994</v>
      </c>
      <c r="R61" s="177">
        <f t="shared" si="13"/>
        <v>113252928.06</v>
      </c>
      <c r="S61" s="294">
        <f t="shared" si="3"/>
        <v>595462970.27999997</v>
      </c>
      <c r="T61" s="295">
        <f t="shared" si="4"/>
        <v>0.14055208664495114</v>
      </c>
    </row>
    <row r="62" spans="1:21">
      <c r="A62" s="170">
        <v>7511</v>
      </c>
      <c r="B62" s="452" t="str">
        <f>+VLOOKUP($A62,[1]Master!$D$25:$G$223,4,FALSE)</f>
        <v>Domestic Loans and Borrowings</v>
      </c>
      <c r="C62" s="453"/>
      <c r="D62" s="453"/>
      <c r="E62" s="453"/>
      <c r="F62" s="453"/>
      <c r="G62" s="237">
        <v>16700681.109999999</v>
      </c>
      <c r="H62" s="237">
        <v>55339318.890000001</v>
      </c>
      <c r="I62" s="237">
        <v>74583448.420000002</v>
      </c>
      <c r="J62" s="237">
        <v>22911551.579999998</v>
      </c>
      <c r="K62" s="237">
        <v>0</v>
      </c>
      <c r="L62" s="237">
        <v>13000000</v>
      </c>
      <c r="M62" s="237">
        <v>24450000</v>
      </c>
      <c r="N62" s="237">
        <v>50085000</v>
      </c>
      <c r="O62" s="237">
        <v>0</v>
      </c>
      <c r="P62" s="237">
        <v>0</v>
      </c>
      <c r="Q62" s="237">
        <v>0</v>
      </c>
      <c r="R62" s="237">
        <v>3000000</v>
      </c>
      <c r="S62" s="290">
        <f t="shared" si="3"/>
        <v>260070000</v>
      </c>
      <c r="T62" s="291">
        <f t="shared" si="4"/>
        <v>6.1386489165840531E-2</v>
      </c>
    </row>
    <row r="63" spans="1:21">
      <c r="A63" s="170">
        <v>7512</v>
      </c>
      <c r="B63" s="436" t="str">
        <f>+VLOOKUP($A63,[1]Master!$D$25:$G$223,4,FALSE)</f>
        <v>Foreign Loans and Borrowings</v>
      </c>
      <c r="C63" s="437"/>
      <c r="D63" s="437"/>
      <c r="E63" s="437"/>
      <c r="F63" s="437"/>
      <c r="G63" s="237">
        <v>34554.129999999997</v>
      </c>
      <c r="H63" s="237">
        <v>322585.33</v>
      </c>
      <c r="I63" s="237">
        <v>5656594.5499999998</v>
      </c>
      <c r="J63" s="237">
        <v>84125996.959999993</v>
      </c>
      <c r="K63" s="237">
        <v>259019.66</v>
      </c>
      <c r="L63" s="237">
        <v>16146143.310000001</v>
      </c>
      <c r="M63" s="237">
        <v>733759.27</v>
      </c>
      <c r="N63" s="237">
        <v>26168335.57</v>
      </c>
      <c r="O63" s="237">
        <v>43020325.210000001</v>
      </c>
      <c r="P63" s="237">
        <v>20632990.120000001</v>
      </c>
      <c r="Q63" s="237">
        <v>28222092.870000001</v>
      </c>
      <c r="R63" s="237">
        <v>127444455.40000001</v>
      </c>
      <c r="S63" s="290">
        <f t="shared" si="3"/>
        <v>352766852.38</v>
      </c>
      <c r="T63" s="291">
        <f t="shared" si="4"/>
        <v>8.3266499641221736E-2</v>
      </c>
    </row>
    <row r="64" spans="1:21">
      <c r="A64" s="170">
        <v>72</v>
      </c>
      <c r="B64" s="436" t="str">
        <f>+VLOOKUP($A64,[1]Master!$D$25:$G$223,4,FALSE)</f>
        <v>Revenues from Selling Assets</v>
      </c>
      <c r="C64" s="437"/>
      <c r="D64" s="437"/>
      <c r="E64" s="437"/>
      <c r="F64" s="437"/>
      <c r="G64" s="237">
        <v>20867.330000000002</v>
      </c>
      <c r="H64" s="237">
        <v>70916.160000000003</v>
      </c>
      <c r="I64" s="237">
        <v>65967</v>
      </c>
      <c r="J64" s="237">
        <v>1070298.19</v>
      </c>
      <c r="K64" s="237">
        <v>724479.47</v>
      </c>
      <c r="L64" s="237">
        <v>1430729.48</v>
      </c>
      <c r="M64" s="237">
        <v>1009041.84</v>
      </c>
      <c r="N64" s="237">
        <v>73978.179999999993</v>
      </c>
      <c r="O64" s="237">
        <v>167534.29</v>
      </c>
      <c r="P64" s="237">
        <v>68693.73</v>
      </c>
      <c r="Q64" s="237">
        <v>399611.81</v>
      </c>
      <c r="R64" s="237">
        <v>1088997.75</v>
      </c>
      <c r="S64" s="290">
        <f t="shared" si="3"/>
        <v>6191115.2299999995</v>
      </c>
      <c r="T64" s="291">
        <f t="shared" si="4"/>
        <v>1.4613405159797949E-3</v>
      </c>
    </row>
    <row r="65" spans="1:20" ht="13.5" thickBot="1">
      <c r="A65" s="170">
        <v>1004</v>
      </c>
      <c r="B65" s="249" t="str">
        <f>+VLOOKUP($A65,[1]Master!$D$25:$G$223,4,FALSE)</f>
        <v>Increase / decrease of deposits</v>
      </c>
      <c r="C65" s="250"/>
      <c r="D65" s="250"/>
      <c r="E65" s="250"/>
      <c r="F65" s="250"/>
      <c r="G65" s="251">
        <f>-G60-SUM(G62:G64)</f>
        <v>23067009.589999981</v>
      </c>
      <c r="H65" s="251">
        <f t="shared" ref="H65:R65" si="14">-H60-SUM(H62:H64)</f>
        <v>4400938.9799999893</v>
      </c>
      <c r="I65" s="251">
        <f t="shared" si="14"/>
        <v>-12581778.350000024</v>
      </c>
      <c r="J65" s="251">
        <f t="shared" si="14"/>
        <v>-26398054.599999979</v>
      </c>
      <c r="K65" s="251">
        <f t="shared" si="14"/>
        <v>9298601.8200000245</v>
      </c>
      <c r="L65" s="251">
        <f t="shared" si="14"/>
        <v>13397764.15000001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-31298712.650000028</v>
      </c>
      <c r="P65" s="251">
        <f t="shared" si="14"/>
        <v>4408089.7800000235</v>
      </c>
      <c r="Q65" s="251">
        <f t="shared" si="14"/>
        <v>10211524.489999995</v>
      </c>
      <c r="R65" s="251">
        <f t="shared" si="14"/>
        <v>-18280525.090000004</v>
      </c>
      <c r="S65" s="296">
        <f>+SUM(G65:R65)</f>
        <v>-23564997.329999976</v>
      </c>
      <c r="T65" s="297">
        <f t="shared" si="4"/>
        <v>-5.5622426780909161E-3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22" t="str">
        <f>+[1]Master!G250</f>
        <v>Planned Budget Execution</v>
      </c>
      <c r="C101" s="523"/>
      <c r="D101" s="523"/>
      <c r="E101" s="523"/>
      <c r="F101" s="523"/>
      <c r="G101" s="516">
        <v>2017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17"/>
      <c r="S101" s="116" t="str">
        <f>+S7</f>
        <v>GDP</v>
      </c>
      <c r="T101" s="117">
        <f>+T7</f>
        <v>4236600000</v>
      </c>
    </row>
    <row r="102" spans="1:21" ht="15.75" customHeight="1">
      <c r="B102" s="524"/>
      <c r="C102" s="525"/>
      <c r="D102" s="525"/>
      <c r="E102" s="525"/>
      <c r="F102" s="526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6" t="str">
        <f>+[1]Master!G244</f>
        <v>Jan - Dec</v>
      </c>
      <c r="T102" s="517">
        <f>+T8</f>
        <v>0</v>
      </c>
    </row>
    <row r="103" spans="1:21" ht="13.5" thickBot="1">
      <c r="B103" s="527"/>
      <c r="C103" s="528"/>
      <c r="D103" s="528"/>
      <c r="E103" s="528"/>
      <c r="F103" s="52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8" t="str">
        <f>+VLOOKUP(LEFT($A104,LEN(A104)-1)*1,[1]Master!$D$25:$G$223,4,FALSE)</f>
        <v>Total Revenues</v>
      </c>
      <c r="C104" s="519"/>
      <c r="D104" s="519"/>
      <c r="E104" s="519"/>
      <c r="F104" s="519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0.36624101011714866</v>
      </c>
    </row>
    <row r="105" spans="1:21">
      <c r="A105" s="138" t="str">
        <f t="shared" si="17"/>
        <v>711p</v>
      </c>
      <c r="B105" s="520" t="str">
        <f>+VLOOKUP(LEFT($A105,LEN(A105)-1)*1,[1]Master!$D$25:$G$223,4,FALSE)</f>
        <v>Taxes</v>
      </c>
      <c r="C105" s="521"/>
      <c r="D105" s="521"/>
      <c r="E105" s="521"/>
      <c r="F105" s="521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0.2228854728472299</v>
      </c>
      <c r="U105" s="303"/>
    </row>
    <row r="106" spans="1:21">
      <c r="A106" s="138" t="str">
        <f t="shared" si="17"/>
        <v>7111p</v>
      </c>
      <c r="B106" s="502" t="str">
        <f>+VLOOKUP(LEFT($A106,LEN(A106)-1)*1,[1]Master!$D$25:$G$223,4,FALSE)</f>
        <v>Personal Income Tax</v>
      </c>
      <c r="C106" s="503"/>
      <c r="D106" s="503"/>
      <c r="E106" s="503"/>
      <c r="F106" s="503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2.9642494343911099E-2</v>
      </c>
    </row>
    <row r="107" spans="1:21">
      <c r="A107" s="138" t="str">
        <f t="shared" si="17"/>
        <v>7112p</v>
      </c>
      <c r="B107" s="502" t="str">
        <f>+VLOOKUP(LEFT($A107,LEN(A107)-1)*1,[1]Master!$D$25:$G$223,4,FALSE)</f>
        <v>Corporate Income Tax</v>
      </c>
      <c r="C107" s="503"/>
      <c r="D107" s="503"/>
      <c r="E107" s="503"/>
      <c r="F107" s="503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1.1075553051043198E-2</v>
      </c>
    </row>
    <row r="108" spans="1:21">
      <c r="A108" s="138" t="str">
        <f t="shared" si="17"/>
        <v>7113p</v>
      </c>
      <c r="B108" s="502" t="str">
        <f>+VLOOKUP(LEFT($A108,LEN(A108)-1)*1,[1]Master!$D$25:$G$223,4,FALSE)</f>
        <v xml:space="preserve">Taxes on Sales of Property </v>
      </c>
      <c r="C108" s="503"/>
      <c r="D108" s="503"/>
      <c r="E108" s="503"/>
      <c r="F108" s="503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5.8051135321773363E-4</v>
      </c>
    </row>
    <row r="109" spans="1:21">
      <c r="A109" s="138" t="str">
        <f t="shared" si="17"/>
        <v>7114p</v>
      </c>
      <c r="B109" s="502" t="str">
        <f>+VLOOKUP(LEFT($A109,LEN(A109)-1)*1,[1]Master!$D$25:$G$223,4,FALSE)</f>
        <v>Value Added Tax</v>
      </c>
      <c r="C109" s="503"/>
      <c r="D109" s="503"/>
      <c r="E109" s="503"/>
      <c r="F109" s="503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0.12386003809211418</v>
      </c>
    </row>
    <row r="110" spans="1:21">
      <c r="A110" s="138" t="str">
        <f t="shared" si="17"/>
        <v>7115p</v>
      </c>
      <c r="B110" s="502" t="str">
        <f>+VLOOKUP(LEFT($A110,LEN(A110)-1)*1,[1]Master!$D$25:$G$223,4,FALSE)</f>
        <v>Excises</v>
      </c>
      <c r="C110" s="503"/>
      <c r="D110" s="503"/>
      <c r="E110" s="503"/>
      <c r="F110" s="503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4.9681654321774633E-2</v>
      </c>
    </row>
    <row r="111" spans="1:21">
      <c r="A111" s="138" t="str">
        <f t="shared" si="17"/>
        <v>7116p</v>
      </c>
      <c r="B111" s="502" t="str">
        <f>+VLOOKUP(LEFT($A111,LEN(A111)-1)*1,[1]Master!$D$25:$G$223,4,FALSE)</f>
        <v>Tax on International Trade and Transactions</v>
      </c>
      <c r="C111" s="503"/>
      <c r="D111" s="503"/>
      <c r="E111" s="503"/>
      <c r="F111" s="503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5.7656478131817507E-3</v>
      </c>
    </row>
    <row r="112" spans="1:21">
      <c r="A112" s="138" t="str">
        <f t="shared" si="17"/>
        <v>7118p</v>
      </c>
      <c r="B112" s="502" t="str">
        <f>+VLOOKUP(LEFT($A112,LEN(A112)-1)*1,[1]Master!$D$25:$G$223,4,FALSE)</f>
        <v>Other Republic Taxes</v>
      </c>
      <c r="C112" s="503"/>
      <c r="D112" s="503"/>
      <c r="E112" s="503"/>
      <c r="F112" s="503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2.2795738719872814E-3</v>
      </c>
    </row>
    <row r="113" spans="1:20">
      <c r="A113" s="138" t="str">
        <f t="shared" si="17"/>
        <v>712p</v>
      </c>
      <c r="B113" s="514" t="str">
        <f>+VLOOKUP(LEFT($A113,LEN(A113)-1)*1,[1]Master!$D$25:$G$223,4,FALSE)</f>
        <v>Contributions</v>
      </c>
      <c r="C113" s="515"/>
      <c r="D113" s="515"/>
      <c r="E113" s="515"/>
      <c r="F113" s="515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0.1161678685864788</v>
      </c>
    </row>
    <row r="114" spans="1:20">
      <c r="A114" s="138" t="str">
        <f t="shared" si="17"/>
        <v>7121p</v>
      </c>
      <c r="B114" s="502" t="str">
        <f>+VLOOKUP(LEFT($A114,LEN(A114)-1)*1,[1]Master!$D$25:$G$223,4,FALSE)</f>
        <v>Contributions for Pension and Disability Insurance</v>
      </c>
      <c r="C114" s="503"/>
      <c r="D114" s="503"/>
      <c r="E114" s="503"/>
      <c r="F114" s="503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6.9303879016515357E-2</v>
      </c>
    </row>
    <row r="115" spans="1:20">
      <c r="A115" s="138" t="str">
        <f t="shared" si="17"/>
        <v>7122p</v>
      </c>
      <c r="B115" s="502" t="str">
        <f>+VLOOKUP(LEFT($A115,LEN(A115)-1)*1,[1]Master!$D$25:$G$223,4,FALSE)</f>
        <v>Contributions for Health Insurance</v>
      </c>
      <c r="C115" s="503"/>
      <c r="D115" s="503"/>
      <c r="E115" s="503"/>
      <c r="F115" s="503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4.0686619642692726E-2</v>
      </c>
    </row>
    <row r="116" spans="1:20">
      <c r="A116" s="138" t="str">
        <f t="shared" si="17"/>
        <v>7123p</v>
      </c>
      <c r="B116" s="502" t="str">
        <f>+VLOOKUP(LEFT($A116,LEN(A116)-1)*1,[1]Master!$D$25:$G$223,4,FALSE)</f>
        <v>Contributions for  Unemployment Insurance</v>
      </c>
      <c r="C116" s="503"/>
      <c r="D116" s="503"/>
      <c r="E116" s="503"/>
      <c r="F116" s="503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3.2804370857444885E-3</v>
      </c>
    </row>
    <row r="117" spans="1:20">
      <c r="A117" s="138" t="str">
        <f t="shared" si="17"/>
        <v>7124p</v>
      </c>
      <c r="B117" s="502" t="str">
        <f>+VLOOKUP(LEFT($A117,LEN(A117)-1)*1,[1]Master!$D$25:$G$223,4,FALSE)</f>
        <v>Other contributions</v>
      </c>
      <c r="C117" s="503"/>
      <c r="D117" s="503"/>
      <c r="E117" s="503"/>
      <c r="F117" s="503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2.8969328415262246E-3</v>
      </c>
    </row>
    <row r="118" spans="1:20">
      <c r="A118" s="138" t="str">
        <f t="shared" si="17"/>
        <v>713p</v>
      </c>
      <c r="B118" s="506" t="str">
        <f>+VLOOKUP(LEFT($A118,LEN(A118)-1)*1,[1]Master!$D$25:$G$223,4,FALSE)</f>
        <v>Duties</v>
      </c>
      <c r="C118" s="507"/>
      <c r="D118" s="507"/>
      <c r="E118" s="507"/>
      <c r="F118" s="50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3.264947337973704E-3</v>
      </c>
    </row>
    <row r="119" spans="1:20">
      <c r="A119" s="138" t="str">
        <f t="shared" si="17"/>
        <v>714p</v>
      </c>
      <c r="B119" s="506" t="str">
        <f>+VLOOKUP(LEFT($A119,LEN(A119)-1)*1,[1]Master!$D$25:$G$223,4,FALSE)</f>
        <v>Fees</v>
      </c>
      <c r="C119" s="507"/>
      <c r="D119" s="507"/>
      <c r="E119" s="507"/>
      <c r="F119" s="50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5.5349292763696911E-3</v>
      </c>
    </row>
    <row r="120" spans="1:20">
      <c r="A120" s="138" t="str">
        <f t="shared" si="17"/>
        <v>715p</v>
      </c>
      <c r="B120" s="506" t="str">
        <f>+VLOOKUP(LEFT($A120,LEN(A120)-1)*1,[1]Master!$D$25:$G$223,4,FALSE)</f>
        <v>Other revenues</v>
      </c>
      <c r="C120" s="507"/>
      <c r="D120" s="507"/>
      <c r="E120" s="507"/>
      <c r="F120" s="50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8.8257414462336523E-3</v>
      </c>
    </row>
    <row r="121" spans="1:20">
      <c r="A121" s="138" t="str">
        <f t="shared" si="17"/>
        <v>73p</v>
      </c>
      <c r="B121" s="506" t="str">
        <f>+VLOOKUP(LEFT($A121,LEN(A121)-1)*1,[1]Master!$D$25:$G$223,4,FALSE)</f>
        <v>Receipts from Repayment of Loans and Funds Carried over from Previous Year</v>
      </c>
      <c r="C121" s="507"/>
      <c r="D121" s="507"/>
      <c r="E121" s="507"/>
      <c r="F121" s="50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1.2535013144552357E-3</v>
      </c>
    </row>
    <row r="122" spans="1:20" ht="13.5" thickBot="1">
      <c r="A122" s="138" t="str">
        <f t="shared" si="17"/>
        <v>74p</v>
      </c>
      <c r="B122" s="508" t="str">
        <f>+VLOOKUP(LEFT($A122,LEN(A122)-1)*1,[1]Master!$D$25:$G$223,4,FALSE)</f>
        <v>Grants and Transfers</v>
      </c>
      <c r="C122" s="509"/>
      <c r="D122" s="509"/>
      <c r="E122" s="509"/>
      <c r="F122" s="509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8.3085493084076849E-3</v>
      </c>
    </row>
    <row r="123" spans="1:20" ht="13.5" thickBot="1">
      <c r="A123" s="138" t="str">
        <f t="shared" si="17"/>
        <v>4p</v>
      </c>
      <c r="B123" s="492" t="str">
        <f>+VLOOKUP(LEFT($A123,LEN(A123)-1)*1,[1]Master!$D$25:$G$223,4,FALSE)</f>
        <v>Total Expenditures</v>
      </c>
      <c r="C123" s="493"/>
      <c r="D123" s="493"/>
      <c r="E123" s="493"/>
      <c r="F123" s="49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0.42155966474531459</v>
      </c>
    </row>
    <row r="124" spans="1:20" ht="13.5" thickBot="1">
      <c r="A124" s="138" t="str">
        <f t="shared" si="17"/>
        <v>41p</v>
      </c>
      <c r="B124" s="510" t="str">
        <f>+VLOOKUP(LEFT($A124,LEN(A124)-1)*1,[1]Master!$D$25:$G$223,4,FALSE)</f>
        <v>Current Expenditures</v>
      </c>
      <c r="C124" s="511"/>
      <c r="D124" s="511"/>
      <c r="E124" s="511"/>
      <c r="F124" s="511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0.3547422639947127</v>
      </c>
    </row>
    <row r="125" spans="1:20">
      <c r="A125" s="138" t="str">
        <f t="shared" si="17"/>
        <v>40p</v>
      </c>
      <c r="B125" s="512" t="str">
        <f>+VLOOKUP(LEFT($A125,LEN(A125)-1)*1,[1]Master!$D$25:$G$223,4,FALSE)</f>
        <v>Current Budgetary Expenditures</v>
      </c>
      <c r="C125" s="513"/>
      <c r="D125" s="513"/>
      <c r="E125" s="513"/>
      <c r="F125" s="513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0.17725518026719536</v>
      </c>
    </row>
    <row r="126" spans="1:20">
      <c r="A126" s="138" t="str">
        <f t="shared" si="17"/>
        <v>411p</v>
      </c>
      <c r="B126" s="502" t="str">
        <f>+VLOOKUP(LEFT($A126,LEN(A126)-1)*1,[1]Master!$D$25:$G$223,4,FALSE)</f>
        <v>Gross Salaries and Contributions</v>
      </c>
      <c r="C126" s="503"/>
      <c r="D126" s="503"/>
      <c r="E126" s="503"/>
      <c r="F126" s="503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0.10344291176415049</v>
      </c>
    </row>
    <row r="127" spans="1:20">
      <c r="A127" s="138" t="str">
        <f t="shared" si="17"/>
        <v>412p</v>
      </c>
      <c r="B127" s="502" t="str">
        <f>+VLOOKUP(LEFT($A127,LEN(A127)-1)*1,[1]Master!$D$25:$G$223,4,FALSE)</f>
        <v>Other Personal Income</v>
      </c>
      <c r="C127" s="503"/>
      <c r="D127" s="503"/>
      <c r="E127" s="503"/>
      <c r="F127" s="503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2.4047932233394712E-3</v>
      </c>
    </row>
    <row r="128" spans="1:20">
      <c r="A128" s="138" t="str">
        <f t="shared" si="17"/>
        <v>413p</v>
      </c>
      <c r="B128" s="502" t="str">
        <f>+VLOOKUP(LEFT($A128,LEN(A128)-1)*1,[1]Master!$D$25:$G$223,4,FALSE)</f>
        <v>Expenditures for Supplies</v>
      </c>
      <c r="C128" s="503"/>
      <c r="D128" s="503"/>
      <c r="E128" s="503"/>
      <c r="F128" s="503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6.9860531794363389E-3</v>
      </c>
    </row>
    <row r="129" spans="1:20">
      <c r="A129" s="138" t="str">
        <f t="shared" si="17"/>
        <v>414p</v>
      </c>
      <c r="B129" s="502" t="str">
        <f>+VLOOKUP(LEFT($A129,LEN(A129)-1)*1,[1]Master!$D$25:$G$223,4,FALSE)</f>
        <v>Expenditures for Services</v>
      </c>
      <c r="C129" s="503"/>
      <c r="D129" s="503"/>
      <c r="E129" s="503"/>
      <c r="F129" s="503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1.2515873799745081E-2</v>
      </c>
    </row>
    <row r="130" spans="1:20">
      <c r="A130" s="138" t="str">
        <f t="shared" si="17"/>
        <v>415p</v>
      </c>
      <c r="B130" s="502" t="str">
        <f>+VLOOKUP(LEFT($A130,LEN(A130)-1)*1,[1]Master!$D$25:$G$223,4,FALSE)</f>
        <v>Current Maintenance</v>
      </c>
      <c r="C130" s="503"/>
      <c r="D130" s="503"/>
      <c r="E130" s="503"/>
      <c r="F130" s="503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5.0103785299532647E-3</v>
      </c>
    </row>
    <row r="131" spans="1:20">
      <c r="A131" s="138" t="str">
        <f t="shared" si="17"/>
        <v>416p</v>
      </c>
      <c r="B131" s="502" t="str">
        <f>+VLOOKUP(LEFT($A131,LEN(A131)-1)*1,[1]Master!$D$25:$G$223,4,FALSE)</f>
        <v>Interests</v>
      </c>
      <c r="C131" s="503"/>
      <c r="D131" s="503"/>
      <c r="E131" s="503"/>
      <c r="F131" s="503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2.2509471252891471E-2</v>
      </c>
    </row>
    <row r="132" spans="1:20">
      <c r="A132" s="138" t="str">
        <f t="shared" si="17"/>
        <v>417p</v>
      </c>
      <c r="B132" s="502" t="str">
        <f>+VLOOKUP(LEFT($A132,LEN(A132)-1)*1,[1]Master!$D$25:$G$223,4,FALSE)</f>
        <v>Rent</v>
      </c>
      <c r="C132" s="503"/>
      <c r="D132" s="503"/>
      <c r="E132" s="503"/>
      <c r="F132" s="503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2.2007693716659588E-3</v>
      </c>
    </row>
    <row r="133" spans="1:20">
      <c r="A133" s="138" t="str">
        <f t="shared" si="17"/>
        <v>418p</v>
      </c>
      <c r="B133" s="502" t="str">
        <f>+VLOOKUP(LEFT($A133,LEN(A133)-1)*1,[1]Master!$D$25:$G$223,4,FALSE)</f>
        <v>Subsidies</v>
      </c>
      <c r="C133" s="503"/>
      <c r="D133" s="503"/>
      <c r="E133" s="503"/>
      <c r="F133" s="503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5.8825001132983999E-3</v>
      </c>
    </row>
    <row r="134" spans="1:20">
      <c r="A134" s="138" t="str">
        <f t="shared" si="17"/>
        <v>419p</v>
      </c>
      <c r="B134" s="502" t="str">
        <f>+VLOOKUP(LEFT($A134,LEN(A134)-1)*1,[1]Master!$D$25:$G$223,4,FALSE)</f>
        <v>Other expenditures</v>
      </c>
      <c r="C134" s="503"/>
      <c r="D134" s="503"/>
      <c r="E134" s="503"/>
      <c r="F134" s="503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7.7798110607562665E-3</v>
      </c>
    </row>
    <row r="135" spans="1:20">
      <c r="A135" s="138" t="str">
        <f t="shared" si="17"/>
        <v>440p</v>
      </c>
      <c r="B135" s="502" t="str">
        <f>+VLOOKUP(LEFT($A135,LEN(A135)-1)*1,[1]Master!$D$25:$G$223,4,FALSE)</f>
        <v>Current Capital Expenditure</v>
      </c>
      <c r="C135" s="503"/>
      <c r="D135" s="503"/>
      <c r="E135" s="503"/>
      <c r="F135" s="503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8.5226179719586452E-3</v>
      </c>
    </row>
    <row r="136" spans="1:20">
      <c r="A136" s="138" t="str">
        <f t="shared" si="17"/>
        <v>42p</v>
      </c>
      <c r="B136" s="500" t="str">
        <f>+VLOOKUP(LEFT($A136,LEN(A136)-1)*1,[1]Master!$D$25:$G$223,4,FALSE)</f>
        <v>Social Security Transfers</v>
      </c>
      <c r="C136" s="501"/>
      <c r="D136" s="501"/>
      <c r="E136" s="501"/>
      <c r="F136" s="501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0.13475855756974933</v>
      </c>
    </row>
    <row r="137" spans="1:20">
      <c r="A137" s="138" t="str">
        <f t="shared" si="17"/>
        <v>421p</v>
      </c>
      <c r="B137" s="502" t="str">
        <f>+VLOOKUP(LEFT($A137,LEN(A137)-1)*1,[1]Master!$D$25:$G$223,4,FALSE)</f>
        <v>Social Security</v>
      </c>
      <c r="C137" s="503"/>
      <c r="D137" s="503"/>
      <c r="E137" s="503"/>
      <c r="F137" s="503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2.7077284851059816E-2</v>
      </c>
    </row>
    <row r="138" spans="1:20">
      <c r="A138" s="138" t="str">
        <f t="shared" si="17"/>
        <v>422p</v>
      </c>
      <c r="B138" s="502" t="str">
        <f>+VLOOKUP(LEFT($A138,LEN(A138)-1)*1,[1]Master!$D$25:$G$223,4,FALSE)</f>
        <v>Funds for redundant labor</v>
      </c>
      <c r="C138" s="503"/>
      <c r="D138" s="503"/>
      <c r="E138" s="503"/>
      <c r="F138" s="503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4.8615587971486572E-3</v>
      </c>
    </row>
    <row r="139" spans="1:20">
      <c r="A139" s="138" t="str">
        <f t="shared" si="17"/>
        <v>423p</v>
      </c>
      <c r="B139" s="502" t="str">
        <f>+VLOOKUP(LEFT($A139,LEN(A139)-1)*1,[1]Master!$D$25:$G$223,4,FALSE)</f>
        <v>Pension and Disability Insurance</v>
      </c>
      <c r="C139" s="503"/>
      <c r="D139" s="503"/>
      <c r="E139" s="503"/>
      <c r="F139" s="503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9.7047160458858514E-2</v>
      </c>
    </row>
    <row r="140" spans="1:20">
      <c r="A140" s="138" t="str">
        <f t="shared" si="17"/>
        <v>424p</v>
      </c>
      <c r="B140" s="502" t="str">
        <f>+VLOOKUP(LEFT($A140,LEN(A140)-1)*1,[1]Master!$D$25:$G$223,4,FALSE)</f>
        <v>Other Health Care Transfers</v>
      </c>
      <c r="C140" s="503"/>
      <c r="D140" s="503"/>
      <c r="E140" s="503"/>
      <c r="F140" s="503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3.7603266770523539E-3</v>
      </c>
    </row>
    <row r="141" spans="1:20">
      <c r="A141" s="138" t="str">
        <f t="shared" si="17"/>
        <v>425p</v>
      </c>
      <c r="B141" s="502" t="str">
        <f>+VLOOKUP(LEFT($A141,LEN(A141)-1)*1,[1]Master!$D$25:$G$223,4,FALSE)</f>
        <v>Other Health Care Insurance</v>
      </c>
      <c r="C141" s="503"/>
      <c r="D141" s="503"/>
      <c r="E141" s="503"/>
      <c r="F141" s="503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2.0122267856299866E-3</v>
      </c>
    </row>
    <row r="142" spans="1:20">
      <c r="A142" s="138" t="str">
        <f t="shared" si="17"/>
        <v>43p</v>
      </c>
      <c r="B142" s="504" t="str">
        <f>+VLOOKUP(LEFT($A142,LEN(A142)-1)*1,[1]Master!$D$25:$G$223,4,FALSE)</f>
        <v xml:space="preserve">Transfers to Institutions, Individuals, NGO and Public Sector </v>
      </c>
      <c r="C142" s="505"/>
      <c r="D142" s="505"/>
      <c r="E142" s="505"/>
      <c r="F142" s="505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3.8781098059764894E-2</v>
      </c>
    </row>
    <row r="143" spans="1:20">
      <c r="A143" s="138" t="str">
        <f t="shared" si="17"/>
        <v>44p</v>
      </c>
      <c r="B143" s="504" t="str">
        <f>+VLOOKUP(LEFT($A143,LEN(A143)-1)*1,[1]Master!$D$25:$G$223,4,FALSE)</f>
        <v>Capital Expenditure</v>
      </c>
      <c r="C143" s="505"/>
      <c r="D143" s="505"/>
      <c r="E143" s="505"/>
      <c r="F143" s="505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6.6817400750601913E-2</v>
      </c>
    </row>
    <row r="144" spans="1:20">
      <c r="A144" s="138" t="str">
        <f t="shared" si="17"/>
        <v>451p</v>
      </c>
      <c r="B144" s="486" t="str">
        <f>+VLOOKUP(LEFT($A144,LEN(A144)-1)*1,[1]Master!$D$25:$G$223,4,FALSE)</f>
        <v>Credits and Borrowings</v>
      </c>
      <c r="C144" s="487"/>
      <c r="D144" s="487"/>
      <c r="E144" s="487"/>
      <c r="F144" s="487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5.7239295661615447E-4</v>
      </c>
    </row>
    <row r="145" spans="1:20">
      <c r="A145" s="138" t="str">
        <f t="shared" si="17"/>
        <v>47p</v>
      </c>
      <c r="B145" s="486" t="str">
        <f>+VLOOKUP(LEFT($A145,LEN(A145)-1)*1,[1]Master!$D$25:$G$223,4,FALSE)</f>
        <v>Reserves</v>
      </c>
      <c r="C145" s="487"/>
      <c r="D145" s="487"/>
      <c r="E145" s="487"/>
      <c r="F145" s="487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3.3750351413869605E-3</v>
      </c>
    </row>
    <row r="146" spans="1:20">
      <c r="A146" s="138" t="str">
        <f t="shared" si="17"/>
        <v>462p</v>
      </c>
      <c r="B146" s="486" t="str">
        <f>+VLOOKUP(LEFT($A146,LEN(A146)-1)*1,[1]Master!$D$25:$G$223,4,FALSE)</f>
        <v>Repayment of Guarantees</v>
      </c>
      <c r="C146" s="487"/>
      <c r="D146" s="487"/>
      <c r="E146" s="487"/>
      <c r="F146" s="487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6" t="str">
        <f>+VLOOKUP(LEFT($A148,LEN(A148)-1)*1,[1]Master!$D$25:$G$223,4,FALSE)</f>
        <v>Surplus / deficit</v>
      </c>
      <c r="C148" s="497"/>
      <c r="D148" s="497"/>
      <c r="E148" s="497"/>
      <c r="F148" s="497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-5.5318654628165979E-2</v>
      </c>
    </row>
    <row r="149" spans="1:20" ht="13.5" thickBot="1">
      <c r="A149" s="139" t="str">
        <f>+CONCATENATE(A56,"p")</f>
        <v>1001p</v>
      </c>
      <c r="B149" s="498" t="str">
        <f>+VLOOKUP(LEFT($A149,LEN(A149)-1)*1,[1]Master!$D$25:$G$223,4,FALSE)</f>
        <v>Primary balance</v>
      </c>
      <c r="C149" s="499"/>
      <c r="D149" s="499"/>
      <c r="E149" s="499"/>
      <c r="F149" s="499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-3.2809183375274505E-2</v>
      </c>
    </row>
    <row r="150" spans="1:20">
      <c r="A150" s="139" t="str">
        <f>+CONCATENATE(A57,"p")</f>
        <v>46p</v>
      </c>
      <c r="B150" s="500" t="str">
        <f>+VLOOKUP(LEFT($A150,LEN(A150)-1)*1,[1]Master!$D$25:$G$223,4,FALSE)</f>
        <v>Repayment of Debt</v>
      </c>
      <c r="C150" s="501"/>
      <c r="D150" s="501"/>
      <c r="E150" s="501"/>
      <c r="F150" s="501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5.2026507848274554E-2</v>
      </c>
    </row>
    <row r="151" spans="1:20">
      <c r="A151" s="139" t="str">
        <f>+CONCATENATE(A58,"p")</f>
        <v>4611p</v>
      </c>
      <c r="B151" s="494" t="str">
        <f>+VLOOKUP(LEFT($A151,LEN(A151)-1)*1,[1]Master!$D$25:$G$223,4,FALSE)</f>
        <v>Repayment of Domestic Debt</v>
      </c>
      <c r="C151" s="495"/>
      <c r="D151" s="495"/>
      <c r="E151" s="495"/>
      <c r="F151" s="495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1.225318466458953E-2</v>
      </c>
    </row>
    <row r="152" spans="1:20">
      <c r="A152" s="139" t="str">
        <f>+CONCATENATE(A59,"p")</f>
        <v>4612p</v>
      </c>
      <c r="B152" s="486" t="str">
        <f>+VLOOKUP(LEFT($A152,LEN(A152)-1)*1,[1]Master!$D$25:$G$223,4,FALSE)</f>
        <v>Repayment of Foreign Debt</v>
      </c>
      <c r="C152" s="487"/>
      <c r="D152" s="487"/>
      <c r="E152" s="487"/>
      <c r="F152" s="487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3.1814937024972852E-2</v>
      </c>
    </row>
    <row r="153" spans="1:20" ht="13.5" thickBot="1">
      <c r="A153" s="139" t="str">
        <f>+CONCATENATE(A53,"p")</f>
        <v>4630p</v>
      </c>
      <c r="B153" s="488" t="str">
        <f>+VLOOKUP(LEFT($A153,LEN(A153)-1)*1,[1]Master!$D$25:$G$223,4,FALSE)</f>
        <v>Repayments of Arrears</v>
      </c>
      <c r="C153" s="489"/>
      <c r="D153" s="489"/>
      <c r="E153" s="489"/>
      <c r="F153" s="489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7.9583861587121767E-3</v>
      </c>
    </row>
    <row r="154" spans="1:20" ht="13.5" thickBot="1">
      <c r="A154" s="139" t="str">
        <f t="shared" ref="A154:A159" si="30">+CONCATENATE(A60,"p")</f>
        <v>1002p</v>
      </c>
      <c r="B154" s="490" t="str">
        <f>+VLOOKUP(LEFT($A154,LEN(A154)-1)*1,[1]Master!$D$25:$G$223,4,FALSE)</f>
        <v>Financing needs</v>
      </c>
      <c r="C154" s="491"/>
      <c r="D154" s="491"/>
      <c r="E154" s="491"/>
      <c r="F154" s="491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-0.10734516247644055</v>
      </c>
    </row>
    <row r="155" spans="1:20" ht="13.5" thickBot="1">
      <c r="A155" s="139" t="str">
        <f t="shared" si="30"/>
        <v>1003p</v>
      </c>
      <c r="B155" s="492" t="str">
        <f>+VLOOKUP(LEFT($A155,LEN(A155)-1)*1,[1]Master!$D$25:$G$223,4,FALSE)</f>
        <v>Financing</v>
      </c>
      <c r="C155" s="493"/>
      <c r="D155" s="493"/>
      <c r="E155" s="493"/>
      <c r="F155" s="49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0.10734516247644055</v>
      </c>
    </row>
    <row r="156" spans="1:20">
      <c r="A156" s="139" t="str">
        <f t="shared" si="30"/>
        <v>7511p</v>
      </c>
      <c r="B156" s="494" t="str">
        <f>+VLOOKUP(LEFT($A156,LEN(A156)-1)*1,[1]Master!$D$25:$G$223,4,FALSE)</f>
        <v>Domestic Loans and Borrowings</v>
      </c>
      <c r="C156" s="495"/>
      <c r="D156" s="495"/>
      <c r="E156" s="495"/>
      <c r="F156" s="495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2.3603833262521828E-2</v>
      </c>
    </row>
    <row r="157" spans="1:20">
      <c r="A157" s="139" t="str">
        <f t="shared" si="30"/>
        <v>7512p</v>
      </c>
      <c r="B157" s="486" t="str">
        <f>+VLOOKUP(LEFT($A157,LEN(A157)-1)*1,[1]Master!$D$25:$G$223,4,FALSE)</f>
        <v>Foreign Loans and Borrowings</v>
      </c>
      <c r="C157" s="487"/>
      <c r="D157" s="487"/>
      <c r="E157" s="487"/>
      <c r="F157" s="487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8.3598598790272843E-2</v>
      </c>
    </row>
    <row r="158" spans="1:20">
      <c r="A158" s="139" t="str">
        <f t="shared" si="30"/>
        <v>72p</v>
      </c>
      <c r="B158" s="486" t="str">
        <f>+VLOOKUP(LEFT($A158,LEN(A158)-1)*1,[1]Master!$D$25:$G$223,4,FALSE)</f>
        <v>Revenues from Selling Assets</v>
      </c>
      <c r="C158" s="487"/>
      <c r="D158" s="487"/>
      <c r="E158" s="487"/>
      <c r="F158" s="487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1.4273042364585436E-4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531" t="str">
        <f>+Master!G249</f>
        <v>Ostvarenje budžeta</v>
      </c>
      <c r="C7" s="439"/>
      <c r="D7" s="439"/>
      <c r="E7" s="439"/>
      <c r="F7" s="439"/>
      <c r="G7" s="447">
        <v>2016</v>
      </c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51"/>
      <c r="S7" s="261" t="str">
        <f>+Master!G246</f>
        <v>BDP</v>
      </c>
      <c r="T7" s="262">
        <v>3773000000</v>
      </c>
    </row>
    <row r="8" spans="1:20" ht="16.5" customHeight="1">
      <c r="A8" s="170"/>
      <c r="B8" s="440"/>
      <c r="C8" s="441"/>
      <c r="D8" s="441"/>
      <c r="E8" s="441"/>
      <c r="F8" s="44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7" t="str">
        <f>+Master!G243</f>
        <v>Jan - Apr</v>
      </c>
      <c r="T8" s="451"/>
    </row>
    <row r="9" spans="1:20" ht="13.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68" t="str">
        <f>+VLOOKUP($A18,Master!$D$25:$G$223,4,FALSE)</f>
        <v>Ostali državni porezi</v>
      </c>
      <c r="C18" s="469"/>
      <c r="D18" s="469"/>
      <c r="E18" s="469"/>
      <c r="F18" s="469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78" t="str">
        <f>+VLOOKUP($A19,Master!$D$25:$G$223,4,FALSE)</f>
        <v>Doprinosi</v>
      </c>
      <c r="C19" s="479"/>
      <c r="D19" s="479"/>
      <c r="E19" s="479"/>
      <c r="F19" s="479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68" t="str">
        <f>+VLOOKUP($A20,Master!$D$25:$G$223,4,FALSE)</f>
        <v>Doprinosi za penzijsko i invalidsko osiguranje</v>
      </c>
      <c r="C20" s="469"/>
      <c r="D20" s="469"/>
      <c r="E20" s="469"/>
      <c r="F20" s="469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68" t="str">
        <f>+VLOOKUP($A21,Master!$D$25:$G$223,4,FALSE)</f>
        <v>Doprinosi za zdravstveno osiguranje</v>
      </c>
      <c r="C21" s="469"/>
      <c r="D21" s="469"/>
      <c r="E21" s="469"/>
      <c r="F21" s="469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68" t="str">
        <f>+VLOOKUP($A22,Master!$D$25:$G$223,4,FALSE)</f>
        <v>Doprinosi za osiguranje od nezaposlenosti</v>
      </c>
      <c r="C22" s="469"/>
      <c r="D22" s="469"/>
      <c r="E22" s="469"/>
      <c r="F22" s="469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68" t="str">
        <f>+VLOOKUP($A23,Master!$D$25:$G$223,4,FALSE)</f>
        <v>Ostali doprinosi</v>
      </c>
      <c r="C23" s="469"/>
      <c r="D23" s="469"/>
      <c r="E23" s="469"/>
      <c r="F23" s="469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70" t="str">
        <f>+VLOOKUP($A24,Master!$D$25:$G$223,4,FALSE)</f>
        <v>Takse</v>
      </c>
      <c r="C24" s="471"/>
      <c r="D24" s="471"/>
      <c r="E24" s="471"/>
      <c r="F24" s="471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70" t="str">
        <f>+VLOOKUP($A25,Master!$D$25:$G$223,4,FALSE)</f>
        <v>Naknade</v>
      </c>
      <c r="C25" s="471"/>
      <c r="D25" s="471"/>
      <c r="E25" s="471"/>
      <c r="F25" s="471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70" t="str">
        <f>+VLOOKUP($A26,Master!$D$25:$G$223,4,FALSE)</f>
        <v>Ostali prihodi</v>
      </c>
      <c r="C26" s="471"/>
      <c r="D26" s="471"/>
      <c r="E26" s="471"/>
      <c r="F26" s="471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70" t="str">
        <f>+VLOOKUP($A27,Master!$D$25:$G$223,4,FALSE)</f>
        <v>Primici od otplate kredita i sredstva prenesena iz prethodne godine</v>
      </c>
      <c r="C27" s="471"/>
      <c r="D27" s="471"/>
      <c r="E27" s="471"/>
      <c r="F27" s="471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72" t="str">
        <f>+VLOOKUP($A28,Master!$D$25:$G$223,4,FALSE)</f>
        <v>Donacije i transferi</v>
      </c>
      <c r="C28" s="473"/>
      <c r="D28" s="473"/>
      <c r="E28" s="473"/>
      <c r="F28" s="473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74" t="str">
        <f>+VLOOKUP($A30,Master!$D$25:$G$223,4,FALSE)</f>
        <v>Tekući izdaci</v>
      </c>
      <c r="C30" s="475"/>
      <c r="D30" s="475"/>
      <c r="E30" s="475"/>
      <c r="F30" s="475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76" t="str">
        <f>+VLOOKUP($A31,Master!$D$25:$G$223,4,FALSE)</f>
        <v>Tekući budžetski izdaci</v>
      </c>
      <c r="C31" s="477"/>
      <c r="D31" s="477"/>
      <c r="E31" s="477"/>
      <c r="F31" s="477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68" t="str">
        <f>+VLOOKUP($A32,Master!$D$25:$G$223,4,FALSE)</f>
        <v>Bruto zarade i doprinosi na teret poslodavca</v>
      </c>
      <c r="C32" s="469"/>
      <c r="D32" s="469"/>
      <c r="E32" s="469"/>
      <c r="F32" s="469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68" t="str">
        <f>+VLOOKUP($A33,Master!$D$25:$G$223,4,FALSE)</f>
        <v>Ostala lična primanja</v>
      </c>
      <c r="C33" s="469"/>
      <c r="D33" s="469"/>
      <c r="E33" s="469"/>
      <c r="F33" s="469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68" t="str">
        <f>+VLOOKUP($A34,Master!$D$25:$G$223,4,FALSE)</f>
        <v>Rashodi za materijal</v>
      </c>
      <c r="C34" s="469"/>
      <c r="D34" s="469"/>
      <c r="E34" s="469"/>
      <c r="F34" s="469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68" t="str">
        <f>+VLOOKUP($A35,Master!$D$25:$G$223,4,FALSE)</f>
        <v>Rashodi za usluge</v>
      </c>
      <c r="C35" s="469"/>
      <c r="D35" s="469"/>
      <c r="E35" s="469"/>
      <c r="F35" s="469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68" t="str">
        <f>+VLOOKUP($A36,Master!$D$25:$G$223,4,FALSE)</f>
        <v>Rashodi za tekuće održavanje</v>
      </c>
      <c r="C36" s="469"/>
      <c r="D36" s="469"/>
      <c r="E36" s="469"/>
      <c r="F36" s="469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68" t="str">
        <f>+VLOOKUP($A37,Master!$D$25:$G$223,4,FALSE)</f>
        <v>Kamate</v>
      </c>
      <c r="C37" s="469"/>
      <c r="D37" s="469"/>
      <c r="E37" s="469"/>
      <c r="F37" s="469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68" t="str">
        <f>+VLOOKUP($A38,Master!$D$25:$G$223,4,FALSE)</f>
        <v>Renta</v>
      </c>
      <c r="C38" s="469"/>
      <c r="D38" s="469"/>
      <c r="E38" s="469"/>
      <c r="F38" s="469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68" t="str">
        <f>+VLOOKUP($A39,Master!$D$25:$G$223,4,FALSE)</f>
        <v>Subvencije</v>
      </c>
      <c r="C39" s="469"/>
      <c r="D39" s="469"/>
      <c r="E39" s="469"/>
      <c r="F39" s="469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68" t="str">
        <f>+VLOOKUP($A40,Master!$D$25:$G$223,4,FALSE)</f>
        <v>Ostali izdaci</v>
      </c>
      <c r="C40" s="469"/>
      <c r="D40" s="469"/>
      <c r="E40" s="469"/>
      <c r="F40" s="469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68" t="str">
        <f>+VLOOKUP($A41,Master!$D$25:$G$223,4,FALSE)</f>
        <v>Kapitalni izdaci u tekućem budžetu</v>
      </c>
      <c r="C41" s="469"/>
      <c r="D41" s="469"/>
      <c r="E41" s="469"/>
      <c r="F41" s="469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64" t="str">
        <f>+VLOOKUP($A42,Master!$D$25:$G$223,4,FALSE)</f>
        <v>Transferi za socijalnu zaštitu</v>
      </c>
      <c r="C42" s="465"/>
      <c r="D42" s="465"/>
      <c r="E42" s="465"/>
      <c r="F42" s="465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68" t="str">
        <f>+VLOOKUP($A43,Master!$D$25:$G$223,4,FALSE)</f>
        <v>Prava iz oblasti socijalne zaštite</v>
      </c>
      <c r="C43" s="469"/>
      <c r="D43" s="469"/>
      <c r="E43" s="469"/>
      <c r="F43" s="469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68" t="str">
        <f>+VLOOKUP($A44,Master!$D$25:$G$223,4,FALSE)</f>
        <v>Sredstva za tehnološke viškove</v>
      </c>
      <c r="C44" s="469"/>
      <c r="D44" s="469"/>
      <c r="E44" s="469"/>
      <c r="F44" s="469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68" t="str">
        <f>+VLOOKUP($A45,Master!$D$25:$G$223,4,FALSE)</f>
        <v>Prava iz oblasti penzijskog i invalidskog osiguranja</v>
      </c>
      <c r="C45" s="469"/>
      <c r="D45" s="469"/>
      <c r="E45" s="469"/>
      <c r="F45" s="469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68" t="str">
        <f>+VLOOKUP($A46,Master!$D$25:$G$223,4,FALSE)</f>
        <v>Ostala prava iz oblasti zdravstvene zaštite</v>
      </c>
      <c r="C46" s="469"/>
      <c r="D46" s="469"/>
      <c r="E46" s="469"/>
      <c r="F46" s="469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68" t="str">
        <f>+VLOOKUP($A47,Master!$D$25:$G$223,4,FALSE)</f>
        <v>Ostala prava iz zdravstvenog osiguranja</v>
      </c>
      <c r="C47" s="469"/>
      <c r="D47" s="469"/>
      <c r="E47" s="469"/>
      <c r="F47" s="469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66" t="str">
        <f>+VLOOKUP($A48,Master!$D$25:$G$223,4,FALSE)</f>
        <v xml:space="preserve">Transferi institucijama, pojedincima, nevladinom i javnom sektoru </v>
      </c>
      <c r="C48" s="467"/>
      <c r="D48" s="467"/>
      <c r="E48" s="467"/>
      <c r="F48" s="467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66" t="str">
        <f>+VLOOKUP($A49,Master!$D$25:$G$223,4,FALSE)</f>
        <v>Kapitalni budžet</v>
      </c>
      <c r="C49" s="467"/>
      <c r="D49" s="467"/>
      <c r="E49" s="467"/>
      <c r="F49" s="467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36" t="str">
        <f>+VLOOKUP($A50,Master!$D$25:$G$223,4,FALSE)</f>
        <v>Pozajmice i krediti</v>
      </c>
      <c r="C50" s="437"/>
      <c r="D50" s="437"/>
      <c r="E50" s="437"/>
      <c r="F50" s="437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36" t="str">
        <f>+VLOOKUP($A51,Master!$D$25:$G$223,4,FALSE)</f>
        <v>Rezerve</v>
      </c>
      <c r="C51" s="437"/>
      <c r="D51" s="437"/>
      <c r="E51" s="437"/>
      <c r="F51" s="437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54" t="str">
        <f>+VLOOKUP($A52,Master!$D$25:$G$223,4,FALSE)</f>
        <v>Otplata garancija</v>
      </c>
      <c r="C52" s="455"/>
      <c r="D52" s="455"/>
      <c r="E52" s="455"/>
      <c r="F52" s="455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4" t="str">
        <f>+VLOOKUP($A53,Master!$D$25:$G$223,4,TRUE)</f>
        <v>Otplata obaveza iz prethodnih godina</v>
      </c>
      <c r="C53" s="455"/>
      <c r="D53" s="455"/>
      <c r="E53" s="455"/>
      <c r="F53" s="455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8" t="str">
        <f>+VLOOKUP($A54,Master!$D$25:$G$225,4,FALSE)</f>
        <v>Neto povećanje obaveza</v>
      </c>
      <c r="C54" s="489"/>
      <c r="D54" s="489"/>
      <c r="E54" s="489"/>
      <c r="F54" s="48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60" t="str">
        <f>+VLOOKUP($A55,Master!$D$25:$G$223,4,FALSE)</f>
        <v>Suficit / deficit</v>
      </c>
      <c r="C55" s="461"/>
      <c r="D55" s="461"/>
      <c r="E55" s="461"/>
      <c r="F55" s="461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62" t="str">
        <f>+VLOOKUP($A56,Master!$D$25:$G$223,4,FALSE)</f>
        <v>Primarni bilans</v>
      </c>
      <c r="C56" s="463"/>
      <c r="D56" s="463"/>
      <c r="E56" s="463"/>
      <c r="F56" s="463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64" t="str">
        <f>+VLOOKUP($A57,Master!$D$25:$G$223,4,FALSE)</f>
        <v>Otplata dugova</v>
      </c>
      <c r="C57" s="465"/>
      <c r="D57" s="465"/>
      <c r="E57" s="465"/>
      <c r="F57" s="465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52" t="str">
        <f>+VLOOKUP($A58,Master!$D$25:$G$223,4,FALSE)</f>
        <v>Otplata hartija od vrijednosti i kredita rezidentima</v>
      </c>
      <c r="C58" s="453"/>
      <c r="D58" s="453"/>
      <c r="E58" s="453"/>
      <c r="F58" s="453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36" t="str">
        <f>+VLOOKUP($A59,Master!$D$25:$G$223,4,FALSE)</f>
        <v>Otplata hartija od vrijednosti i kredita nerezidentima</v>
      </c>
      <c r="C59" s="437"/>
      <c r="D59" s="437"/>
      <c r="E59" s="437"/>
      <c r="F59" s="437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56" t="str">
        <f>+VLOOKUP($A60,Master!$D$25:$G$223,4,FALSE)</f>
        <v>Nedostajuća sredstva</v>
      </c>
      <c r="C60" s="457"/>
      <c r="D60" s="457"/>
      <c r="E60" s="457"/>
      <c r="F60" s="457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52" t="str">
        <f>+VLOOKUP($A62,Master!$D$25:$G$223,4,FALSE)</f>
        <v>Pozajmice i krediti od domaćih izvora</v>
      </c>
      <c r="C62" s="453"/>
      <c r="D62" s="453"/>
      <c r="E62" s="453"/>
      <c r="F62" s="453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36" t="str">
        <f>+VLOOKUP($A63,Master!$D$25:$G$223,4,FALSE)</f>
        <v>Pozajmice i krediti od inostranih izvora</v>
      </c>
      <c r="C63" s="437"/>
      <c r="D63" s="437"/>
      <c r="E63" s="437"/>
      <c r="F63" s="437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36" t="str">
        <f>+VLOOKUP($A64,Master!$D$25:$G$223,4,FALSE)</f>
        <v>Primici od prodaje imovine</v>
      </c>
      <c r="C64" s="437"/>
      <c r="D64" s="437"/>
      <c r="E64" s="437"/>
      <c r="F64" s="437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22" t="str">
        <f>+Master!G250</f>
        <v>Plan ostvarenja budžeta</v>
      </c>
      <c r="C101" s="523"/>
      <c r="D101" s="523"/>
      <c r="E101" s="523"/>
      <c r="F101" s="523"/>
      <c r="G101" s="516">
        <v>2016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17"/>
      <c r="S101" s="116" t="str">
        <f>+S7</f>
        <v>BDP</v>
      </c>
      <c r="T101" s="117">
        <f>+T7</f>
        <v>3773000000</v>
      </c>
    </row>
    <row r="102" spans="1:21" ht="15.75" customHeight="1">
      <c r="B102" s="524"/>
      <c r="C102" s="525"/>
      <c r="D102" s="525"/>
      <c r="E102" s="525"/>
      <c r="F102" s="52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16" t="str">
        <f>+Master!G244</f>
        <v>Jan - Dec</v>
      </c>
      <c r="T102" s="517">
        <f>+T8</f>
        <v>0</v>
      </c>
    </row>
    <row r="103" spans="1:21" ht="13.5" thickBot="1">
      <c r="B103" s="527"/>
      <c r="C103" s="528"/>
      <c r="D103" s="528"/>
      <c r="E103" s="528"/>
      <c r="F103" s="52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8" t="str">
        <f>+VLOOKUP(LEFT($A104,LEN(A104)-1)*1,Master!$D$25:$G$223,4,FALSE)</f>
        <v>Prihodi budžeta</v>
      </c>
      <c r="C104" s="519"/>
      <c r="D104" s="519"/>
      <c r="E104" s="519"/>
      <c r="F104" s="519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20" t="str">
        <f>+VLOOKUP(LEFT($A105,LEN(A105)-1)*1,Master!$D$25:$G$223,4,FALSE)</f>
        <v>Porezi</v>
      </c>
      <c r="C105" s="521"/>
      <c r="D105" s="521"/>
      <c r="E105" s="521"/>
      <c r="F105" s="521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502" t="str">
        <f>+VLOOKUP(LEFT($A106,LEN(A106)-1)*1,Master!$D$25:$G$223,4,FALSE)</f>
        <v>Porez na dohodak fizičkih lica</v>
      </c>
      <c r="C106" s="503"/>
      <c r="D106" s="503"/>
      <c r="E106" s="503"/>
      <c r="F106" s="503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502" t="str">
        <f>+VLOOKUP(LEFT($A107,LEN(A107)-1)*1,Master!$D$25:$G$223,4,FALSE)</f>
        <v>Porez na dobit pravnih lica</v>
      </c>
      <c r="C107" s="503"/>
      <c r="D107" s="503"/>
      <c r="E107" s="503"/>
      <c r="F107" s="503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502" t="str">
        <f>+VLOOKUP(LEFT($A108,LEN(A108)-1)*1,Master!$D$25:$G$223,4,FALSE)</f>
        <v>Porez na promet nepokretnosti</v>
      </c>
      <c r="C108" s="503"/>
      <c r="D108" s="503"/>
      <c r="E108" s="503"/>
      <c r="F108" s="503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502" t="str">
        <f>+VLOOKUP(LEFT($A109,LEN(A109)-1)*1,Master!$D$25:$G$223,4,FALSE)</f>
        <v>Porez na dodatu vrijednost</v>
      </c>
      <c r="C109" s="503"/>
      <c r="D109" s="503"/>
      <c r="E109" s="503"/>
      <c r="F109" s="503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502" t="str">
        <f>+VLOOKUP(LEFT($A110,LEN(A110)-1)*1,Master!$D$25:$G$223,4,FALSE)</f>
        <v>Akcize</v>
      </c>
      <c r="C110" s="503"/>
      <c r="D110" s="503"/>
      <c r="E110" s="503"/>
      <c r="F110" s="503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502" t="str">
        <f>+VLOOKUP(LEFT($A111,LEN(A111)-1)*1,Master!$D$25:$G$223,4,FALSE)</f>
        <v>Porez na međunarodnu trgovinu i transakcije</v>
      </c>
      <c r="C111" s="503"/>
      <c r="D111" s="503"/>
      <c r="E111" s="503"/>
      <c r="F111" s="503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502" t="str">
        <f>+VLOOKUP(LEFT($A112,LEN(A112)-1)*1,Master!$D$25:$G$223,4,FALSE)</f>
        <v>Ostali državni porezi</v>
      </c>
      <c r="C112" s="503"/>
      <c r="D112" s="503"/>
      <c r="E112" s="503"/>
      <c r="F112" s="503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14" t="str">
        <f>+VLOOKUP(LEFT($A113,LEN(A113)-1)*1,Master!$D$25:$G$223,4,FALSE)</f>
        <v>Doprinosi</v>
      </c>
      <c r="C113" s="515"/>
      <c r="D113" s="515"/>
      <c r="E113" s="515"/>
      <c r="F113" s="515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502" t="str">
        <f>+VLOOKUP(LEFT($A114,LEN(A114)-1)*1,Master!$D$25:$G$223,4,FALSE)</f>
        <v>Doprinosi za penzijsko i invalidsko osiguranje</v>
      </c>
      <c r="C114" s="503"/>
      <c r="D114" s="503"/>
      <c r="E114" s="503"/>
      <c r="F114" s="503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502" t="str">
        <f>+VLOOKUP(LEFT($A115,LEN(A115)-1)*1,Master!$D$25:$G$223,4,FALSE)</f>
        <v>Doprinosi za zdravstveno osiguranje</v>
      </c>
      <c r="C115" s="503"/>
      <c r="D115" s="503"/>
      <c r="E115" s="503"/>
      <c r="F115" s="503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502" t="str">
        <f>+VLOOKUP(LEFT($A116,LEN(A116)-1)*1,Master!$D$25:$G$223,4,FALSE)</f>
        <v>Doprinosi za osiguranje od nezaposlenosti</v>
      </c>
      <c r="C116" s="503"/>
      <c r="D116" s="503"/>
      <c r="E116" s="503"/>
      <c r="F116" s="503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502" t="str">
        <f>+VLOOKUP(LEFT($A117,LEN(A117)-1)*1,Master!$D$25:$G$223,4,FALSE)</f>
        <v>Ostali doprinosi</v>
      </c>
      <c r="C117" s="503"/>
      <c r="D117" s="503"/>
      <c r="E117" s="503"/>
      <c r="F117" s="503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Takse</v>
      </c>
      <c r="C118" s="507"/>
      <c r="D118" s="507"/>
      <c r="E118" s="507"/>
      <c r="F118" s="507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Naknade</v>
      </c>
      <c r="C119" s="507"/>
      <c r="D119" s="507"/>
      <c r="E119" s="507"/>
      <c r="F119" s="507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Ostali prihodi</v>
      </c>
      <c r="C120" s="507"/>
      <c r="D120" s="507"/>
      <c r="E120" s="507"/>
      <c r="F120" s="507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Primici od otplate kredita i sredstva prenesena iz prethodne godine</v>
      </c>
      <c r="C121" s="507"/>
      <c r="D121" s="507"/>
      <c r="E121" s="507"/>
      <c r="F121" s="507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8" t="str">
        <f>+VLOOKUP(LEFT($A122,LEN(A122)-1)*1,Master!$D$25:$G$223,4,FALSE)</f>
        <v>Donacije i transferi</v>
      </c>
      <c r="C122" s="509"/>
      <c r="D122" s="509"/>
      <c r="E122" s="509"/>
      <c r="F122" s="509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2" t="str">
        <f>+VLOOKUP(LEFT($A123,LEN(A123)-1)*1,Master!$D$25:$G$223,4,FALSE)</f>
        <v>Budžetski izdaci</v>
      </c>
      <c r="C123" s="493"/>
      <c r="D123" s="493"/>
      <c r="E123" s="493"/>
      <c r="F123" s="49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10" t="str">
        <f>+VLOOKUP(LEFT($A124,LEN(A124)-1)*1,Master!$D$25:$G$223,4,FALSE)</f>
        <v>Tekući izdaci</v>
      </c>
      <c r="C124" s="511"/>
      <c r="D124" s="511"/>
      <c r="E124" s="511"/>
      <c r="F124" s="511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12" t="str">
        <f>+VLOOKUP(LEFT($A125,LEN(A125)-1)*1,Master!$D$25:$G$223,4,FALSE)</f>
        <v>Tekući budžetski izdaci</v>
      </c>
      <c r="C125" s="513"/>
      <c r="D125" s="513"/>
      <c r="E125" s="513"/>
      <c r="F125" s="513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502" t="str">
        <f>+VLOOKUP(LEFT($A126,LEN(A126)-1)*1,Master!$D$25:$G$223,4,FALSE)</f>
        <v>Bruto zarade i doprinosi na teret poslodavca</v>
      </c>
      <c r="C126" s="503"/>
      <c r="D126" s="503"/>
      <c r="E126" s="503"/>
      <c r="F126" s="503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502" t="str">
        <f>+VLOOKUP(LEFT($A127,LEN(A127)-1)*1,Master!$D$25:$G$223,4,FALSE)</f>
        <v>Ostala lična primanja</v>
      </c>
      <c r="C127" s="503"/>
      <c r="D127" s="503"/>
      <c r="E127" s="503"/>
      <c r="F127" s="503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502" t="str">
        <f>+VLOOKUP(LEFT($A128,LEN(A128)-1)*1,Master!$D$25:$G$223,4,FALSE)</f>
        <v>Rashodi za materijal</v>
      </c>
      <c r="C128" s="503"/>
      <c r="D128" s="503"/>
      <c r="E128" s="503"/>
      <c r="F128" s="503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502" t="str">
        <f>+VLOOKUP(LEFT($A129,LEN(A129)-1)*1,Master!$D$25:$G$223,4,FALSE)</f>
        <v>Rashodi za usluge</v>
      </c>
      <c r="C129" s="503"/>
      <c r="D129" s="503"/>
      <c r="E129" s="503"/>
      <c r="F129" s="503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502" t="str">
        <f>+VLOOKUP(LEFT($A130,LEN(A130)-1)*1,Master!$D$25:$G$223,4,FALSE)</f>
        <v>Rashodi za tekuće održavanje</v>
      </c>
      <c r="C130" s="503"/>
      <c r="D130" s="503"/>
      <c r="E130" s="503"/>
      <c r="F130" s="503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502" t="str">
        <f>+VLOOKUP(LEFT($A131,LEN(A131)-1)*1,Master!$D$25:$G$223,4,FALSE)</f>
        <v>Kamate</v>
      </c>
      <c r="C131" s="503"/>
      <c r="D131" s="503"/>
      <c r="E131" s="503"/>
      <c r="F131" s="503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502" t="str">
        <f>+VLOOKUP(LEFT($A132,LEN(A132)-1)*1,Master!$D$25:$G$223,4,FALSE)</f>
        <v>Renta</v>
      </c>
      <c r="C132" s="503"/>
      <c r="D132" s="503"/>
      <c r="E132" s="503"/>
      <c r="F132" s="503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502" t="str">
        <f>+VLOOKUP(LEFT($A133,LEN(A133)-1)*1,Master!$D$25:$G$223,4,FALSE)</f>
        <v>Subvencije</v>
      </c>
      <c r="C133" s="503"/>
      <c r="D133" s="503"/>
      <c r="E133" s="503"/>
      <c r="F133" s="503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502" t="str">
        <f>+VLOOKUP(LEFT($A134,LEN(A134)-1)*1,Master!$D$25:$G$223,4,FALSE)</f>
        <v>Ostali izdaci</v>
      </c>
      <c r="C134" s="503"/>
      <c r="D134" s="503"/>
      <c r="E134" s="503"/>
      <c r="F134" s="503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502" t="str">
        <f>+VLOOKUP(LEFT($A135,LEN(A135)-1)*1,Master!$D$25:$G$223,4,FALSE)</f>
        <v>Kapitalni izdaci u tekućem budžetu</v>
      </c>
      <c r="C135" s="503"/>
      <c r="D135" s="503"/>
      <c r="E135" s="503"/>
      <c r="F135" s="503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0" t="str">
        <f>+VLOOKUP(LEFT($A136,LEN(A136)-1)*1,Master!$D$25:$G$223,4,FALSE)</f>
        <v>Transferi za socijalnu zaštitu</v>
      </c>
      <c r="C136" s="501"/>
      <c r="D136" s="501"/>
      <c r="E136" s="501"/>
      <c r="F136" s="501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502" t="str">
        <f>+VLOOKUP(LEFT($A137,LEN(A137)-1)*1,Master!$D$25:$G$223,4,FALSE)</f>
        <v>Prava iz oblasti socijalne zaštite</v>
      </c>
      <c r="C137" s="503"/>
      <c r="D137" s="503"/>
      <c r="E137" s="503"/>
      <c r="F137" s="503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502" t="str">
        <f>+VLOOKUP(LEFT($A138,LEN(A138)-1)*1,Master!$D$25:$G$223,4,FALSE)</f>
        <v>Sredstva za tehnološke viškove</v>
      </c>
      <c r="C138" s="503"/>
      <c r="D138" s="503"/>
      <c r="E138" s="503"/>
      <c r="F138" s="503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502" t="str">
        <f>+VLOOKUP(LEFT($A139,LEN(A139)-1)*1,Master!$D$25:$G$223,4,FALSE)</f>
        <v>Prava iz oblasti penzijskog i invalidskog osiguranja</v>
      </c>
      <c r="C139" s="503"/>
      <c r="D139" s="503"/>
      <c r="E139" s="503"/>
      <c r="F139" s="503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502" t="str">
        <f>+VLOOKUP(LEFT($A140,LEN(A140)-1)*1,Master!$D$25:$G$223,4,FALSE)</f>
        <v>Ostala prava iz oblasti zdravstvene zaštite</v>
      </c>
      <c r="C140" s="503"/>
      <c r="D140" s="503"/>
      <c r="E140" s="503"/>
      <c r="F140" s="503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502" t="str">
        <f>+VLOOKUP(LEFT($A141,LEN(A141)-1)*1,Master!$D$25:$G$223,4,FALSE)</f>
        <v>Ostala prava iz zdravstvenog osiguranja</v>
      </c>
      <c r="C141" s="503"/>
      <c r="D141" s="503"/>
      <c r="E141" s="503"/>
      <c r="F141" s="503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4" t="str">
        <f>+VLOOKUP(LEFT($A142,LEN(A142)-1)*1,Master!$D$25:$G$223,4,FALSE)</f>
        <v xml:space="preserve">Transferi institucijama, pojedincima, nevladinom i javnom sektoru </v>
      </c>
      <c r="C142" s="505"/>
      <c r="D142" s="505"/>
      <c r="E142" s="505"/>
      <c r="F142" s="505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4" t="str">
        <f>+VLOOKUP(LEFT($A143,LEN(A143)-1)*1,Master!$D$25:$G$223,4,FALSE)</f>
        <v>Kapitalni budžet</v>
      </c>
      <c r="C143" s="505"/>
      <c r="D143" s="505"/>
      <c r="E143" s="505"/>
      <c r="F143" s="505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86" t="str">
        <f>+VLOOKUP(LEFT($A144,LEN(A144)-1)*1,Master!$D$25:$G$223,4,FALSE)</f>
        <v>Pozajmice i krediti</v>
      </c>
      <c r="C144" s="487"/>
      <c r="D144" s="487"/>
      <c r="E144" s="487"/>
      <c r="F144" s="487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86" t="str">
        <f>+VLOOKUP(LEFT($A145,LEN(A145)-1)*1,Master!$D$25:$G$223,4,FALSE)</f>
        <v>Rezerve</v>
      </c>
      <c r="C145" s="487"/>
      <c r="D145" s="487"/>
      <c r="E145" s="487"/>
      <c r="F145" s="487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86" t="str">
        <f>+VLOOKUP(LEFT($A146,LEN(A146)-1)*1,Master!$D$25:$G$223,4,FALSE)</f>
        <v>Otplata garancija</v>
      </c>
      <c r="C146" s="487"/>
      <c r="D146" s="487"/>
      <c r="E146" s="487"/>
      <c r="F146" s="487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6" t="str">
        <f>+VLOOKUP(LEFT($A148,LEN(A148)-1)*1,Master!$D$25:$G$223,4,FALSE)</f>
        <v>Suficit / deficit</v>
      </c>
      <c r="C148" s="497"/>
      <c r="D148" s="497"/>
      <c r="E148" s="497"/>
      <c r="F148" s="497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498" t="str">
        <f>+VLOOKUP(LEFT($A149,LEN(A149)-1)*1,Master!$D$25:$G$223,4,FALSE)</f>
        <v>Primarni bilans</v>
      </c>
      <c r="C149" s="499"/>
      <c r="D149" s="499"/>
      <c r="E149" s="499"/>
      <c r="F149" s="499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0" t="str">
        <f>+VLOOKUP(LEFT($A150,LEN(A150)-1)*1,Master!$D$25:$G$223,4,FALSE)</f>
        <v>Otplata dugova</v>
      </c>
      <c r="C150" s="501"/>
      <c r="D150" s="501"/>
      <c r="E150" s="501"/>
      <c r="F150" s="501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494" t="str">
        <f>+VLOOKUP(LEFT($A151,LEN(A151)-1)*1,Master!$D$25:$G$223,4,FALSE)</f>
        <v>Otplata hartija od vrijednosti i kredita rezidentima</v>
      </c>
      <c r="C151" s="495"/>
      <c r="D151" s="495"/>
      <c r="E151" s="495"/>
      <c r="F151" s="495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86" t="str">
        <f>+VLOOKUP(LEFT($A152,LEN(A152)-1)*1,Master!$D$25:$G$223,4,FALSE)</f>
        <v>Otplata hartija od vrijednosti i kredita nerezidentima</v>
      </c>
      <c r="C152" s="487"/>
      <c r="D152" s="487"/>
      <c r="E152" s="487"/>
      <c r="F152" s="487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8" t="str">
        <f>+VLOOKUP(LEFT($A153,LEN(A153)-1)*1,Master!$D$25:$G$223,4,FALSE)</f>
        <v>Otplata obaveza iz prethodnih godina</v>
      </c>
      <c r="C153" s="489"/>
      <c r="D153" s="489"/>
      <c r="E153" s="489"/>
      <c r="F153" s="489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490" t="str">
        <f>+VLOOKUP(LEFT($A154,LEN(A154)-1)*1,Master!$D$25:$G$223,4,FALSE)</f>
        <v>Nedostajuća sredstva</v>
      </c>
      <c r="C154" s="491"/>
      <c r="D154" s="491"/>
      <c r="E154" s="491"/>
      <c r="F154" s="491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2" t="str">
        <f>+VLOOKUP(LEFT($A155,LEN(A155)-1)*1,Master!$D$25:$G$223,4,FALSE)</f>
        <v>Finansiranje</v>
      </c>
      <c r="C155" s="493"/>
      <c r="D155" s="493"/>
      <c r="E155" s="493"/>
      <c r="F155" s="49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494" t="str">
        <f>+VLOOKUP(LEFT($A156,LEN(A156)-1)*1,Master!$D$25:$G$223,4,FALSE)</f>
        <v>Pozajmice i krediti od domaćih izvora</v>
      </c>
      <c r="C156" s="495"/>
      <c r="D156" s="495"/>
      <c r="E156" s="495"/>
      <c r="F156" s="495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86" t="str">
        <f>+VLOOKUP(LEFT($A157,LEN(A157)-1)*1,Master!$D$25:$G$223,4,FALSE)</f>
        <v>Pozajmice i krediti od inostranih izvora</v>
      </c>
      <c r="C157" s="487"/>
      <c r="D157" s="487"/>
      <c r="E157" s="487"/>
      <c r="F157" s="487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86" t="str">
        <f>+VLOOKUP(LEFT($A158,LEN(A158)-1)*1,Master!$D$25:$G$223,4,FALSE)</f>
        <v>Primici od prodaje imovine</v>
      </c>
      <c r="C158" s="487"/>
      <c r="D158" s="487"/>
      <c r="E158" s="487"/>
      <c r="F158" s="487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31" t="str">
        <f>+Master!G249</f>
        <v>Ostvarenje budžeta</v>
      </c>
      <c r="C7" s="439"/>
      <c r="D7" s="439"/>
      <c r="E7" s="439"/>
      <c r="F7" s="439"/>
      <c r="G7" s="447">
        <v>2015</v>
      </c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51"/>
      <c r="S7" s="261" t="str">
        <f>+Master!G246</f>
        <v>BDP</v>
      </c>
      <c r="T7" s="262">
        <v>3625000000</v>
      </c>
    </row>
    <row r="8" spans="1:20" ht="16.5" customHeight="1">
      <c r="A8" s="170"/>
      <c r="B8" s="440"/>
      <c r="C8" s="441"/>
      <c r="D8" s="441"/>
      <c r="E8" s="441"/>
      <c r="F8" s="44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7" t="s">
        <v>741</v>
      </c>
      <c r="T8" s="451"/>
    </row>
    <row r="9" spans="1:20" ht="13.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68" t="str">
        <f>+VLOOKUP($A18,Master!$D$25:$G$223,4,FALSE)</f>
        <v>Ostali državni porezi</v>
      </c>
      <c r="C18" s="469"/>
      <c r="D18" s="469"/>
      <c r="E18" s="469"/>
      <c r="F18" s="469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78" t="str">
        <f>+VLOOKUP($A19,Master!$D$25:$G$223,4,FALSE)</f>
        <v>Doprinosi</v>
      </c>
      <c r="C19" s="479"/>
      <c r="D19" s="479"/>
      <c r="E19" s="479"/>
      <c r="F19" s="479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68" t="str">
        <f>+VLOOKUP($A20,Master!$D$25:$G$223,4,FALSE)</f>
        <v>Doprinosi za penzijsko i invalidsko osiguranje</v>
      </c>
      <c r="C20" s="469"/>
      <c r="D20" s="469"/>
      <c r="E20" s="469"/>
      <c r="F20" s="469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68" t="str">
        <f>+VLOOKUP($A21,Master!$D$25:$G$223,4,FALSE)</f>
        <v>Doprinosi za zdravstveno osiguranje</v>
      </c>
      <c r="C21" s="469"/>
      <c r="D21" s="469"/>
      <c r="E21" s="469"/>
      <c r="F21" s="469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68" t="str">
        <f>+VLOOKUP($A22,Master!$D$25:$G$223,4,FALSE)</f>
        <v>Doprinosi za osiguranje od nezaposlenosti</v>
      </c>
      <c r="C22" s="469"/>
      <c r="D22" s="469"/>
      <c r="E22" s="469"/>
      <c r="F22" s="469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68" t="str">
        <f>+VLOOKUP($A23,Master!$D$25:$G$223,4,FALSE)</f>
        <v>Ostali doprinosi</v>
      </c>
      <c r="C23" s="469"/>
      <c r="D23" s="469"/>
      <c r="E23" s="469"/>
      <c r="F23" s="469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70" t="str">
        <f>+VLOOKUP($A24,Master!$D$25:$G$223,4,FALSE)</f>
        <v>Takse</v>
      </c>
      <c r="C24" s="471"/>
      <c r="D24" s="471"/>
      <c r="E24" s="471"/>
      <c r="F24" s="471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70" t="str">
        <f>+VLOOKUP($A25,Master!$D$25:$G$223,4,FALSE)</f>
        <v>Naknade</v>
      </c>
      <c r="C25" s="471"/>
      <c r="D25" s="471"/>
      <c r="E25" s="471"/>
      <c r="F25" s="471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70" t="str">
        <f>+VLOOKUP($A26,Master!$D$25:$G$223,4,FALSE)</f>
        <v>Ostali prihodi</v>
      </c>
      <c r="C26" s="471"/>
      <c r="D26" s="471"/>
      <c r="E26" s="471"/>
      <c r="F26" s="471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70" t="str">
        <f>+VLOOKUP($A27,Master!$D$25:$G$223,4,FALSE)</f>
        <v>Primici od otplate kredita i sredstva prenesena iz prethodne godine</v>
      </c>
      <c r="C27" s="471"/>
      <c r="D27" s="471"/>
      <c r="E27" s="471"/>
      <c r="F27" s="471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72" t="str">
        <f>+VLOOKUP($A28,Master!$D$25:$G$223,4,FALSE)</f>
        <v>Donacije i transferi</v>
      </c>
      <c r="C28" s="473"/>
      <c r="D28" s="473"/>
      <c r="E28" s="473"/>
      <c r="F28" s="473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74" t="str">
        <f>+VLOOKUP($A30,Master!$D$25:$G$223,4,FALSE)</f>
        <v>Tekući izdaci</v>
      </c>
      <c r="C30" s="475"/>
      <c r="D30" s="475"/>
      <c r="E30" s="475"/>
      <c r="F30" s="475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76" t="str">
        <f>+VLOOKUP($A31,Master!$D$25:$G$223,4,FALSE)</f>
        <v>Tekući budžetski izdaci</v>
      </c>
      <c r="C31" s="477"/>
      <c r="D31" s="477"/>
      <c r="E31" s="477"/>
      <c r="F31" s="477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68" t="str">
        <f>+VLOOKUP($A32,Master!$D$25:$G$223,4,FALSE)</f>
        <v>Bruto zarade i doprinosi na teret poslodavca</v>
      </c>
      <c r="C32" s="469"/>
      <c r="D32" s="469"/>
      <c r="E32" s="469"/>
      <c r="F32" s="469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68" t="str">
        <f>+VLOOKUP($A33,Master!$D$25:$G$223,4,FALSE)</f>
        <v>Ostala lična primanja</v>
      </c>
      <c r="C33" s="469"/>
      <c r="D33" s="469"/>
      <c r="E33" s="469"/>
      <c r="F33" s="469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68" t="str">
        <f>+VLOOKUP($A34,Master!$D$25:$G$223,4,FALSE)</f>
        <v>Rashodi za materijal</v>
      </c>
      <c r="C34" s="469"/>
      <c r="D34" s="469"/>
      <c r="E34" s="469"/>
      <c r="F34" s="469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68" t="str">
        <f>+VLOOKUP($A35,Master!$D$25:$G$223,4,FALSE)</f>
        <v>Rashodi za usluge</v>
      </c>
      <c r="C35" s="469"/>
      <c r="D35" s="469"/>
      <c r="E35" s="469"/>
      <c r="F35" s="469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68" t="str">
        <f>+VLOOKUP($A36,Master!$D$25:$G$223,4,FALSE)</f>
        <v>Rashodi za tekuće održavanje</v>
      </c>
      <c r="C36" s="469"/>
      <c r="D36" s="469"/>
      <c r="E36" s="469"/>
      <c r="F36" s="469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68" t="str">
        <f>+VLOOKUP($A37,Master!$D$25:$G$223,4,FALSE)</f>
        <v>Kamate</v>
      </c>
      <c r="C37" s="469"/>
      <c r="D37" s="469"/>
      <c r="E37" s="469"/>
      <c r="F37" s="469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68" t="str">
        <f>+VLOOKUP($A38,Master!$D$25:$G$223,4,FALSE)</f>
        <v>Renta</v>
      </c>
      <c r="C38" s="469"/>
      <c r="D38" s="469"/>
      <c r="E38" s="469"/>
      <c r="F38" s="469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68" t="str">
        <f>+VLOOKUP($A39,Master!$D$25:$G$223,4,FALSE)</f>
        <v>Subvencije</v>
      </c>
      <c r="C39" s="469"/>
      <c r="D39" s="469"/>
      <c r="E39" s="469"/>
      <c r="F39" s="469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68" t="str">
        <f>+VLOOKUP($A40,Master!$D$25:$G$223,4,FALSE)</f>
        <v>Ostali izdaci</v>
      </c>
      <c r="C40" s="469"/>
      <c r="D40" s="469"/>
      <c r="E40" s="469"/>
      <c r="F40" s="469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68" t="str">
        <f>+VLOOKUP($A41,Master!$D$25:$G$223,4,FALSE)</f>
        <v>Kapitalni izdaci u tekućem budžetu</v>
      </c>
      <c r="C41" s="469"/>
      <c r="D41" s="469"/>
      <c r="E41" s="469"/>
      <c r="F41" s="469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64" t="str">
        <f>+VLOOKUP($A42,Master!$D$25:$G$223,4,FALSE)</f>
        <v>Transferi za socijalnu zaštitu</v>
      </c>
      <c r="C42" s="465"/>
      <c r="D42" s="465"/>
      <c r="E42" s="465"/>
      <c r="F42" s="465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68" t="str">
        <f>+VLOOKUP($A43,Master!$D$25:$G$223,4,FALSE)</f>
        <v>Prava iz oblasti socijalne zaštite</v>
      </c>
      <c r="C43" s="469"/>
      <c r="D43" s="469"/>
      <c r="E43" s="469"/>
      <c r="F43" s="469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68" t="str">
        <f>+VLOOKUP($A44,Master!$D$25:$G$223,4,FALSE)</f>
        <v>Sredstva za tehnološke viškove</v>
      </c>
      <c r="C44" s="469"/>
      <c r="D44" s="469"/>
      <c r="E44" s="469"/>
      <c r="F44" s="469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68" t="str">
        <f>+VLOOKUP($A45,Master!$D$25:$G$223,4,FALSE)</f>
        <v>Prava iz oblasti penzijskog i invalidskog osiguranja</v>
      </c>
      <c r="C45" s="469"/>
      <c r="D45" s="469"/>
      <c r="E45" s="469"/>
      <c r="F45" s="469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68" t="str">
        <f>+VLOOKUP($A46,Master!$D$25:$G$223,4,FALSE)</f>
        <v>Ostala prava iz oblasti zdravstvene zaštite</v>
      </c>
      <c r="C46" s="469"/>
      <c r="D46" s="469"/>
      <c r="E46" s="469"/>
      <c r="F46" s="469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68" t="str">
        <f>+VLOOKUP($A47,Master!$D$25:$G$223,4,FALSE)</f>
        <v>Ostala prava iz zdravstvenog osiguranja</v>
      </c>
      <c r="C47" s="469"/>
      <c r="D47" s="469"/>
      <c r="E47" s="469"/>
      <c r="F47" s="469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66" t="str">
        <f>+VLOOKUP($A48,Master!$D$25:$G$223,4,FALSE)</f>
        <v xml:space="preserve">Transferi institucijama, pojedincima, nevladinom i javnom sektoru </v>
      </c>
      <c r="C48" s="467"/>
      <c r="D48" s="467"/>
      <c r="E48" s="467"/>
      <c r="F48" s="467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66" t="str">
        <f>+VLOOKUP($A49,Master!$D$25:$G$223,4,FALSE)</f>
        <v>Kapitalni budžet</v>
      </c>
      <c r="C49" s="467"/>
      <c r="D49" s="467"/>
      <c r="E49" s="467"/>
      <c r="F49" s="467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36" t="str">
        <f>+VLOOKUP($A50,Master!$D$25:$G$223,4,FALSE)</f>
        <v>Pozajmice i krediti</v>
      </c>
      <c r="C50" s="437"/>
      <c r="D50" s="437"/>
      <c r="E50" s="437"/>
      <c r="F50" s="437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36" t="str">
        <f>+VLOOKUP($A51,Master!$D$25:$G$223,4,FALSE)</f>
        <v>Rezerve</v>
      </c>
      <c r="C51" s="437"/>
      <c r="D51" s="437"/>
      <c r="E51" s="437"/>
      <c r="F51" s="437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54" t="str">
        <f>+VLOOKUP($A52,Master!$D$25:$G$223,4,FALSE)</f>
        <v>Otplata garancija</v>
      </c>
      <c r="C52" s="455"/>
      <c r="D52" s="455"/>
      <c r="E52" s="455"/>
      <c r="F52" s="455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54" t="str">
        <f>+VLOOKUP($A53,Master!$D$25:$G$223,4,TRUE)</f>
        <v>Otplata obaveza iz prethodnih godina</v>
      </c>
      <c r="C53" s="455"/>
      <c r="D53" s="455"/>
      <c r="E53" s="455"/>
      <c r="F53" s="455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8" t="str">
        <f>+VLOOKUP($A54,Master!$D$25:$G$225,4,FALSE)</f>
        <v>Neto povećanje obaveza</v>
      </c>
      <c r="C54" s="489"/>
      <c r="D54" s="489"/>
      <c r="E54" s="489"/>
      <c r="F54" s="48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60" t="str">
        <f>+VLOOKUP($A55,Master!$D$25:$G$223,4,FALSE)</f>
        <v>Suficit / deficit</v>
      </c>
      <c r="C55" s="461"/>
      <c r="D55" s="461"/>
      <c r="E55" s="461"/>
      <c r="F55" s="461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62" t="str">
        <f>+VLOOKUP($A56,Master!$D$25:$G$223,4,FALSE)</f>
        <v>Primarni bilans</v>
      </c>
      <c r="C56" s="463"/>
      <c r="D56" s="463"/>
      <c r="E56" s="463"/>
      <c r="F56" s="463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64" t="str">
        <f>+VLOOKUP($A57,Master!$D$25:$G$223,4,FALSE)</f>
        <v>Otplata dugova</v>
      </c>
      <c r="C57" s="465"/>
      <c r="D57" s="465"/>
      <c r="E57" s="465"/>
      <c r="F57" s="465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52" t="str">
        <f>+VLOOKUP($A58,Master!$D$25:$G$223,4,FALSE)</f>
        <v>Otplata hartija od vrijednosti i kredita rezidentima</v>
      </c>
      <c r="C58" s="453"/>
      <c r="D58" s="453"/>
      <c r="E58" s="453"/>
      <c r="F58" s="453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36" t="str">
        <f>+VLOOKUP($A59,Master!$D$25:$G$223,4,FALSE)</f>
        <v>Otplata hartija od vrijednosti i kredita nerezidentima</v>
      </c>
      <c r="C59" s="437"/>
      <c r="D59" s="437"/>
      <c r="E59" s="437"/>
      <c r="F59" s="437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56" t="str">
        <f>+VLOOKUP($A60,Master!$D$25:$G$223,4,FALSE)</f>
        <v>Nedostajuća sredstva</v>
      </c>
      <c r="C60" s="457"/>
      <c r="D60" s="457"/>
      <c r="E60" s="457"/>
      <c r="F60" s="457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52" t="str">
        <f>+VLOOKUP($A62,Master!$D$25:$G$223,4,FALSE)</f>
        <v>Pozajmice i krediti od domaćih izvora</v>
      </c>
      <c r="C62" s="453"/>
      <c r="D62" s="453"/>
      <c r="E62" s="453"/>
      <c r="F62" s="453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36" t="str">
        <f>+VLOOKUP($A63,Master!$D$25:$G$223,4,FALSE)</f>
        <v>Pozajmice i krediti od inostranih izvora</v>
      </c>
      <c r="C63" s="437"/>
      <c r="D63" s="437"/>
      <c r="E63" s="437"/>
      <c r="F63" s="437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36" t="str">
        <f>+VLOOKUP($A64,Master!$D$25:$G$223,4,FALSE)</f>
        <v>Primici od prodaje imovine</v>
      </c>
      <c r="C64" s="437"/>
      <c r="D64" s="437"/>
      <c r="E64" s="437"/>
      <c r="F64" s="437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22" t="str">
        <f>+Master!G250</f>
        <v>Plan ostvarenja budžeta</v>
      </c>
      <c r="C101" s="523"/>
      <c r="D101" s="523"/>
      <c r="E101" s="523"/>
      <c r="F101" s="523"/>
      <c r="G101" s="516">
        <v>2015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17"/>
      <c r="S101" s="116" t="str">
        <f>+S7</f>
        <v>BDP</v>
      </c>
      <c r="T101" s="117">
        <f>+T7</f>
        <v>3625000000</v>
      </c>
    </row>
    <row r="102" spans="1:21" ht="15.75" customHeight="1">
      <c r="B102" s="524"/>
      <c r="C102" s="525"/>
      <c r="D102" s="525"/>
      <c r="E102" s="525"/>
      <c r="F102" s="52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16" t="str">
        <f>+Master!G244</f>
        <v>Jan - Dec</v>
      </c>
      <c r="T102" s="517">
        <f>+T8</f>
        <v>0</v>
      </c>
    </row>
    <row r="103" spans="1:21" ht="13.5" thickBot="1">
      <c r="B103" s="527"/>
      <c r="C103" s="528"/>
      <c r="D103" s="528"/>
      <c r="E103" s="528"/>
      <c r="F103" s="52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8" t="str">
        <f>+VLOOKUP(LEFT($A104,LEN(A104)-1)*1,Master!$D$25:$G$223,4,FALSE)</f>
        <v>Prihodi budžeta</v>
      </c>
      <c r="C104" s="519"/>
      <c r="D104" s="519"/>
      <c r="E104" s="519"/>
      <c r="F104" s="519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20" t="str">
        <f>+VLOOKUP(LEFT($A105,LEN(A105)-1)*1,Master!$D$25:$G$223,4,FALSE)</f>
        <v>Porezi</v>
      </c>
      <c r="C105" s="521"/>
      <c r="D105" s="521"/>
      <c r="E105" s="521"/>
      <c r="F105" s="521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502" t="str">
        <f>+VLOOKUP(LEFT($A106,LEN(A106)-1)*1,Master!$D$25:$G$223,4,FALSE)</f>
        <v>Porez na dohodak fizičkih lica</v>
      </c>
      <c r="C106" s="503"/>
      <c r="D106" s="503"/>
      <c r="E106" s="503"/>
      <c r="F106" s="503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502" t="str">
        <f>+VLOOKUP(LEFT($A107,LEN(A107)-1)*1,Master!$D$25:$G$223,4,FALSE)</f>
        <v>Porez na dobit pravnih lica</v>
      </c>
      <c r="C107" s="503"/>
      <c r="D107" s="503"/>
      <c r="E107" s="503"/>
      <c r="F107" s="503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502" t="str">
        <f>+VLOOKUP(LEFT($A108,LEN(A108)-1)*1,Master!$D$25:$G$223,4,FALSE)</f>
        <v>Porez na promet nepokretnosti</v>
      </c>
      <c r="C108" s="503"/>
      <c r="D108" s="503"/>
      <c r="E108" s="503"/>
      <c r="F108" s="503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502" t="str">
        <f>+VLOOKUP(LEFT($A109,LEN(A109)-1)*1,Master!$D$25:$G$223,4,FALSE)</f>
        <v>Porez na dodatu vrijednost</v>
      </c>
      <c r="C109" s="503"/>
      <c r="D109" s="503"/>
      <c r="E109" s="503"/>
      <c r="F109" s="503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502" t="str">
        <f>+VLOOKUP(LEFT($A110,LEN(A110)-1)*1,Master!$D$25:$G$223,4,FALSE)</f>
        <v>Akcize</v>
      </c>
      <c r="C110" s="503"/>
      <c r="D110" s="503"/>
      <c r="E110" s="503"/>
      <c r="F110" s="503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502" t="str">
        <f>+VLOOKUP(LEFT($A111,LEN(A111)-1)*1,Master!$D$25:$G$223,4,FALSE)</f>
        <v>Porez na međunarodnu trgovinu i transakcije</v>
      </c>
      <c r="C111" s="503"/>
      <c r="D111" s="503"/>
      <c r="E111" s="503"/>
      <c r="F111" s="503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502" t="str">
        <f>+VLOOKUP(LEFT($A112,LEN(A112)-1)*1,Master!$D$25:$G$223,4,FALSE)</f>
        <v>Ostali državni porezi</v>
      </c>
      <c r="C112" s="503"/>
      <c r="D112" s="503"/>
      <c r="E112" s="503"/>
      <c r="F112" s="503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14" t="str">
        <f>+VLOOKUP(LEFT($A113,LEN(A113)-1)*1,Master!$D$25:$G$223,4,FALSE)</f>
        <v>Doprinosi</v>
      </c>
      <c r="C113" s="515"/>
      <c r="D113" s="515"/>
      <c r="E113" s="515"/>
      <c r="F113" s="515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502" t="str">
        <f>+VLOOKUP(LEFT($A114,LEN(A114)-1)*1,Master!$D$25:$G$223,4,FALSE)</f>
        <v>Doprinosi za penzijsko i invalidsko osiguranje</v>
      </c>
      <c r="C114" s="503"/>
      <c r="D114" s="503"/>
      <c r="E114" s="503"/>
      <c r="F114" s="503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502" t="str">
        <f>+VLOOKUP(LEFT($A115,LEN(A115)-1)*1,Master!$D$25:$G$223,4,FALSE)</f>
        <v>Doprinosi za zdravstveno osiguranje</v>
      </c>
      <c r="C115" s="503"/>
      <c r="D115" s="503"/>
      <c r="E115" s="503"/>
      <c r="F115" s="503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502" t="str">
        <f>+VLOOKUP(LEFT($A116,LEN(A116)-1)*1,Master!$D$25:$G$223,4,FALSE)</f>
        <v>Doprinosi za osiguranje od nezaposlenosti</v>
      </c>
      <c r="C116" s="503"/>
      <c r="D116" s="503"/>
      <c r="E116" s="503"/>
      <c r="F116" s="503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502" t="str">
        <f>+VLOOKUP(LEFT($A117,LEN(A117)-1)*1,Master!$D$25:$G$223,4,FALSE)</f>
        <v>Ostali doprinosi</v>
      </c>
      <c r="C117" s="503"/>
      <c r="D117" s="503"/>
      <c r="E117" s="503"/>
      <c r="F117" s="503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Takse</v>
      </c>
      <c r="C118" s="507"/>
      <c r="D118" s="507"/>
      <c r="E118" s="507"/>
      <c r="F118" s="507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Naknade</v>
      </c>
      <c r="C119" s="507"/>
      <c r="D119" s="507"/>
      <c r="E119" s="507"/>
      <c r="F119" s="507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Ostali prihodi</v>
      </c>
      <c r="C120" s="507"/>
      <c r="D120" s="507"/>
      <c r="E120" s="507"/>
      <c r="F120" s="507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Primici od otplate kredita i sredstva prenesena iz prethodne godine</v>
      </c>
      <c r="C121" s="507"/>
      <c r="D121" s="507"/>
      <c r="E121" s="507"/>
      <c r="F121" s="507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8" t="str">
        <f>+VLOOKUP(LEFT($A122,LEN(A122)-1)*1,Master!$D$25:$G$223,4,FALSE)</f>
        <v>Donacije i transferi</v>
      </c>
      <c r="C122" s="509"/>
      <c r="D122" s="509"/>
      <c r="E122" s="509"/>
      <c r="F122" s="509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2" t="str">
        <f>+VLOOKUP(LEFT($A123,LEN(A123)-1)*1,Master!$D$25:$G$223,4,FALSE)</f>
        <v>Budžetski izdaci</v>
      </c>
      <c r="C123" s="493"/>
      <c r="D123" s="493"/>
      <c r="E123" s="493"/>
      <c r="F123" s="49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10" t="str">
        <f>+VLOOKUP(LEFT($A124,LEN(A124)-1)*1,Master!$D$25:$G$223,4,FALSE)</f>
        <v>Tekući izdaci</v>
      </c>
      <c r="C124" s="511"/>
      <c r="D124" s="511"/>
      <c r="E124" s="511"/>
      <c r="F124" s="511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12" t="str">
        <f>+VLOOKUP(LEFT($A125,LEN(A125)-1)*1,Master!$D$25:$G$223,4,FALSE)</f>
        <v>Tekući budžetski izdaci</v>
      </c>
      <c r="C125" s="513"/>
      <c r="D125" s="513"/>
      <c r="E125" s="513"/>
      <c r="F125" s="513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502" t="str">
        <f>+VLOOKUP(LEFT($A126,LEN(A126)-1)*1,Master!$D$25:$G$223,4,FALSE)</f>
        <v>Bruto zarade i doprinosi na teret poslodavca</v>
      </c>
      <c r="C126" s="503"/>
      <c r="D126" s="503"/>
      <c r="E126" s="503"/>
      <c r="F126" s="503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502" t="str">
        <f>+VLOOKUP(LEFT($A127,LEN(A127)-1)*1,Master!$D$25:$G$223,4,FALSE)</f>
        <v>Ostala lična primanja</v>
      </c>
      <c r="C127" s="503"/>
      <c r="D127" s="503"/>
      <c r="E127" s="503"/>
      <c r="F127" s="503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502" t="str">
        <f>+VLOOKUP(LEFT($A128,LEN(A128)-1)*1,Master!$D$25:$G$223,4,FALSE)</f>
        <v>Rashodi za materijal</v>
      </c>
      <c r="C128" s="503"/>
      <c r="D128" s="503"/>
      <c r="E128" s="503"/>
      <c r="F128" s="503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502" t="str">
        <f>+VLOOKUP(LEFT($A129,LEN(A129)-1)*1,Master!$D$25:$G$223,4,FALSE)</f>
        <v>Rashodi za usluge</v>
      </c>
      <c r="C129" s="503"/>
      <c r="D129" s="503"/>
      <c r="E129" s="503"/>
      <c r="F129" s="503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502" t="str">
        <f>+VLOOKUP(LEFT($A130,LEN(A130)-1)*1,Master!$D$25:$G$223,4,FALSE)</f>
        <v>Rashodi za tekuće održavanje</v>
      </c>
      <c r="C130" s="503"/>
      <c r="D130" s="503"/>
      <c r="E130" s="503"/>
      <c r="F130" s="503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502" t="str">
        <f>+VLOOKUP(LEFT($A131,LEN(A131)-1)*1,Master!$D$25:$G$223,4,FALSE)</f>
        <v>Kamate</v>
      </c>
      <c r="C131" s="503"/>
      <c r="D131" s="503"/>
      <c r="E131" s="503"/>
      <c r="F131" s="503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502" t="str">
        <f>+VLOOKUP(LEFT($A132,LEN(A132)-1)*1,Master!$D$25:$G$223,4,FALSE)</f>
        <v>Renta</v>
      </c>
      <c r="C132" s="503"/>
      <c r="D132" s="503"/>
      <c r="E132" s="503"/>
      <c r="F132" s="503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502" t="str">
        <f>+VLOOKUP(LEFT($A133,LEN(A133)-1)*1,Master!$D$25:$G$223,4,FALSE)</f>
        <v>Subvencije</v>
      </c>
      <c r="C133" s="503"/>
      <c r="D133" s="503"/>
      <c r="E133" s="503"/>
      <c r="F133" s="503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502" t="str">
        <f>+VLOOKUP(LEFT($A134,LEN(A134)-1)*1,Master!$D$25:$G$223,4,FALSE)</f>
        <v>Ostali izdaci</v>
      </c>
      <c r="C134" s="503"/>
      <c r="D134" s="503"/>
      <c r="E134" s="503"/>
      <c r="F134" s="503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502" t="str">
        <f>+VLOOKUP(LEFT($A135,LEN(A135)-1)*1,Master!$D$25:$G$223,4,FALSE)</f>
        <v>Kapitalni izdaci u tekućem budžetu</v>
      </c>
      <c r="C135" s="503"/>
      <c r="D135" s="503"/>
      <c r="E135" s="503"/>
      <c r="F135" s="503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0" t="str">
        <f>+VLOOKUP(LEFT($A136,LEN(A136)-1)*1,Master!$D$25:$G$223,4,FALSE)</f>
        <v>Transferi za socijalnu zaštitu</v>
      </c>
      <c r="C136" s="501"/>
      <c r="D136" s="501"/>
      <c r="E136" s="501"/>
      <c r="F136" s="501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502" t="str">
        <f>+VLOOKUP(LEFT($A137,LEN(A137)-1)*1,Master!$D$25:$G$223,4,FALSE)</f>
        <v>Prava iz oblasti socijalne zaštite</v>
      </c>
      <c r="C137" s="503"/>
      <c r="D137" s="503"/>
      <c r="E137" s="503"/>
      <c r="F137" s="503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502" t="str">
        <f>+VLOOKUP(LEFT($A138,LEN(A138)-1)*1,Master!$D$25:$G$223,4,FALSE)</f>
        <v>Sredstva za tehnološke viškove</v>
      </c>
      <c r="C138" s="503"/>
      <c r="D138" s="503"/>
      <c r="E138" s="503"/>
      <c r="F138" s="503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502" t="str">
        <f>+VLOOKUP(LEFT($A139,LEN(A139)-1)*1,Master!$D$25:$G$223,4,FALSE)</f>
        <v>Prava iz oblasti penzijskog i invalidskog osiguranja</v>
      </c>
      <c r="C139" s="503"/>
      <c r="D139" s="503"/>
      <c r="E139" s="503"/>
      <c r="F139" s="503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502" t="str">
        <f>+VLOOKUP(LEFT($A140,LEN(A140)-1)*1,Master!$D$25:$G$223,4,FALSE)</f>
        <v>Ostala prava iz oblasti zdravstvene zaštite</v>
      </c>
      <c r="C140" s="503"/>
      <c r="D140" s="503"/>
      <c r="E140" s="503"/>
      <c r="F140" s="503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502" t="str">
        <f>+VLOOKUP(LEFT($A141,LEN(A141)-1)*1,Master!$D$25:$G$223,4,FALSE)</f>
        <v>Ostala prava iz zdravstvenog osiguranja</v>
      </c>
      <c r="C141" s="503"/>
      <c r="D141" s="503"/>
      <c r="E141" s="503"/>
      <c r="F141" s="503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4" t="str">
        <f>+VLOOKUP(LEFT($A142,LEN(A142)-1)*1,Master!$D$25:$G$223,4,FALSE)</f>
        <v xml:space="preserve">Transferi institucijama, pojedincima, nevladinom i javnom sektoru </v>
      </c>
      <c r="C142" s="505"/>
      <c r="D142" s="505"/>
      <c r="E142" s="505"/>
      <c r="F142" s="505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4" t="str">
        <f>+VLOOKUP(LEFT($A143,LEN(A143)-1)*1,Master!$D$25:$G$223,4,FALSE)</f>
        <v>Kapitalni budžet</v>
      </c>
      <c r="C143" s="505"/>
      <c r="D143" s="505"/>
      <c r="E143" s="505"/>
      <c r="F143" s="505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86" t="str">
        <f>+VLOOKUP(LEFT($A144,LEN(A144)-1)*1,Master!$D$25:$G$223,4,FALSE)</f>
        <v>Pozajmice i krediti</v>
      </c>
      <c r="C144" s="487"/>
      <c r="D144" s="487"/>
      <c r="E144" s="487"/>
      <c r="F144" s="487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86" t="str">
        <f>+VLOOKUP(LEFT($A145,LEN(A145)-1)*1,Master!$D$25:$G$223,4,FALSE)</f>
        <v>Rezerve</v>
      </c>
      <c r="C145" s="487"/>
      <c r="D145" s="487"/>
      <c r="E145" s="487"/>
      <c r="F145" s="487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8" t="str">
        <f>+VLOOKUP(LEFT($A146,LEN(A146)-1)*1,Master!$D$25:$G$223,4,FALSE)</f>
        <v>Otplata garancija</v>
      </c>
      <c r="C146" s="489"/>
      <c r="D146" s="489"/>
      <c r="E146" s="489"/>
      <c r="F146" s="489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96" t="str">
        <f>+VLOOKUP(LEFT($A147,LEN(A147)-1)*1,Master!$D$25:$G$223,4,FALSE)</f>
        <v>Suficit / deficit</v>
      </c>
      <c r="C147" s="497"/>
      <c r="D147" s="497"/>
      <c r="E147" s="497"/>
      <c r="F147" s="497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498" t="str">
        <f>+VLOOKUP(LEFT($A148,LEN(A148)-1)*1,Master!$D$25:$G$223,4,FALSE)</f>
        <v>Primarni bilans</v>
      </c>
      <c r="C148" s="499"/>
      <c r="D148" s="499"/>
      <c r="E148" s="499"/>
      <c r="F148" s="499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0" t="str">
        <f>+VLOOKUP(LEFT($A149,LEN(A149)-1)*1,Master!$D$25:$G$223,4,FALSE)</f>
        <v>Otplata dugova</v>
      </c>
      <c r="C149" s="501"/>
      <c r="D149" s="501"/>
      <c r="E149" s="501"/>
      <c r="F149" s="501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94" t="str">
        <f>+VLOOKUP(LEFT($A150,LEN(A150)-1)*1,Master!$D$25:$G$223,4,FALSE)</f>
        <v>Otplata hartija od vrijednosti i kredita rezidentima</v>
      </c>
      <c r="C150" s="495"/>
      <c r="D150" s="495"/>
      <c r="E150" s="495"/>
      <c r="F150" s="495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86" t="str">
        <f>+VLOOKUP(LEFT($A151,LEN(A151)-1)*1,Master!$D$25:$G$223,4,FALSE)</f>
        <v>Otplata hartija od vrijednosti i kredita nerezidentima</v>
      </c>
      <c r="C151" s="487"/>
      <c r="D151" s="487"/>
      <c r="E151" s="487"/>
      <c r="F151" s="487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8" t="str">
        <f>+VLOOKUP(LEFT($A152,LEN(A152)-1)*1,Master!$D$25:$G$223,4,FALSE)</f>
        <v>Otplata obaveza iz prethodnih godina</v>
      </c>
      <c r="C152" s="489"/>
      <c r="D152" s="489"/>
      <c r="E152" s="489"/>
      <c r="F152" s="489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90" t="str">
        <f>+VLOOKUP(LEFT($A153,LEN(A153)-1)*1,Master!$D$25:$G$223,4,FALSE)</f>
        <v>Nedostajuća sredstva</v>
      </c>
      <c r="C153" s="491"/>
      <c r="D153" s="491"/>
      <c r="E153" s="491"/>
      <c r="F153" s="491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2" t="str">
        <f>+VLOOKUP(LEFT($A154,LEN(A154)-1)*1,Master!$D$25:$G$223,4,FALSE)</f>
        <v>Finansiranje</v>
      </c>
      <c r="C154" s="493"/>
      <c r="D154" s="493"/>
      <c r="E154" s="493"/>
      <c r="F154" s="49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94" t="str">
        <f>+VLOOKUP(LEFT($A155,LEN(A155)-1)*1,Master!$D$25:$G$223,4,FALSE)</f>
        <v>Pozajmice i krediti od domaćih izvora</v>
      </c>
      <c r="C155" s="495"/>
      <c r="D155" s="495"/>
      <c r="E155" s="495"/>
      <c r="F155" s="495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86" t="str">
        <f>+VLOOKUP(LEFT($A156,LEN(A156)-1)*1,Master!$D$25:$G$223,4,FALSE)</f>
        <v>Pozajmice i krediti od inostranih izvora</v>
      </c>
      <c r="C156" s="487"/>
      <c r="D156" s="487"/>
      <c r="E156" s="487"/>
      <c r="F156" s="487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86" t="str">
        <f>+VLOOKUP(LEFT($A157,LEN(A157)-1)*1,Master!$D$25:$G$223,4,FALSE)</f>
        <v>Primici od prodaje imovine</v>
      </c>
      <c r="C157" s="487"/>
      <c r="D157" s="487"/>
      <c r="E157" s="487"/>
      <c r="F157" s="487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31" t="str">
        <f>+Master!G249</f>
        <v>Ostvarenje budžeta</v>
      </c>
      <c r="C7" s="439"/>
      <c r="D7" s="439"/>
      <c r="E7" s="439"/>
      <c r="F7" s="439"/>
      <c r="G7" s="447">
        <v>2014</v>
      </c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51"/>
      <c r="S7" s="261" t="str">
        <f>+Master!G246</f>
        <v>BDP</v>
      </c>
      <c r="T7" s="262">
        <v>3457880000</v>
      </c>
    </row>
    <row r="8" spans="1:20" ht="16.5" customHeight="1">
      <c r="A8" s="170"/>
      <c r="B8" s="440"/>
      <c r="C8" s="441"/>
      <c r="D8" s="441"/>
      <c r="E8" s="441"/>
      <c r="F8" s="44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7" t="s">
        <v>706</v>
      </c>
      <c r="T8" s="451"/>
    </row>
    <row r="9" spans="1:20" ht="13.5" thickBot="1">
      <c r="A9" s="170"/>
      <c r="B9" s="443"/>
      <c r="C9" s="444"/>
      <c r="D9" s="444"/>
      <c r="E9" s="444"/>
      <c r="F9" s="44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80" t="str">
        <f>+VLOOKUP($A10,Master!$D$25:$G$223,4,FALSE)</f>
        <v>Prihodi budžeta</v>
      </c>
      <c r="C10" s="481"/>
      <c r="D10" s="481"/>
      <c r="E10" s="481"/>
      <c r="F10" s="481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82" t="str">
        <f>+VLOOKUP($A11,Master!$D$25:$G$223,4,FALSE)</f>
        <v>Porezi</v>
      </c>
      <c r="C11" s="483"/>
      <c r="D11" s="483"/>
      <c r="E11" s="483"/>
      <c r="F11" s="483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68" t="str">
        <f>+VLOOKUP($A12,Master!$D$25:$G$223,4,FALSE)</f>
        <v>Porez na dohodak fizičkih lica</v>
      </c>
      <c r="C12" s="469"/>
      <c r="D12" s="469"/>
      <c r="E12" s="469"/>
      <c r="F12" s="469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68" t="str">
        <f>+VLOOKUP($A13,Master!$D$25:$G$223,4,FALSE)</f>
        <v>Porez na dobit pravnih lica</v>
      </c>
      <c r="C13" s="469"/>
      <c r="D13" s="469"/>
      <c r="E13" s="469"/>
      <c r="F13" s="469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68" t="str">
        <f>+VLOOKUP($A14,Master!$D$25:$G$223,4,FALSE)</f>
        <v>Porez na promet nepokretnosti</v>
      </c>
      <c r="C14" s="469"/>
      <c r="D14" s="469"/>
      <c r="E14" s="469"/>
      <c r="F14" s="469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68" t="str">
        <f>+VLOOKUP($A15,Master!$D$25:$G$223,4,FALSE)</f>
        <v>Porez na dodatu vrijednost</v>
      </c>
      <c r="C15" s="469"/>
      <c r="D15" s="469"/>
      <c r="E15" s="469"/>
      <c r="F15" s="469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68" t="str">
        <f>+VLOOKUP($A16,Master!$D$25:$G$223,4,FALSE)</f>
        <v>Akcize</v>
      </c>
      <c r="C16" s="469"/>
      <c r="D16" s="469"/>
      <c r="E16" s="469"/>
      <c r="F16" s="469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68" t="str">
        <f>+VLOOKUP($A17,Master!$D$25:$G$223,4,FALSE)</f>
        <v>Porez na međunarodnu trgovinu i transakcije</v>
      </c>
      <c r="C17" s="469"/>
      <c r="D17" s="469"/>
      <c r="E17" s="469"/>
      <c r="F17" s="469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68" t="str">
        <f>+VLOOKUP($A18,Master!$D$25:$G$223,4,FALSE)</f>
        <v>Ostali državni porezi</v>
      </c>
      <c r="C18" s="469"/>
      <c r="D18" s="469"/>
      <c r="E18" s="469"/>
      <c r="F18" s="469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78" t="str">
        <f>+VLOOKUP($A19,Master!$D$25:$G$223,4,FALSE)</f>
        <v>Doprinosi</v>
      </c>
      <c r="C19" s="479"/>
      <c r="D19" s="479"/>
      <c r="E19" s="479"/>
      <c r="F19" s="479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68" t="str">
        <f>+VLOOKUP($A20,Master!$D$25:$G$223,4,FALSE)</f>
        <v>Doprinosi za penzijsko i invalidsko osiguranje</v>
      </c>
      <c r="C20" s="469"/>
      <c r="D20" s="469"/>
      <c r="E20" s="469"/>
      <c r="F20" s="469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68" t="str">
        <f>+VLOOKUP($A21,Master!$D$25:$G$223,4,FALSE)</f>
        <v>Doprinosi za zdravstveno osiguranje</v>
      </c>
      <c r="C21" s="469"/>
      <c r="D21" s="469"/>
      <c r="E21" s="469"/>
      <c r="F21" s="469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68" t="str">
        <f>+VLOOKUP($A22,Master!$D$25:$G$223,4,FALSE)</f>
        <v>Doprinosi za osiguranje od nezaposlenosti</v>
      </c>
      <c r="C22" s="469"/>
      <c r="D22" s="469"/>
      <c r="E22" s="469"/>
      <c r="F22" s="469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68" t="str">
        <f>+VLOOKUP($A23,Master!$D$25:$G$223,4,FALSE)</f>
        <v>Ostali doprinosi</v>
      </c>
      <c r="C23" s="469"/>
      <c r="D23" s="469"/>
      <c r="E23" s="469"/>
      <c r="F23" s="469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70" t="str">
        <f>+VLOOKUP($A24,Master!$D$25:$G$223,4,FALSE)</f>
        <v>Takse</v>
      </c>
      <c r="C24" s="471"/>
      <c r="D24" s="471"/>
      <c r="E24" s="471"/>
      <c r="F24" s="471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70" t="str">
        <f>+VLOOKUP($A25,Master!$D$25:$G$223,4,FALSE)</f>
        <v>Naknade</v>
      </c>
      <c r="C25" s="471"/>
      <c r="D25" s="471"/>
      <c r="E25" s="471"/>
      <c r="F25" s="471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70" t="str">
        <f>+VLOOKUP($A26,Master!$D$25:$G$223,4,FALSE)</f>
        <v>Ostali prihodi</v>
      </c>
      <c r="C26" s="471"/>
      <c r="D26" s="471"/>
      <c r="E26" s="471"/>
      <c r="F26" s="471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70" t="str">
        <f>+VLOOKUP($A27,Master!$D$25:$G$223,4,FALSE)</f>
        <v>Primici od otplate kredita i sredstva prenesena iz prethodne godine</v>
      </c>
      <c r="C27" s="471"/>
      <c r="D27" s="471"/>
      <c r="E27" s="471"/>
      <c r="F27" s="471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72" t="str">
        <f>+VLOOKUP($A28,Master!$D$25:$G$223,4,FALSE)</f>
        <v>Donacije i transferi</v>
      </c>
      <c r="C28" s="473"/>
      <c r="D28" s="473"/>
      <c r="E28" s="473"/>
      <c r="F28" s="473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74" t="str">
        <f>+VLOOKUP($A30,Master!$D$25:$G$223,4,FALSE)</f>
        <v>Tekući izdaci</v>
      </c>
      <c r="C30" s="475"/>
      <c r="D30" s="475"/>
      <c r="E30" s="475"/>
      <c r="F30" s="475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76" t="str">
        <f>+VLOOKUP($A31,Master!$D$25:$G$223,4,FALSE)</f>
        <v>Tekući budžetski izdaci</v>
      </c>
      <c r="C31" s="477"/>
      <c r="D31" s="477"/>
      <c r="E31" s="477"/>
      <c r="F31" s="477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68" t="str">
        <f>+VLOOKUP($A32,Master!$D$25:$G$223,4,FALSE)</f>
        <v>Bruto zarade i doprinosi na teret poslodavca</v>
      </c>
      <c r="C32" s="469"/>
      <c r="D32" s="469"/>
      <c r="E32" s="469"/>
      <c r="F32" s="469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68" t="str">
        <f>+VLOOKUP($A33,Master!$D$25:$G$223,4,FALSE)</f>
        <v>Ostala lična primanja</v>
      </c>
      <c r="C33" s="469"/>
      <c r="D33" s="469"/>
      <c r="E33" s="469"/>
      <c r="F33" s="469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68" t="str">
        <f>+VLOOKUP($A34,Master!$D$25:$G$223,4,FALSE)</f>
        <v>Rashodi za materijal</v>
      </c>
      <c r="C34" s="469"/>
      <c r="D34" s="469"/>
      <c r="E34" s="469"/>
      <c r="F34" s="469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68" t="str">
        <f>+VLOOKUP($A35,Master!$D$25:$G$223,4,FALSE)</f>
        <v>Rashodi za usluge</v>
      </c>
      <c r="C35" s="469"/>
      <c r="D35" s="469"/>
      <c r="E35" s="469"/>
      <c r="F35" s="469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68" t="str">
        <f>+VLOOKUP($A36,Master!$D$25:$G$223,4,FALSE)</f>
        <v>Rashodi za tekuće održavanje</v>
      </c>
      <c r="C36" s="469"/>
      <c r="D36" s="469"/>
      <c r="E36" s="469"/>
      <c r="F36" s="469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68" t="str">
        <f>+VLOOKUP($A37,Master!$D$25:$G$223,4,FALSE)</f>
        <v>Kamate</v>
      </c>
      <c r="C37" s="469"/>
      <c r="D37" s="469"/>
      <c r="E37" s="469"/>
      <c r="F37" s="469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68" t="str">
        <f>+VLOOKUP($A38,Master!$D$25:$G$223,4,FALSE)</f>
        <v>Renta</v>
      </c>
      <c r="C38" s="469"/>
      <c r="D38" s="469"/>
      <c r="E38" s="469"/>
      <c r="F38" s="469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68" t="str">
        <f>+VLOOKUP($A39,Master!$D$25:$G$223,4,FALSE)</f>
        <v>Subvencije</v>
      </c>
      <c r="C39" s="469"/>
      <c r="D39" s="469"/>
      <c r="E39" s="469"/>
      <c r="F39" s="469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68" t="str">
        <f>+VLOOKUP($A40,Master!$D$25:$G$223,4,FALSE)</f>
        <v>Ostali izdaci</v>
      </c>
      <c r="C40" s="469"/>
      <c r="D40" s="469"/>
      <c r="E40" s="469"/>
      <c r="F40" s="469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68" t="str">
        <f>+VLOOKUP($A41,Master!$D$25:$G$223,4,FALSE)</f>
        <v>Kapitalni izdaci u tekućem budžetu</v>
      </c>
      <c r="C41" s="469"/>
      <c r="D41" s="469"/>
      <c r="E41" s="469"/>
      <c r="F41" s="469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64" t="str">
        <f>+VLOOKUP($A42,Master!$D$25:$G$223,4,FALSE)</f>
        <v>Transferi za socijalnu zaštitu</v>
      </c>
      <c r="C42" s="465"/>
      <c r="D42" s="465"/>
      <c r="E42" s="465"/>
      <c r="F42" s="465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68" t="str">
        <f>+VLOOKUP($A43,Master!$D$25:$G$223,4,FALSE)</f>
        <v>Prava iz oblasti socijalne zaštite</v>
      </c>
      <c r="C43" s="469"/>
      <c r="D43" s="469"/>
      <c r="E43" s="469"/>
      <c r="F43" s="469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68" t="str">
        <f>+VLOOKUP($A44,Master!$D$25:$G$223,4,FALSE)</f>
        <v>Sredstva za tehnološke viškove</v>
      </c>
      <c r="C44" s="469"/>
      <c r="D44" s="469"/>
      <c r="E44" s="469"/>
      <c r="F44" s="469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68" t="str">
        <f>+VLOOKUP($A45,Master!$D$25:$G$223,4,FALSE)</f>
        <v>Prava iz oblasti penzijskog i invalidskog osiguranja</v>
      </c>
      <c r="C45" s="469"/>
      <c r="D45" s="469"/>
      <c r="E45" s="469"/>
      <c r="F45" s="469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68" t="str">
        <f>+VLOOKUP($A46,Master!$D$25:$G$223,4,FALSE)</f>
        <v>Ostala prava iz oblasti zdravstvene zaštite</v>
      </c>
      <c r="C46" s="469"/>
      <c r="D46" s="469"/>
      <c r="E46" s="469"/>
      <c r="F46" s="469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68" t="str">
        <f>+VLOOKUP($A47,Master!$D$25:$G$223,4,FALSE)</f>
        <v>Ostala prava iz zdravstvenog osiguranja</v>
      </c>
      <c r="C47" s="469"/>
      <c r="D47" s="469"/>
      <c r="E47" s="469"/>
      <c r="F47" s="469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66" t="str">
        <f>+VLOOKUP($A48,Master!$D$25:$G$223,4,FALSE)</f>
        <v xml:space="preserve">Transferi institucijama, pojedincima, nevladinom i javnom sektoru </v>
      </c>
      <c r="C48" s="467"/>
      <c r="D48" s="467"/>
      <c r="E48" s="467"/>
      <c r="F48" s="467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66" t="str">
        <f>+VLOOKUP($A49,Master!$D$25:$G$223,4,FALSE)</f>
        <v>Kapitalni budžet</v>
      </c>
      <c r="C49" s="467"/>
      <c r="D49" s="467"/>
      <c r="E49" s="467"/>
      <c r="F49" s="467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36" t="str">
        <f>+VLOOKUP($A50,Master!$D$25:$G$223,4,FALSE)</f>
        <v>Pozajmice i krediti</v>
      </c>
      <c r="C50" s="437"/>
      <c r="D50" s="437"/>
      <c r="E50" s="437"/>
      <c r="F50" s="437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36" t="str">
        <f>+VLOOKUP($A51,Master!$D$25:$G$223,4,FALSE)</f>
        <v>Rezerve</v>
      </c>
      <c r="C51" s="437"/>
      <c r="D51" s="437"/>
      <c r="E51" s="437"/>
      <c r="F51" s="437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54" t="str">
        <f>+VLOOKUP($A52,Master!$D$25:$G$223,4,FALSE)</f>
        <v>Otplata garancija</v>
      </c>
      <c r="C52" s="455"/>
      <c r="D52" s="455"/>
      <c r="E52" s="455"/>
      <c r="F52" s="455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54" t="str">
        <f>+VLOOKUP($A53,Master!$D$25:$G$223,4,TRUE)</f>
        <v>Otplata obaveza iz prethodnih godina</v>
      </c>
      <c r="C53" s="455"/>
      <c r="D53" s="455"/>
      <c r="E53" s="455"/>
      <c r="F53" s="455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8" t="str">
        <f>+VLOOKUP($A54,Master!$D$25:$G$225,4,FALSE)</f>
        <v>Neto povećanje obaveza</v>
      </c>
      <c r="C54" s="489"/>
      <c r="D54" s="489"/>
      <c r="E54" s="489"/>
      <c r="F54" s="48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32" t="str">
        <f>+VLOOKUP($A55,Master!$D$25:$G$223,4,FALSE)</f>
        <v>Suficit / deficit</v>
      </c>
      <c r="C55" s="533"/>
      <c r="D55" s="533"/>
      <c r="E55" s="533"/>
      <c r="F55" s="533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62" t="str">
        <f>+VLOOKUP($A56,Master!$D$25:$G$223,4,FALSE)</f>
        <v>Primarni bilans</v>
      </c>
      <c r="C56" s="463"/>
      <c r="D56" s="463"/>
      <c r="E56" s="463"/>
      <c r="F56" s="463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64" t="str">
        <f>+VLOOKUP($A57,Master!$D$25:$G$223,4,FALSE)</f>
        <v>Otplata dugova</v>
      </c>
      <c r="C57" s="465"/>
      <c r="D57" s="465"/>
      <c r="E57" s="465"/>
      <c r="F57" s="465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52" t="str">
        <f>+VLOOKUP($A58,Master!$D$25:$G$223,4,FALSE)</f>
        <v>Otplata hartija od vrijednosti i kredita rezidentima</v>
      </c>
      <c r="C58" s="453"/>
      <c r="D58" s="453"/>
      <c r="E58" s="453"/>
      <c r="F58" s="453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36" t="str">
        <f>+VLOOKUP($A59,Master!$D$25:$G$223,4,FALSE)</f>
        <v>Otplata hartija od vrijednosti i kredita nerezidentima</v>
      </c>
      <c r="C59" s="437"/>
      <c r="D59" s="437"/>
      <c r="E59" s="437"/>
      <c r="F59" s="437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56" t="str">
        <f>+VLOOKUP($A60,Master!$D$25:$G$223,4,FALSE)</f>
        <v>Nedostajuća sredstva</v>
      </c>
      <c r="C60" s="457"/>
      <c r="D60" s="457"/>
      <c r="E60" s="457"/>
      <c r="F60" s="457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52" t="str">
        <f>+VLOOKUP($A62,Master!$D$25:$G$223,4,FALSE)</f>
        <v>Pozajmice i krediti od domaćih izvora</v>
      </c>
      <c r="C62" s="453"/>
      <c r="D62" s="453"/>
      <c r="E62" s="453"/>
      <c r="F62" s="453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36" t="str">
        <f>+VLOOKUP($A63,Master!$D$25:$G$223,4,FALSE)</f>
        <v>Pozajmice i krediti od inostranih izvora</v>
      </c>
      <c r="C63" s="437"/>
      <c r="D63" s="437"/>
      <c r="E63" s="437"/>
      <c r="F63" s="437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36" t="str">
        <f>+VLOOKUP($A64,Master!$D$25:$G$223,4,FALSE)</f>
        <v>Primici od prodaje imovine</v>
      </c>
      <c r="C64" s="437"/>
      <c r="D64" s="437"/>
      <c r="E64" s="437"/>
      <c r="F64" s="437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22" t="str">
        <f>+Master!G250</f>
        <v>Plan ostvarenja budžeta</v>
      </c>
      <c r="C101" s="523"/>
      <c r="D101" s="523"/>
      <c r="E101" s="523"/>
      <c r="F101" s="523"/>
      <c r="G101" s="516">
        <v>2014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17"/>
      <c r="S101" s="116" t="str">
        <f>+S7</f>
        <v>BDP</v>
      </c>
      <c r="T101" s="117">
        <v>3393200615</v>
      </c>
    </row>
    <row r="102" spans="1:21" ht="15.75" customHeight="1">
      <c r="B102" s="524"/>
      <c r="C102" s="525"/>
      <c r="D102" s="525"/>
      <c r="E102" s="525"/>
      <c r="F102" s="52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16" t="str">
        <f>+Master!G244</f>
        <v>Jan - Dec</v>
      </c>
      <c r="T102" s="517">
        <f>+T8</f>
        <v>0</v>
      </c>
    </row>
    <row r="103" spans="1:21" ht="13.5" thickBot="1">
      <c r="B103" s="527"/>
      <c r="C103" s="528"/>
      <c r="D103" s="528"/>
      <c r="E103" s="528"/>
      <c r="F103" s="52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18" t="str">
        <f>+VLOOKUP(LEFT($A104,LEN(A104)-1)*1,Master!$D$25:$G$223,4,FALSE)</f>
        <v>Prihodi budžeta</v>
      </c>
      <c r="C104" s="519"/>
      <c r="D104" s="519"/>
      <c r="E104" s="519"/>
      <c r="F104" s="519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20" t="str">
        <f>+VLOOKUP(LEFT($A105,LEN(A105)-1)*1,Master!$D$25:$G$223,4,FALSE)</f>
        <v>Porezi</v>
      </c>
      <c r="C105" s="521"/>
      <c r="D105" s="521"/>
      <c r="E105" s="521"/>
      <c r="F105" s="521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502" t="str">
        <f>+VLOOKUP(LEFT($A106,LEN(A106)-1)*1,Master!$D$25:$G$223,4,FALSE)</f>
        <v>Porez na dohodak fizičkih lica</v>
      </c>
      <c r="C106" s="503"/>
      <c r="D106" s="503"/>
      <c r="E106" s="503"/>
      <c r="F106" s="503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502" t="str">
        <f>+VLOOKUP(LEFT($A107,LEN(A107)-1)*1,Master!$D$25:$G$223,4,FALSE)</f>
        <v>Porez na dobit pravnih lica</v>
      </c>
      <c r="C107" s="503"/>
      <c r="D107" s="503"/>
      <c r="E107" s="503"/>
      <c r="F107" s="503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502" t="str">
        <f>+VLOOKUP(LEFT($A108,LEN(A108)-1)*1,Master!$D$25:$G$223,4,FALSE)</f>
        <v>Porez na promet nepokretnosti</v>
      </c>
      <c r="C108" s="503"/>
      <c r="D108" s="503"/>
      <c r="E108" s="503"/>
      <c r="F108" s="503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502" t="str">
        <f>+VLOOKUP(LEFT($A109,LEN(A109)-1)*1,Master!$D$25:$G$223,4,FALSE)</f>
        <v>Porez na dodatu vrijednost</v>
      </c>
      <c r="C109" s="503"/>
      <c r="D109" s="503"/>
      <c r="E109" s="503"/>
      <c r="F109" s="503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502" t="str">
        <f>+VLOOKUP(LEFT($A110,LEN(A110)-1)*1,Master!$D$25:$G$223,4,FALSE)</f>
        <v>Akcize</v>
      </c>
      <c r="C110" s="503"/>
      <c r="D110" s="503"/>
      <c r="E110" s="503"/>
      <c r="F110" s="503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502" t="str">
        <f>+VLOOKUP(LEFT($A111,LEN(A111)-1)*1,Master!$D$25:$G$223,4,FALSE)</f>
        <v>Porez na međunarodnu trgovinu i transakcije</v>
      </c>
      <c r="C111" s="503"/>
      <c r="D111" s="503"/>
      <c r="E111" s="503"/>
      <c r="F111" s="503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502" t="e">
        <f>+VLOOKUP(LEFT($A112,LEN(A112)-1)*1,Master!$D$25:$G$223,4,FALSE)</f>
        <v>#REF!</v>
      </c>
      <c r="C112" s="503"/>
      <c r="D112" s="503"/>
      <c r="E112" s="503"/>
      <c r="F112" s="503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502" t="str">
        <f>+VLOOKUP(LEFT($A113,LEN(A113)-1)*1,Master!$D$25:$G$223,4,FALSE)</f>
        <v>Ostali državni porezi</v>
      </c>
      <c r="C113" s="503"/>
      <c r="D113" s="503"/>
      <c r="E113" s="503"/>
      <c r="F113" s="503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14" t="str">
        <f>+VLOOKUP(LEFT($A114,LEN(A114)-1)*1,Master!$D$25:$G$223,4,FALSE)</f>
        <v>Doprinosi</v>
      </c>
      <c r="C114" s="515"/>
      <c r="D114" s="515"/>
      <c r="E114" s="515"/>
      <c r="F114" s="515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502" t="str">
        <f>+VLOOKUP(LEFT($A115,LEN(A115)-1)*1,Master!$D$25:$G$223,4,FALSE)</f>
        <v>Doprinosi za penzijsko i invalidsko osiguranje</v>
      </c>
      <c r="C115" s="503"/>
      <c r="D115" s="503"/>
      <c r="E115" s="503"/>
      <c r="F115" s="503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502" t="str">
        <f>+VLOOKUP(LEFT($A116,LEN(A116)-1)*1,Master!$D$25:$G$223,4,FALSE)</f>
        <v>Doprinosi za zdravstveno osiguranje</v>
      </c>
      <c r="C116" s="503"/>
      <c r="D116" s="503"/>
      <c r="E116" s="503"/>
      <c r="F116" s="503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502" t="str">
        <f>+VLOOKUP(LEFT($A117,LEN(A117)-1)*1,Master!$D$25:$G$223,4,FALSE)</f>
        <v>Doprinosi za osiguranje od nezaposlenosti</v>
      </c>
      <c r="C117" s="503"/>
      <c r="D117" s="503"/>
      <c r="E117" s="503"/>
      <c r="F117" s="503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502" t="str">
        <f>+VLOOKUP(LEFT($A118,LEN(A118)-1)*1,Master!$D$25:$G$223,4,FALSE)</f>
        <v>Ostali doprinosi</v>
      </c>
      <c r="C118" s="503"/>
      <c r="D118" s="503"/>
      <c r="E118" s="503"/>
      <c r="F118" s="503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06" t="str">
        <f>+VLOOKUP(LEFT($A119,LEN(A119)-1)*1,Master!$D$25:$G$223,4,FALSE)</f>
        <v>Takse</v>
      </c>
      <c r="C119" s="507"/>
      <c r="D119" s="507"/>
      <c r="E119" s="507"/>
      <c r="F119" s="507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06" t="str">
        <f>+VLOOKUP(LEFT($A120,LEN(A120)-1)*1,Master!$D$25:$G$223,4,FALSE)</f>
        <v>Naknade</v>
      </c>
      <c r="C120" s="507"/>
      <c r="D120" s="507"/>
      <c r="E120" s="507"/>
      <c r="F120" s="507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06" t="str">
        <f>+VLOOKUP(LEFT($A121,LEN(A121)-1)*1,Master!$D$25:$G$223,4,FALSE)</f>
        <v>Ostali prihodi</v>
      </c>
      <c r="C121" s="507"/>
      <c r="D121" s="507"/>
      <c r="E121" s="507"/>
      <c r="F121" s="507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06" t="str">
        <f>+VLOOKUP(LEFT($A122,LEN(A122)-1)*1,Master!$D$25:$G$223,4,FALSE)</f>
        <v>Primici od otplate kredita i sredstva prenesena iz prethodne godine</v>
      </c>
      <c r="C122" s="507"/>
      <c r="D122" s="507"/>
      <c r="E122" s="507"/>
      <c r="F122" s="507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8" t="str">
        <f>+VLOOKUP(LEFT($A123,LEN(A123)-1)*1,Master!$D$25:$G$223,4,FALSE)</f>
        <v>Donacije i transferi</v>
      </c>
      <c r="C123" s="509"/>
      <c r="D123" s="509"/>
      <c r="E123" s="509"/>
      <c r="F123" s="509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2" t="str">
        <f>+VLOOKUP(LEFT($A124,LEN(A124)-1)*1,Master!$D$25:$G$223,4,FALSE)</f>
        <v>Budžetski izdaci</v>
      </c>
      <c r="C124" s="493"/>
      <c r="D124" s="493"/>
      <c r="E124" s="493"/>
      <c r="F124" s="49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10" t="str">
        <f>+VLOOKUP(LEFT($A125,LEN(A125)-1)*1,Master!$D$25:$G$223,4,FALSE)</f>
        <v>Tekući izdaci</v>
      </c>
      <c r="C125" s="511"/>
      <c r="D125" s="511"/>
      <c r="E125" s="511"/>
      <c r="F125" s="511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12" t="str">
        <f>+VLOOKUP(LEFT($A126,LEN(A126)-1)*1,Master!$D$25:$G$223,4,FALSE)</f>
        <v>Tekući budžetski izdaci</v>
      </c>
      <c r="C126" s="513"/>
      <c r="D126" s="513"/>
      <c r="E126" s="513"/>
      <c r="F126" s="513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502" t="str">
        <f>+VLOOKUP(LEFT($A127,LEN(A127)-1)*1,Master!$D$25:$G$223,4,FALSE)</f>
        <v>Bruto zarade i doprinosi na teret poslodavca</v>
      </c>
      <c r="C127" s="503"/>
      <c r="D127" s="503"/>
      <c r="E127" s="503"/>
      <c r="F127" s="503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502" t="str">
        <f>+VLOOKUP(LEFT($A128,LEN(A128)-1)*1,Master!$D$25:$G$223,4,FALSE)</f>
        <v>Ostala lična primanja</v>
      </c>
      <c r="C128" s="503"/>
      <c r="D128" s="503"/>
      <c r="E128" s="503"/>
      <c r="F128" s="503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502" t="str">
        <f>+VLOOKUP(LEFT($A129,LEN(A129)-1)*1,Master!$D$25:$G$223,4,FALSE)</f>
        <v>Rashodi za materijal</v>
      </c>
      <c r="C129" s="503"/>
      <c r="D129" s="503"/>
      <c r="E129" s="503"/>
      <c r="F129" s="503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502" t="str">
        <f>+VLOOKUP(LEFT($A130,LEN(A130)-1)*1,Master!$D$25:$G$223,4,FALSE)</f>
        <v>Rashodi za usluge</v>
      </c>
      <c r="C130" s="503"/>
      <c r="D130" s="503"/>
      <c r="E130" s="503"/>
      <c r="F130" s="503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502" t="str">
        <f>+VLOOKUP(LEFT($A131,LEN(A131)-1)*1,Master!$D$25:$G$223,4,FALSE)</f>
        <v>Rashodi za tekuće održavanje</v>
      </c>
      <c r="C131" s="503"/>
      <c r="D131" s="503"/>
      <c r="E131" s="503"/>
      <c r="F131" s="503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502" t="str">
        <f>+VLOOKUP(LEFT($A132,LEN(A132)-1)*1,Master!$D$25:$G$223,4,FALSE)</f>
        <v>Kamate</v>
      </c>
      <c r="C132" s="503"/>
      <c r="D132" s="503"/>
      <c r="E132" s="503"/>
      <c r="F132" s="503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502" t="str">
        <f>+VLOOKUP(LEFT($A133,LEN(A133)-1)*1,Master!$D$25:$G$223,4,FALSE)</f>
        <v>Renta</v>
      </c>
      <c r="C133" s="503"/>
      <c r="D133" s="503"/>
      <c r="E133" s="503"/>
      <c r="F133" s="503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502" t="str">
        <f>+VLOOKUP(LEFT($A134,LEN(A134)-1)*1,Master!$D$25:$G$223,4,FALSE)</f>
        <v>Subvencije</v>
      </c>
      <c r="C134" s="503"/>
      <c r="D134" s="503"/>
      <c r="E134" s="503"/>
      <c r="F134" s="503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502" t="str">
        <f>+VLOOKUP(LEFT($A135,LEN(A135)-1)*1,Master!$D$25:$G$223,4,FALSE)</f>
        <v>Ostali izdaci</v>
      </c>
      <c r="C135" s="503"/>
      <c r="D135" s="503"/>
      <c r="E135" s="503"/>
      <c r="F135" s="503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502" t="str">
        <f>+VLOOKUP(LEFT($A136,LEN(A136)-1)*1,Master!$D$25:$G$223,4,FALSE)</f>
        <v>Kapitalni izdaci u tekućem budžetu</v>
      </c>
      <c r="C136" s="503"/>
      <c r="D136" s="503"/>
      <c r="E136" s="503"/>
      <c r="F136" s="503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0" t="str">
        <f>+VLOOKUP(LEFT($A137,LEN(A137)-1)*1,Master!$D$25:$G$223,4,FALSE)</f>
        <v>Transferi za socijalnu zaštitu</v>
      </c>
      <c r="C137" s="501"/>
      <c r="D137" s="501"/>
      <c r="E137" s="501"/>
      <c r="F137" s="501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502" t="str">
        <f>+VLOOKUP(LEFT($A138,LEN(A138)-1)*1,Master!$D$25:$G$223,4,FALSE)</f>
        <v>Prava iz oblasti socijalne zaštite</v>
      </c>
      <c r="C138" s="503"/>
      <c r="D138" s="503"/>
      <c r="E138" s="503"/>
      <c r="F138" s="503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502" t="str">
        <f>+VLOOKUP(LEFT($A139,LEN(A139)-1)*1,Master!$D$25:$G$223,4,FALSE)</f>
        <v>Sredstva za tehnološke viškove</v>
      </c>
      <c r="C139" s="503"/>
      <c r="D139" s="503"/>
      <c r="E139" s="503"/>
      <c r="F139" s="503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502" t="str">
        <f>+VLOOKUP(LEFT($A140,LEN(A140)-1)*1,Master!$D$25:$G$223,4,FALSE)</f>
        <v>Prava iz oblasti penzijskog i invalidskog osiguranja</v>
      </c>
      <c r="C140" s="503"/>
      <c r="D140" s="503"/>
      <c r="E140" s="503"/>
      <c r="F140" s="503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502" t="str">
        <f>+VLOOKUP(LEFT($A141,LEN(A141)-1)*1,Master!$D$25:$G$223,4,FALSE)</f>
        <v>Ostala prava iz oblasti zdravstvene zaštite</v>
      </c>
      <c r="C141" s="503"/>
      <c r="D141" s="503"/>
      <c r="E141" s="503"/>
      <c r="F141" s="503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502" t="str">
        <f>+VLOOKUP(LEFT($A142,LEN(A142)-1)*1,Master!$D$25:$G$223,4,FALSE)</f>
        <v>Ostala prava iz zdravstvenog osiguranja</v>
      </c>
      <c r="C142" s="503"/>
      <c r="D142" s="503"/>
      <c r="E142" s="503"/>
      <c r="F142" s="503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4" t="str">
        <f>+VLOOKUP(LEFT($A143,LEN(A143)-1)*1,Master!$D$25:$G$223,4,FALSE)</f>
        <v xml:space="preserve">Transferi institucijama, pojedincima, nevladinom i javnom sektoru </v>
      </c>
      <c r="C143" s="505"/>
      <c r="D143" s="505"/>
      <c r="E143" s="505"/>
      <c r="F143" s="505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4" t="str">
        <f>+VLOOKUP(LEFT($A144,LEN(A144)-1)*1,Master!$D$25:$G$223,4,FALSE)</f>
        <v>Kapitalni budžet</v>
      </c>
      <c r="C144" s="505"/>
      <c r="D144" s="505"/>
      <c r="E144" s="505"/>
      <c r="F144" s="505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86" t="str">
        <f>+VLOOKUP(LEFT($A145,LEN(A145)-1)*1,Master!$D$25:$G$223,4,FALSE)</f>
        <v>Pozajmice i krediti</v>
      </c>
      <c r="C145" s="487"/>
      <c r="D145" s="487"/>
      <c r="E145" s="487"/>
      <c r="F145" s="487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86" t="str">
        <f>+VLOOKUP(LEFT($A146,LEN(A146)-1)*1,Master!$D$25:$G$223,4,FALSE)</f>
        <v>Rezerve</v>
      </c>
      <c r="C146" s="487"/>
      <c r="D146" s="487"/>
      <c r="E146" s="487"/>
      <c r="F146" s="487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8" t="str">
        <f>+VLOOKUP(LEFT($A147,LEN(A147)-1)*1,Master!$D$25:$G$223,4,FALSE)</f>
        <v>Otplata garancija</v>
      </c>
      <c r="C147" s="489"/>
      <c r="D147" s="489"/>
      <c r="E147" s="489"/>
      <c r="F147" s="489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96" t="str">
        <f>+VLOOKUP(LEFT($A148,LEN(A148)-1)*1,Master!$D$25:$G$223,4,FALSE)</f>
        <v>Suficit / deficit</v>
      </c>
      <c r="C148" s="497"/>
      <c r="D148" s="497"/>
      <c r="E148" s="497"/>
      <c r="F148" s="497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8" t="str">
        <f>+VLOOKUP(LEFT($A149,LEN(A149)-1)*1,Master!$D$25:$G$223,4,FALSE)</f>
        <v>Primarni bilans</v>
      </c>
      <c r="C149" s="499"/>
      <c r="D149" s="499"/>
      <c r="E149" s="499"/>
      <c r="F149" s="499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0" t="str">
        <f>+VLOOKUP(LEFT($A150,LEN(A150)-1)*1,Master!$D$25:$G$223,4,FALSE)</f>
        <v>Otplata dugova</v>
      </c>
      <c r="C150" s="501"/>
      <c r="D150" s="501"/>
      <c r="E150" s="501"/>
      <c r="F150" s="501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94" t="str">
        <f>+VLOOKUP(LEFT($A151,LEN(A151)-1)*1,Master!$D$25:$G$223,4,FALSE)</f>
        <v>Otplata hartija od vrijednosti i kredita rezidentima</v>
      </c>
      <c r="C151" s="495"/>
      <c r="D151" s="495"/>
      <c r="E151" s="495"/>
      <c r="F151" s="495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86" t="str">
        <f>+VLOOKUP(LEFT($A152,LEN(A152)-1)*1,Master!$D$25:$G$223,4,FALSE)</f>
        <v>Otplata hartija od vrijednosti i kredita nerezidentima</v>
      </c>
      <c r="C152" s="487"/>
      <c r="D152" s="487"/>
      <c r="E152" s="487"/>
      <c r="F152" s="487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8" t="str">
        <f>+VLOOKUP(LEFT($A153,LEN(A153)-1)*1,Master!$D$25:$G$223,4,FALSE)</f>
        <v>Otplata obaveza iz prethodnih godina</v>
      </c>
      <c r="C153" s="489"/>
      <c r="D153" s="489"/>
      <c r="E153" s="489"/>
      <c r="F153" s="48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90" t="str">
        <f>+VLOOKUP(LEFT($A154,LEN(A154)-1)*1,Master!$D$25:$G$223,4,FALSE)</f>
        <v>Nedostajuća sredstva</v>
      </c>
      <c r="C154" s="491"/>
      <c r="D154" s="491"/>
      <c r="E154" s="491"/>
      <c r="F154" s="491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2" t="str">
        <f>+VLOOKUP(LEFT($A155,LEN(A155)-1)*1,Master!$D$25:$G$223,4,FALSE)</f>
        <v>Finansiranje</v>
      </c>
      <c r="C155" s="493"/>
      <c r="D155" s="493"/>
      <c r="E155" s="493"/>
      <c r="F155" s="49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94" t="str">
        <f>+VLOOKUP(LEFT($A156,LEN(A156)-1)*1,Master!$D$25:$G$223,4,FALSE)</f>
        <v>Pozajmice i krediti od domaćih izvora</v>
      </c>
      <c r="C156" s="495"/>
      <c r="D156" s="495"/>
      <c r="E156" s="495"/>
      <c r="F156" s="495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86" t="str">
        <f>+VLOOKUP(LEFT($A157,LEN(A157)-1)*1,Master!$D$25:$G$223,4,FALSE)</f>
        <v>Pozajmice i krediti od inostranih izvora</v>
      </c>
      <c r="C157" s="487"/>
      <c r="D157" s="487"/>
      <c r="E157" s="487"/>
      <c r="F157" s="487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86" t="str">
        <f>+VLOOKUP(LEFT($A158,LEN(A158)-1)*1,Master!$D$25:$G$223,4,FALSE)</f>
        <v>Primici od prodaje imovine</v>
      </c>
      <c r="C158" s="487"/>
      <c r="D158" s="487"/>
      <c r="E158" s="487"/>
      <c r="F158" s="487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22" t="str">
        <f>+Master!G249</f>
        <v>Ostvarenje budžeta</v>
      </c>
      <c r="C7" s="523"/>
      <c r="D7" s="523"/>
      <c r="E7" s="523"/>
      <c r="F7" s="523"/>
      <c r="G7" s="516">
        <v>2013</v>
      </c>
      <c r="H7" s="530"/>
      <c r="I7" s="530"/>
      <c r="J7" s="530"/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517"/>
      <c r="V7" s="361"/>
      <c r="W7" s="116" t="str">
        <f>+Master!G246</f>
        <v>BDP</v>
      </c>
      <c r="X7" s="117">
        <v>3327000000</v>
      </c>
    </row>
    <row r="8" spans="1:24" ht="16.5" customHeight="1">
      <c r="B8" s="524"/>
      <c r="C8" s="525"/>
      <c r="D8" s="525"/>
      <c r="E8" s="525"/>
      <c r="F8" s="52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16" t="s">
        <v>707</v>
      </c>
      <c r="X8" s="517"/>
    </row>
    <row r="9" spans="1:24" ht="13.5" thickBot="1">
      <c r="B9" s="527"/>
      <c r="C9" s="528"/>
      <c r="D9" s="528"/>
      <c r="E9" s="528"/>
      <c r="F9" s="529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18" t="str">
        <f>+VLOOKUP($A10,Master!$D$25:$G$223,4,FALSE)</f>
        <v>Prihodi budžeta</v>
      </c>
      <c r="C10" s="519"/>
      <c r="D10" s="519"/>
      <c r="E10" s="519"/>
      <c r="F10" s="519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20" t="str">
        <f>+VLOOKUP($A11,Master!$D$25:$G$223,4,FALSE)</f>
        <v>Porezi</v>
      </c>
      <c r="C11" s="521"/>
      <c r="D11" s="521"/>
      <c r="E11" s="521"/>
      <c r="F11" s="521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502" t="str">
        <f>+VLOOKUP($A12,Master!$D$25:$G$223,4,FALSE)</f>
        <v>Porez na dohodak fizičkih lica</v>
      </c>
      <c r="C12" s="503"/>
      <c r="D12" s="503"/>
      <c r="E12" s="503"/>
      <c r="F12" s="50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502" t="str">
        <f>+VLOOKUP($A13,Master!$D$25:$G$223,4,FALSE)</f>
        <v>Porez na dobit pravnih lica</v>
      </c>
      <c r="C13" s="503"/>
      <c r="D13" s="503"/>
      <c r="E13" s="503"/>
      <c r="F13" s="50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502" t="str">
        <f>+VLOOKUP($A14,Master!$D$25:$G$223,4,FALSE)</f>
        <v>Porez na promet nepokretnosti</v>
      </c>
      <c r="C14" s="503"/>
      <c r="D14" s="503"/>
      <c r="E14" s="503"/>
      <c r="F14" s="50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502" t="str">
        <f>+VLOOKUP($A15,Master!$D$25:$G$223,4,FALSE)</f>
        <v>Porez na dodatu vrijednost</v>
      </c>
      <c r="C15" s="503"/>
      <c r="D15" s="503"/>
      <c r="E15" s="503"/>
      <c r="F15" s="50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502" t="str">
        <f>+VLOOKUP($A16,Master!$D$25:$G$223,4,FALSE)</f>
        <v>Akcize</v>
      </c>
      <c r="C16" s="503"/>
      <c r="D16" s="503"/>
      <c r="E16" s="503"/>
      <c r="F16" s="50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502" t="str">
        <f>+VLOOKUP($A17,Master!$D$25:$G$223,4,FALSE)</f>
        <v>Porez na međunarodnu trgovinu i transakcije</v>
      </c>
      <c r="C17" s="503"/>
      <c r="D17" s="503"/>
      <c r="E17" s="503"/>
      <c r="F17" s="50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502" t="e">
        <f>+VLOOKUP($A18,Master!$D$25:$G$223,4,FALSE)</f>
        <v>#N/A</v>
      </c>
      <c r="C18" s="503"/>
      <c r="D18" s="503"/>
      <c r="E18" s="503"/>
      <c r="F18" s="50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502" t="str">
        <f>+VLOOKUP($A19,Master!$D$25:$G$223,4,FALSE)</f>
        <v>Ostali državni porezi</v>
      </c>
      <c r="C19" s="503"/>
      <c r="D19" s="503"/>
      <c r="E19" s="503"/>
      <c r="F19" s="50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14" t="str">
        <f>+VLOOKUP($A20,Master!$D$25:$G$223,4,FALSE)</f>
        <v>Doprinosi</v>
      </c>
      <c r="C20" s="515"/>
      <c r="D20" s="515"/>
      <c r="E20" s="515"/>
      <c r="F20" s="515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502" t="str">
        <f>+VLOOKUP($A21,Master!$D$25:$G$223,4,FALSE)</f>
        <v>Doprinosi za penzijsko i invalidsko osiguranje</v>
      </c>
      <c r="C21" s="503"/>
      <c r="D21" s="503"/>
      <c r="E21" s="503"/>
      <c r="F21" s="50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502" t="str">
        <f>+VLOOKUP($A22,Master!$D$25:$G$223,4,FALSE)</f>
        <v>Doprinosi za zdravstveno osiguranje</v>
      </c>
      <c r="C22" s="503"/>
      <c r="D22" s="503"/>
      <c r="E22" s="503"/>
      <c r="F22" s="50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502" t="str">
        <f>+VLOOKUP($A23,Master!$D$25:$G$223,4,FALSE)</f>
        <v>Doprinosi za osiguranje od nezaposlenosti</v>
      </c>
      <c r="C23" s="503"/>
      <c r="D23" s="503"/>
      <c r="E23" s="503"/>
      <c r="F23" s="50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502" t="str">
        <f>+VLOOKUP($A24,Master!$D$25:$G$223,4,FALSE)</f>
        <v>Ostali doprinosi</v>
      </c>
      <c r="C24" s="503"/>
      <c r="D24" s="503"/>
      <c r="E24" s="503"/>
      <c r="F24" s="50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06" t="str">
        <f>+VLOOKUP($A25,Master!$D$25:$G$223,4,FALSE)</f>
        <v>Takse</v>
      </c>
      <c r="C25" s="507"/>
      <c r="D25" s="507"/>
      <c r="E25" s="507"/>
      <c r="F25" s="50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06" t="str">
        <f>+VLOOKUP($A26,Master!$D$25:$G$223,4,FALSE)</f>
        <v>Naknade</v>
      </c>
      <c r="C26" s="507"/>
      <c r="D26" s="507"/>
      <c r="E26" s="507"/>
      <c r="F26" s="50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06" t="str">
        <f>+VLOOKUP($A27,Master!$D$25:$G$223,4,FALSE)</f>
        <v>Ostali prihodi</v>
      </c>
      <c r="C27" s="507"/>
      <c r="D27" s="507"/>
      <c r="E27" s="507"/>
      <c r="F27" s="50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06" t="str">
        <f>+VLOOKUP($A28,Master!$D$25:$G$223,4,FALSE)</f>
        <v>Primici od otplate kredita i sredstva prenesena iz prethodne godine</v>
      </c>
      <c r="C28" s="507"/>
      <c r="D28" s="507"/>
      <c r="E28" s="507"/>
      <c r="F28" s="50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8" t="str">
        <f>+VLOOKUP($A29,Master!$D$25:$G$223,4,FALSE)</f>
        <v>Donacije i transferi</v>
      </c>
      <c r="C29" s="509"/>
      <c r="D29" s="509"/>
      <c r="E29" s="509"/>
      <c r="F29" s="509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2" t="str">
        <f>+VLOOKUP($A30,Master!$D$25:$G$223,4,FALSE)</f>
        <v>Budžetski izdaci</v>
      </c>
      <c r="C30" s="493"/>
      <c r="D30" s="493"/>
      <c r="E30" s="493"/>
      <c r="F30" s="49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10" t="str">
        <f>+VLOOKUP($A31,Master!$D$25:$G$223,4,FALSE)</f>
        <v>Tekući izdaci</v>
      </c>
      <c r="C31" s="511"/>
      <c r="D31" s="511"/>
      <c r="E31" s="511"/>
      <c r="F31" s="511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12" t="str">
        <f>+VLOOKUP($A32,Master!$D$25:$G$223,4,FALSE)</f>
        <v>Tekući budžetski izdaci</v>
      </c>
      <c r="C32" s="513"/>
      <c r="D32" s="513"/>
      <c r="E32" s="513"/>
      <c r="F32" s="513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502" t="str">
        <f>+VLOOKUP($A33,Master!$D$25:$G$223,4,FALSE)</f>
        <v>Bruto zarade i doprinosi na teret poslodavca</v>
      </c>
      <c r="C33" s="503"/>
      <c r="D33" s="503"/>
      <c r="E33" s="503"/>
      <c r="F33" s="50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502" t="str">
        <f>+VLOOKUP($A34,Master!$D$25:$G$223,4,FALSE)</f>
        <v>Ostala lična primanja</v>
      </c>
      <c r="C34" s="503"/>
      <c r="D34" s="503"/>
      <c r="E34" s="503"/>
      <c r="F34" s="50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502" t="str">
        <f>+VLOOKUP($A35,Master!$D$25:$G$223,4,FALSE)</f>
        <v>Rashodi za materijal</v>
      </c>
      <c r="C35" s="503"/>
      <c r="D35" s="503"/>
      <c r="E35" s="503"/>
      <c r="F35" s="50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502" t="str">
        <f>+VLOOKUP($A36,Master!$D$25:$G$223,4,FALSE)</f>
        <v>Rashodi za usluge</v>
      </c>
      <c r="C36" s="503"/>
      <c r="D36" s="503"/>
      <c r="E36" s="503"/>
      <c r="F36" s="50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502" t="str">
        <f>+VLOOKUP($A37,Master!$D$25:$G$223,4,FALSE)</f>
        <v>Rashodi za tekuće održavanje</v>
      </c>
      <c r="C37" s="503"/>
      <c r="D37" s="503"/>
      <c r="E37" s="503"/>
      <c r="F37" s="50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502" t="str">
        <f>+VLOOKUP($A38,Master!$D$25:$G$223,4,FALSE)</f>
        <v>Kamate</v>
      </c>
      <c r="C38" s="503"/>
      <c r="D38" s="503"/>
      <c r="E38" s="503"/>
      <c r="F38" s="50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502" t="str">
        <f>+VLOOKUP($A39,Master!$D$25:$G$223,4,FALSE)</f>
        <v>Renta</v>
      </c>
      <c r="C39" s="503"/>
      <c r="D39" s="503"/>
      <c r="E39" s="503"/>
      <c r="F39" s="50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502" t="str">
        <f>+VLOOKUP($A40,Master!$D$25:$G$223,4,FALSE)</f>
        <v>Subvencije</v>
      </c>
      <c r="C40" s="503"/>
      <c r="D40" s="503"/>
      <c r="E40" s="503"/>
      <c r="F40" s="50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502" t="str">
        <f>+VLOOKUP($A41,Master!$D$25:$G$223,4,FALSE)</f>
        <v>Ostali izdaci</v>
      </c>
      <c r="C41" s="503"/>
      <c r="D41" s="503"/>
      <c r="E41" s="503"/>
      <c r="F41" s="50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502" t="str">
        <f>+VLOOKUP($A42,Master!$D$25:$G$223,4,FALSE)</f>
        <v>Kapitalni izdaci u tekućem budžetu</v>
      </c>
      <c r="C42" s="503"/>
      <c r="D42" s="503"/>
      <c r="E42" s="503"/>
      <c r="F42" s="50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0" t="str">
        <f>+VLOOKUP($A43,Master!$D$25:$G$223,4,FALSE)</f>
        <v>Transferi za socijalnu zaštitu</v>
      </c>
      <c r="C43" s="501"/>
      <c r="D43" s="501"/>
      <c r="E43" s="501"/>
      <c r="F43" s="501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502" t="str">
        <f>+VLOOKUP($A44,Master!$D$25:$G$223,4,FALSE)</f>
        <v>Prava iz oblasti socijalne zaštite</v>
      </c>
      <c r="C44" s="503"/>
      <c r="D44" s="503"/>
      <c r="E44" s="503"/>
      <c r="F44" s="50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502" t="str">
        <f>+VLOOKUP($A45,Master!$D$25:$G$223,4,FALSE)</f>
        <v>Sredstva za tehnološke viškove</v>
      </c>
      <c r="C45" s="503"/>
      <c r="D45" s="503"/>
      <c r="E45" s="503"/>
      <c r="F45" s="50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502" t="str">
        <f>+VLOOKUP($A46,Master!$D$25:$G$223,4,FALSE)</f>
        <v>Prava iz oblasti penzijskog i invalidskog osiguranja</v>
      </c>
      <c r="C46" s="503"/>
      <c r="D46" s="503"/>
      <c r="E46" s="503"/>
      <c r="F46" s="50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502" t="str">
        <f>+VLOOKUP($A47,Master!$D$25:$G$223,4,FALSE)</f>
        <v>Ostala prava iz oblasti zdravstvene zaštite</v>
      </c>
      <c r="C47" s="503"/>
      <c r="D47" s="503"/>
      <c r="E47" s="503"/>
      <c r="F47" s="50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502" t="str">
        <f>+VLOOKUP($A48,Master!$D$25:$G$223,4,FALSE)</f>
        <v>Ostala prava iz zdravstvenog osiguranja</v>
      </c>
      <c r="C48" s="503"/>
      <c r="D48" s="503"/>
      <c r="E48" s="503"/>
      <c r="F48" s="50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4" t="str">
        <f>+VLOOKUP($A49,Master!$D$25:$G$223,4,FALSE)</f>
        <v xml:space="preserve">Transferi institucijama, pojedincima, nevladinom i javnom sektoru </v>
      </c>
      <c r="C49" s="505"/>
      <c r="D49" s="505"/>
      <c r="E49" s="505"/>
      <c r="F49" s="50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4" t="str">
        <f>+VLOOKUP($A50,Master!$D$25:$G$223,4,FALSE)</f>
        <v>Kapitalni budžet</v>
      </c>
      <c r="C50" s="505"/>
      <c r="D50" s="505"/>
      <c r="E50" s="505"/>
      <c r="F50" s="50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86" t="str">
        <f>+VLOOKUP($A51,Master!$D$25:$G$223,4,FALSE)</f>
        <v>Pozajmice i krediti</v>
      </c>
      <c r="C51" s="487"/>
      <c r="D51" s="487"/>
      <c r="E51" s="487"/>
      <c r="F51" s="48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86" t="str">
        <f>+VLOOKUP($A52,Master!$D$25:$G$223,4,FALSE)</f>
        <v>Rezerve</v>
      </c>
      <c r="C52" s="487"/>
      <c r="D52" s="487"/>
      <c r="E52" s="487"/>
      <c r="F52" s="48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8" t="str">
        <f>+VLOOKUP($A53,Master!$D$25:$G$223,4,FALSE)</f>
        <v>Otplata garancija</v>
      </c>
      <c r="C53" s="489"/>
      <c r="D53" s="489"/>
      <c r="E53" s="489"/>
      <c r="F53" s="48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8" t="str">
        <f>+VLOOKUP($A54,Master!$D$25:$G$223,4,FALSE)</f>
        <v>Otplata obaveza iz prethodnih godina</v>
      </c>
      <c r="C54" s="489"/>
      <c r="D54" s="489"/>
      <c r="E54" s="489"/>
      <c r="F54" s="48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8" t="str">
        <f>+VLOOKUP($A55,Master!$D$25:$G$225,4,FALSE)</f>
        <v>Neto povećanje obaveza</v>
      </c>
      <c r="C55" s="489"/>
      <c r="D55" s="489"/>
      <c r="E55" s="489"/>
      <c r="F55" s="48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96" t="str">
        <f>+VLOOKUP($A56,Master!$D$25:$G$223,4,FALSE)</f>
        <v>Suficit / deficit</v>
      </c>
      <c r="C56" s="497"/>
      <c r="D56" s="497"/>
      <c r="E56" s="497"/>
      <c r="F56" s="497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8" t="str">
        <f>+VLOOKUP($A57,Master!$D$25:$G$223,4,FALSE)</f>
        <v>Primarni bilans</v>
      </c>
      <c r="C57" s="499"/>
      <c r="D57" s="499"/>
      <c r="E57" s="499"/>
      <c r="F57" s="499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0" t="str">
        <f>+VLOOKUP($A58,Master!$D$25:$G$223,4,FALSE)</f>
        <v>Otplata dugova</v>
      </c>
      <c r="C58" s="501"/>
      <c r="D58" s="501"/>
      <c r="E58" s="501"/>
      <c r="F58" s="501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94" t="str">
        <f>+VLOOKUP($A59,Master!$D$25:$G$223,4,FALSE)</f>
        <v>Otplata hartija od vrijednosti i kredita rezidentima</v>
      </c>
      <c r="C59" s="495"/>
      <c r="D59" s="495"/>
      <c r="E59" s="495"/>
      <c r="F59" s="495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86" t="str">
        <f>+VLOOKUP($A60,Master!$D$25:$G$223,4,FALSE)</f>
        <v>Otplata hartija od vrijednosti i kredita nerezidentima</v>
      </c>
      <c r="C60" s="487"/>
      <c r="D60" s="487"/>
      <c r="E60" s="487"/>
      <c r="F60" s="48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90" t="str">
        <f>+VLOOKUP($A61,Master!$D$25:$G$223,4,FALSE)</f>
        <v>Nedostajuća sredstva</v>
      </c>
      <c r="C61" s="491"/>
      <c r="D61" s="491"/>
      <c r="E61" s="491"/>
      <c r="F61" s="491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2" t="str">
        <f>+VLOOKUP($A62,Master!$D$25:$G$223,4,FALSE)</f>
        <v>Finansiranje</v>
      </c>
      <c r="C62" s="493"/>
      <c r="D62" s="493"/>
      <c r="E62" s="493"/>
      <c r="F62" s="49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94" t="str">
        <f>+VLOOKUP($A63,Master!$D$25:$G$223,4,FALSE)</f>
        <v>Pozajmice i krediti od domaćih izvora</v>
      </c>
      <c r="C63" s="495"/>
      <c r="D63" s="495"/>
      <c r="E63" s="495"/>
      <c r="F63" s="495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86" t="str">
        <f>+VLOOKUP($A64,Master!$D$25:$G$223,4,FALSE)</f>
        <v>Pozajmice i krediti od inostranih izvora</v>
      </c>
      <c r="C64" s="487"/>
      <c r="D64" s="487"/>
      <c r="E64" s="487"/>
      <c r="F64" s="48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86" t="str">
        <f>+VLOOKUP($A65,Master!$D$25:$G$223,4,FALSE)</f>
        <v>Primici od prodaje imovine</v>
      </c>
      <c r="C65" s="487"/>
      <c r="D65" s="487"/>
      <c r="E65" s="487"/>
      <c r="F65" s="48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31" t="str">
        <f>+Master!G250</f>
        <v>Plan ostvarenja budžeta</v>
      </c>
      <c r="C102" s="439"/>
      <c r="D102" s="439"/>
      <c r="E102" s="439"/>
      <c r="F102" s="439"/>
      <c r="G102" s="447">
        <v>2013</v>
      </c>
      <c r="H102" s="448"/>
      <c r="I102" s="448"/>
      <c r="J102" s="448"/>
      <c r="K102" s="448"/>
      <c r="L102" s="448"/>
      <c r="M102" s="448"/>
      <c r="N102" s="448"/>
      <c r="O102" s="448"/>
      <c r="P102" s="448"/>
      <c r="Q102" s="448"/>
      <c r="R102" s="448"/>
      <c r="S102" s="448"/>
      <c r="T102" s="448"/>
      <c r="U102" s="451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40"/>
      <c r="C103" s="441"/>
      <c r="D103" s="441"/>
      <c r="E103" s="441"/>
      <c r="F103" s="442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47" t="str">
        <f>+Master!G244</f>
        <v>Jan - Dec</v>
      </c>
      <c r="X103" s="451">
        <f>+X8</f>
        <v>0</v>
      </c>
    </row>
    <row r="104" spans="1:24" ht="13.5" thickBot="1">
      <c r="A104" s="170"/>
      <c r="B104" s="443"/>
      <c r="C104" s="444"/>
      <c r="D104" s="444"/>
      <c r="E104" s="444"/>
      <c r="F104" s="445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80" t="str">
        <f>+VLOOKUP(LEFT($A105,LEN(A105)-1)*1,Master!$D$25:$G$223,4,FALSE)</f>
        <v>Prihodi budžeta</v>
      </c>
      <c r="C105" s="481"/>
      <c r="D105" s="481"/>
      <c r="E105" s="481"/>
      <c r="F105" s="481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82" t="str">
        <f>+VLOOKUP(LEFT($A106,LEN(A106)-1)*1,Master!$D$25:$G$223,4,FALSE)</f>
        <v>Porezi</v>
      </c>
      <c r="C106" s="483"/>
      <c r="D106" s="483"/>
      <c r="E106" s="483"/>
      <c r="F106" s="483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68" t="str">
        <f>+VLOOKUP(LEFT($A107,LEN(A107)-1)*1,Master!$D$25:$G$223,4,FALSE)</f>
        <v>Porez na dohodak fizičkih lica</v>
      </c>
      <c r="C107" s="469"/>
      <c r="D107" s="469"/>
      <c r="E107" s="469"/>
      <c r="F107" s="469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68" t="str">
        <f>+VLOOKUP(LEFT($A108,LEN(A108)-1)*1,Master!$D$25:$G$223,4,FALSE)</f>
        <v>Porez na dobit pravnih lica</v>
      </c>
      <c r="C108" s="469"/>
      <c r="D108" s="469"/>
      <c r="E108" s="469"/>
      <c r="F108" s="469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68" t="str">
        <f>+VLOOKUP(LEFT($A109,LEN(A109)-1)*1,Master!$D$25:$G$223,4,FALSE)</f>
        <v>Porez na promet nepokretnosti</v>
      </c>
      <c r="C109" s="469"/>
      <c r="D109" s="469"/>
      <c r="E109" s="469"/>
      <c r="F109" s="469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68" t="str">
        <f>+VLOOKUP(LEFT($A110,LEN(A110)-1)*1,Master!$D$25:$G$223,4,FALSE)</f>
        <v>Porez na dodatu vrijednost</v>
      </c>
      <c r="C110" s="469"/>
      <c r="D110" s="469"/>
      <c r="E110" s="469"/>
      <c r="F110" s="469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68" t="str">
        <f>+VLOOKUP(LEFT($A111,LEN(A111)-1)*1,Master!$D$25:$G$223,4,FALSE)</f>
        <v>Akcize</v>
      </c>
      <c r="C111" s="469"/>
      <c r="D111" s="469"/>
      <c r="E111" s="469"/>
      <c r="F111" s="469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68" t="str">
        <f>+VLOOKUP(LEFT($A112,LEN(A112)-1)*1,Master!$D$25:$G$223,4,FALSE)</f>
        <v>Porez na međunarodnu trgovinu i transakcije</v>
      </c>
      <c r="C112" s="469"/>
      <c r="D112" s="469"/>
      <c r="E112" s="469"/>
      <c r="F112" s="469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68" t="e">
        <f>+VLOOKUP(LEFT($A113,LEN(A113)-1)*1,Master!$D$25:$G$223,4,FALSE)</f>
        <v>#N/A</v>
      </c>
      <c r="C113" s="469"/>
      <c r="D113" s="469"/>
      <c r="E113" s="469"/>
      <c r="F113" s="469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68" t="str">
        <f>+VLOOKUP(LEFT($A114,LEN(A114)-1)*1,Master!$D$25:$G$223,4,FALSE)</f>
        <v>Ostali državni porezi</v>
      </c>
      <c r="C114" s="469"/>
      <c r="D114" s="469"/>
      <c r="E114" s="469"/>
      <c r="F114" s="469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78" t="str">
        <f>+VLOOKUP(LEFT($A115,LEN(A115)-1)*1,Master!$D$25:$G$223,4,FALSE)</f>
        <v>Doprinosi</v>
      </c>
      <c r="C115" s="479"/>
      <c r="D115" s="479"/>
      <c r="E115" s="479"/>
      <c r="F115" s="479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68" t="str">
        <f>+VLOOKUP(LEFT($A116,LEN(A116)-1)*1,Master!$D$25:$G$223,4,FALSE)</f>
        <v>Doprinosi za penzijsko i invalidsko osiguranje</v>
      </c>
      <c r="C116" s="469"/>
      <c r="D116" s="469"/>
      <c r="E116" s="469"/>
      <c r="F116" s="469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68" t="str">
        <f>+VLOOKUP(LEFT($A117,LEN(A117)-1)*1,Master!$D$25:$G$223,4,FALSE)</f>
        <v>Doprinosi za zdravstveno osiguranje</v>
      </c>
      <c r="C117" s="469"/>
      <c r="D117" s="469"/>
      <c r="E117" s="469"/>
      <c r="F117" s="469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68" t="str">
        <f>+VLOOKUP(LEFT($A118,LEN(A118)-1)*1,Master!$D$25:$G$223,4,FALSE)</f>
        <v>Doprinosi za osiguranje od nezaposlenosti</v>
      </c>
      <c r="C118" s="469"/>
      <c r="D118" s="469"/>
      <c r="E118" s="469"/>
      <c r="F118" s="469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68" t="str">
        <f>+VLOOKUP(LEFT($A119,LEN(A119)-1)*1,Master!$D$25:$G$223,4,FALSE)</f>
        <v>Ostali doprinosi</v>
      </c>
      <c r="C119" s="469"/>
      <c r="D119" s="469"/>
      <c r="E119" s="469"/>
      <c r="F119" s="469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70" t="str">
        <f>+VLOOKUP(LEFT($A120,LEN(A120)-1)*1,Master!$D$25:$G$223,4,FALSE)</f>
        <v>Takse</v>
      </c>
      <c r="C120" s="471"/>
      <c r="D120" s="471"/>
      <c r="E120" s="471"/>
      <c r="F120" s="471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70" t="str">
        <f>+VLOOKUP(LEFT($A121,LEN(A121)-1)*1,Master!$D$25:$G$223,4,FALSE)</f>
        <v>Naknade</v>
      </c>
      <c r="C121" s="471"/>
      <c r="D121" s="471"/>
      <c r="E121" s="471"/>
      <c r="F121" s="471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70" t="str">
        <f>+VLOOKUP(LEFT($A122,LEN(A122)-1)*1,Master!$D$25:$G$223,4,FALSE)</f>
        <v>Ostali prihodi</v>
      </c>
      <c r="C122" s="471"/>
      <c r="D122" s="471"/>
      <c r="E122" s="471"/>
      <c r="F122" s="471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70" t="str">
        <f>+VLOOKUP(LEFT($A123,LEN(A123)-1)*1,Master!$D$25:$G$223,4,FALSE)</f>
        <v>Primici od otplate kredita i sredstva prenesena iz prethodne godine</v>
      </c>
      <c r="C123" s="471"/>
      <c r="D123" s="471"/>
      <c r="E123" s="471"/>
      <c r="F123" s="471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72" t="str">
        <f>+VLOOKUP(LEFT($A124,LEN(A124)-1)*1,Master!$D$25:$G$223,4,FALSE)</f>
        <v>Donacije i transferi</v>
      </c>
      <c r="C124" s="473"/>
      <c r="D124" s="473"/>
      <c r="E124" s="473"/>
      <c r="F124" s="473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58" t="str">
        <f>+VLOOKUP(LEFT($A125,LEN(A125)-1)*1,Master!$D$25:$G$223,4,FALSE)</f>
        <v>Budžetski izdaci</v>
      </c>
      <c r="C125" s="459"/>
      <c r="D125" s="459"/>
      <c r="E125" s="459"/>
      <c r="F125" s="459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74" t="str">
        <f>+VLOOKUP(LEFT($A126,LEN(A126)-1)*1,Master!$D$25:$G$223,4,FALSE)</f>
        <v>Tekući izdaci</v>
      </c>
      <c r="C126" s="475"/>
      <c r="D126" s="475"/>
      <c r="E126" s="475"/>
      <c r="F126" s="475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76" t="str">
        <f>+VLOOKUP(LEFT($A127,LEN(A127)-1)*1,Master!$D$25:$G$223,4,FALSE)</f>
        <v>Tekući budžetski izdaci</v>
      </c>
      <c r="C127" s="477"/>
      <c r="D127" s="477"/>
      <c r="E127" s="477"/>
      <c r="F127" s="477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68" t="str">
        <f>+VLOOKUP(LEFT($A128,LEN(A128)-1)*1,Master!$D$25:$G$223,4,FALSE)</f>
        <v>Bruto zarade i doprinosi na teret poslodavca</v>
      </c>
      <c r="C128" s="469"/>
      <c r="D128" s="469"/>
      <c r="E128" s="469"/>
      <c r="F128" s="469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68" t="str">
        <f>+VLOOKUP(LEFT($A129,LEN(A129)-1)*1,Master!$D$25:$G$223,4,FALSE)</f>
        <v>Ostala lična primanja</v>
      </c>
      <c r="C129" s="469"/>
      <c r="D129" s="469"/>
      <c r="E129" s="469"/>
      <c r="F129" s="469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68" t="str">
        <f>+VLOOKUP(LEFT($A130,LEN(A130)-1)*1,Master!$D$25:$G$223,4,FALSE)</f>
        <v>Rashodi za materijal</v>
      </c>
      <c r="C130" s="469"/>
      <c r="D130" s="469"/>
      <c r="E130" s="469"/>
      <c r="F130" s="469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68" t="str">
        <f>+VLOOKUP(LEFT($A131,LEN(A131)-1)*1,Master!$D$25:$G$223,4,FALSE)</f>
        <v>Rashodi za usluge</v>
      </c>
      <c r="C131" s="469"/>
      <c r="D131" s="469"/>
      <c r="E131" s="469"/>
      <c r="F131" s="469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68" t="str">
        <f>+VLOOKUP(LEFT($A132,LEN(A132)-1)*1,Master!$D$25:$G$223,4,FALSE)</f>
        <v>Rashodi za tekuće održavanje</v>
      </c>
      <c r="C132" s="469"/>
      <c r="D132" s="469"/>
      <c r="E132" s="469"/>
      <c r="F132" s="469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68" t="str">
        <f>+VLOOKUP(LEFT($A133,LEN(A133)-1)*1,Master!$D$25:$G$223,4,FALSE)</f>
        <v>Kamate</v>
      </c>
      <c r="C133" s="469"/>
      <c r="D133" s="469"/>
      <c r="E133" s="469"/>
      <c r="F133" s="469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68" t="str">
        <f>+VLOOKUP(LEFT($A134,LEN(A134)-1)*1,Master!$D$25:$G$223,4,FALSE)</f>
        <v>Renta</v>
      </c>
      <c r="C134" s="469"/>
      <c r="D134" s="469"/>
      <c r="E134" s="469"/>
      <c r="F134" s="469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68" t="str">
        <f>+VLOOKUP(LEFT($A135,LEN(A135)-1)*1,Master!$D$25:$G$223,4,FALSE)</f>
        <v>Subvencije</v>
      </c>
      <c r="C135" s="469"/>
      <c r="D135" s="469"/>
      <c r="E135" s="469"/>
      <c r="F135" s="469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68" t="str">
        <f>+VLOOKUP(LEFT($A136,LEN(A136)-1)*1,Master!$D$25:$G$223,4,FALSE)</f>
        <v>Ostali izdaci</v>
      </c>
      <c r="C136" s="469"/>
      <c r="D136" s="469"/>
      <c r="E136" s="469"/>
      <c r="F136" s="469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68" t="str">
        <f>+VLOOKUP(LEFT($A137,LEN(A137)-1)*1,Master!$D$25:$G$223,4,FALSE)</f>
        <v>Kapitalni izdaci u tekućem budžetu</v>
      </c>
      <c r="C137" s="469"/>
      <c r="D137" s="469"/>
      <c r="E137" s="469"/>
      <c r="F137" s="469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64" t="str">
        <f>+VLOOKUP(LEFT($A138,LEN(A138)-1)*1,Master!$D$25:$G$223,4,FALSE)</f>
        <v>Transferi za socijalnu zaštitu</v>
      </c>
      <c r="C138" s="465"/>
      <c r="D138" s="465"/>
      <c r="E138" s="465"/>
      <c r="F138" s="465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68" t="str">
        <f>+VLOOKUP(LEFT($A139,LEN(A139)-1)*1,Master!$D$25:$G$223,4,FALSE)</f>
        <v>Prava iz oblasti socijalne zaštite</v>
      </c>
      <c r="C139" s="469"/>
      <c r="D139" s="469"/>
      <c r="E139" s="469"/>
      <c r="F139" s="469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68" t="str">
        <f>+VLOOKUP(LEFT($A140,LEN(A140)-1)*1,Master!$D$25:$G$223,4,FALSE)</f>
        <v>Sredstva za tehnološke viškove</v>
      </c>
      <c r="C140" s="469"/>
      <c r="D140" s="469"/>
      <c r="E140" s="469"/>
      <c r="F140" s="469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68" t="str">
        <f>+VLOOKUP(LEFT($A141,LEN(A141)-1)*1,Master!$D$25:$G$223,4,FALSE)</f>
        <v>Prava iz oblasti penzijskog i invalidskog osiguranja</v>
      </c>
      <c r="C141" s="469"/>
      <c r="D141" s="469"/>
      <c r="E141" s="469"/>
      <c r="F141" s="469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68" t="str">
        <f>+VLOOKUP(LEFT($A142,LEN(A142)-1)*1,Master!$D$25:$G$223,4,FALSE)</f>
        <v>Ostala prava iz oblasti zdravstvene zaštite</v>
      </c>
      <c r="C142" s="469"/>
      <c r="D142" s="469"/>
      <c r="E142" s="469"/>
      <c r="F142" s="469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68" t="str">
        <f>+VLOOKUP(LEFT($A143,LEN(A143)-1)*1,Master!$D$25:$G$223,4,FALSE)</f>
        <v>Ostala prava iz zdravstvenog osiguranja</v>
      </c>
      <c r="C143" s="469"/>
      <c r="D143" s="469"/>
      <c r="E143" s="469"/>
      <c r="F143" s="469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66" t="str">
        <f>+VLOOKUP(LEFT($A144,LEN(A144)-1)*1,Master!$D$25:$G$223,4,FALSE)</f>
        <v xml:space="preserve">Transferi institucijama, pojedincima, nevladinom i javnom sektoru </v>
      </c>
      <c r="C144" s="467"/>
      <c r="D144" s="467"/>
      <c r="E144" s="467"/>
      <c r="F144" s="46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66" t="str">
        <f>+VLOOKUP(LEFT($A145,LEN(A145)-1)*1,Master!$D$25:$G$223,4,FALSE)</f>
        <v>Kapitalni budžet</v>
      </c>
      <c r="C145" s="467"/>
      <c r="D145" s="467"/>
      <c r="E145" s="467"/>
      <c r="F145" s="46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6" t="str">
        <f>+VLOOKUP(LEFT($A146,LEN(A146)-1)*1,Master!$D$25:$G$223,4,FALSE)</f>
        <v>Pozajmice i krediti</v>
      </c>
      <c r="C146" s="437"/>
      <c r="D146" s="437"/>
      <c r="E146" s="437"/>
      <c r="F146" s="437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6" t="str">
        <f>+VLOOKUP(LEFT($A147,LEN(A147)-1)*1,Master!$D$25:$G$223,4,FALSE)</f>
        <v>Rezerve</v>
      </c>
      <c r="C147" s="437"/>
      <c r="D147" s="437"/>
      <c r="E147" s="437"/>
      <c r="F147" s="437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54" t="str">
        <f>+VLOOKUP(LEFT($A148,LEN(A148)-1)*1,Master!$D$25:$G$223,4,FALSE)</f>
        <v>Otplata garancija</v>
      </c>
      <c r="C148" s="455"/>
      <c r="D148" s="455"/>
      <c r="E148" s="455"/>
      <c r="F148" s="455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60" t="str">
        <f>+VLOOKUP(LEFT($A149,LEN(A149)-1)*1,Master!$D$25:$G$223,4,FALSE)</f>
        <v>Suficit / deficit</v>
      </c>
      <c r="C149" s="461"/>
      <c r="D149" s="461"/>
      <c r="E149" s="461"/>
      <c r="F149" s="461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62" t="str">
        <f>+VLOOKUP(LEFT($A150,LEN(A150)-1)*1,Master!$D$25:$G$223,4,FALSE)</f>
        <v>Primarni bilans</v>
      </c>
      <c r="C150" s="463"/>
      <c r="D150" s="463"/>
      <c r="E150" s="463"/>
      <c r="F150" s="463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64" t="str">
        <f>+VLOOKUP(LEFT($A151,LEN(A151)-1)*1,Master!$D$25:$G$223,4,FALSE)</f>
        <v>Otplata dugova</v>
      </c>
      <c r="C151" s="465"/>
      <c r="D151" s="465"/>
      <c r="E151" s="465"/>
      <c r="F151" s="465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52" t="str">
        <f>+VLOOKUP(LEFT($A152,LEN(A152)-1)*1,Master!$D$25:$G$223,4,FALSE)</f>
        <v>Otplata hartija od vrijednosti i kredita rezidentima</v>
      </c>
      <c r="C152" s="453"/>
      <c r="D152" s="453"/>
      <c r="E152" s="453"/>
      <c r="F152" s="453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6" t="str">
        <f>+VLOOKUP(LEFT($A153,LEN(A153)-1)*1,Master!$D$25:$G$223,4,FALSE)</f>
        <v>Otplata hartija od vrijednosti i kredita nerezidentima</v>
      </c>
      <c r="C153" s="437"/>
      <c r="D153" s="437"/>
      <c r="E153" s="437"/>
      <c r="F153" s="437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54" t="str">
        <f>+VLOOKUP(LEFT($A154,LEN(A154)-1)*1,Master!$D$25:$G$223,4,FALSE)</f>
        <v>Otplata obaveza iz prethodnih godina</v>
      </c>
      <c r="C154" s="455"/>
      <c r="D154" s="455"/>
      <c r="E154" s="455"/>
      <c r="F154" s="455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56" t="str">
        <f>+VLOOKUP(LEFT($A155,LEN(A155)-1)*1,Master!$D$25:$G$223,4,FALSE)</f>
        <v>Nedostajuća sredstva</v>
      </c>
      <c r="C155" s="457"/>
      <c r="D155" s="457"/>
      <c r="E155" s="457"/>
      <c r="F155" s="457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58" t="str">
        <f>+VLOOKUP(LEFT($A156,LEN(A156)-1)*1,Master!$D$25:$G$223,4,FALSE)</f>
        <v>Finansiranje</v>
      </c>
      <c r="C156" s="459"/>
      <c r="D156" s="459"/>
      <c r="E156" s="459"/>
      <c r="F156" s="459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52" t="str">
        <f>+VLOOKUP(LEFT($A157,LEN(A157)-1)*1,Master!$D$25:$G$223,4,FALSE)</f>
        <v>Pozajmice i krediti od domaćih izvora</v>
      </c>
      <c r="C157" s="453"/>
      <c r="D157" s="453"/>
      <c r="E157" s="453"/>
      <c r="F157" s="453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6" t="str">
        <f>+VLOOKUP(LEFT($A158,LEN(A158)-1)*1,Master!$D$25:$G$223,4,FALSE)</f>
        <v>Pozajmice i krediti od inostranih izvora</v>
      </c>
      <c r="C158" s="437"/>
      <c r="D158" s="437"/>
      <c r="E158" s="437"/>
      <c r="F158" s="437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6" t="str">
        <f>+VLOOKUP(LEFT($A159,LEN(A159)-1)*1,Master!$D$25:$G$223,4,FALSE)</f>
        <v>Primici od prodaje imovine</v>
      </c>
      <c r="C159" s="437"/>
      <c r="D159" s="437"/>
      <c r="E159" s="437"/>
      <c r="F159" s="437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tamara.poleksic</cp:lastModifiedBy>
  <cp:lastPrinted>2017-03-01T13:10:49Z</cp:lastPrinted>
  <dcterms:created xsi:type="dcterms:W3CDTF">2014-09-15T13:41:17Z</dcterms:created>
  <dcterms:modified xsi:type="dcterms:W3CDTF">2018-06-01T08:31:18Z</dcterms:modified>
</cp:coreProperties>
</file>