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4000" windowHeight="9000" tabRatio="587" firstSheet="1" activeTab="1"/>
  </bookViews>
  <sheets>
    <sheet name="Analitika - 2014" sheetId="3" state="hidden" r:id="rId1"/>
    <sheet name="Breakdown" sheetId="1" r:id="rId2"/>
    <sheet name="Analytics - 2018" sheetId="11" r:id="rId3"/>
    <sheet name="2018" sheetId="13" r:id="rId4"/>
    <sheet name="2017" sheetId="16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R64" i="11" l="1"/>
  <c r="R65" i="11"/>
  <c r="R66" i="11"/>
  <c r="R61" i="11"/>
  <c r="R11" i="1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7" i="11"/>
  <c r="R58" i="11"/>
  <c r="R59" i="11"/>
  <c r="N61" i="11"/>
  <c r="N60" i="11"/>
  <c r="T61" i="11" l="1"/>
  <c r="S61" i="1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EX369" i="6"/>
  <c r="H61" i="11" l="1"/>
  <c r="Q61" i="11"/>
  <c r="P61" i="11"/>
  <c r="S155" i="13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EX160" i="6"/>
  <c r="S60" i="13" l="1"/>
  <c r="T60" i="13" s="1"/>
  <c r="G61" i="11" l="1"/>
  <c r="M61" i="11"/>
  <c r="L61" i="11"/>
  <c r="J61" i="11"/>
  <c r="I61" i="11"/>
  <c r="G64" i="13"/>
  <c r="A160" i="16" l="1"/>
  <c r="A159" i="16"/>
  <c r="A158" i="16"/>
  <c r="A157" i="16"/>
  <c r="A156" i="16"/>
  <c r="A155" i="16"/>
  <c r="G154" i="16"/>
  <c r="A154" i="16"/>
  <c r="M154" i="16" s="1"/>
  <c r="I153" i="16"/>
  <c r="G153" i="16"/>
  <c r="A153" i="16"/>
  <c r="M153" i="16" s="1"/>
  <c r="M152" i="16"/>
  <c r="I152" i="16"/>
  <c r="G152" i="16"/>
  <c r="A152" i="16"/>
  <c r="A151" i="16"/>
  <c r="A150" i="16"/>
  <c r="A149" i="16"/>
  <c r="S148" i="16"/>
  <c r="T148" i="16" s="1"/>
  <c r="G148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R144" i="16"/>
  <c r="L144" i="16"/>
  <c r="G144" i="16"/>
  <c r="A144" i="16"/>
  <c r="Q144" i="16" s="1"/>
  <c r="O143" i="16"/>
  <c r="N143" i="16"/>
  <c r="J143" i="16"/>
  <c r="H143" i="16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R19" i="11" s="1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K143" i="16" l="1"/>
  <c r="P143" i="16"/>
  <c r="H144" i="16"/>
  <c r="N144" i="16"/>
  <c r="L143" i="16"/>
  <c r="R143" i="16"/>
  <c r="J144" i="16"/>
  <c r="O144" i="16"/>
  <c r="K144" i="16"/>
  <c r="P144" i="16"/>
  <c r="K13" i="11"/>
  <c r="K17" i="11"/>
  <c r="K21" i="11"/>
  <c r="K25" i="11"/>
  <c r="K33" i="11"/>
  <c r="K37" i="11"/>
  <c r="K41" i="11"/>
  <c r="K45" i="11"/>
  <c r="K49" i="11"/>
  <c r="K53" i="11"/>
  <c r="Q58" i="16"/>
  <c r="G137" i="16"/>
  <c r="K137" i="16"/>
  <c r="O137" i="16"/>
  <c r="I137" i="16"/>
  <c r="M137" i="16"/>
  <c r="Q137" i="16"/>
  <c r="K64" i="11"/>
  <c r="K65" i="11"/>
  <c r="K66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N10" i="16" s="1"/>
  <c r="R10" i="11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J124" i="16" l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N30" i="16" s="1"/>
  <c r="M29" i="16"/>
  <c r="M30" i="16" s="1"/>
  <c r="J105" i="16"/>
  <c r="J149" i="16" s="1"/>
  <c r="J150" i="16" s="1"/>
  <c r="K124" i="16"/>
  <c r="K125" i="16" s="1"/>
  <c r="H105" i="16"/>
  <c r="N124" i="16"/>
  <c r="N125" i="16" s="1"/>
  <c r="H124" i="16"/>
  <c r="H125" i="16" s="1"/>
  <c r="K57" i="11"/>
  <c r="K31" i="11"/>
  <c r="G124" i="16"/>
  <c r="G125" i="16" s="1"/>
  <c r="R105" i="16"/>
  <c r="I29" i="16"/>
  <c r="H10" i="16"/>
  <c r="K42" i="11"/>
  <c r="I124" i="16"/>
  <c r="I125" i="16" s="1"/>
  <c r="G10" i="16"/>
  <c r="K11" i="11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J12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O56" i="16" s="1"/>
  <c r="O57" i="16" s="1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L149" i="16" l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K10" i="1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J155" i="16"/>
  <c r="J160" i="16" s="1"/>
  <c r="J156" i="16" s="1"/>
  <c r="Q155" i="16"/>
  <c r="Q160" i="16" s="1"/>
  <c r="Q156" i="16" s="1"/>
  <c r="R149" i="16"/>
  <c r="R150" i="16" s="1"/>
  <c r="K29" i="11"/>
  <c r="O155" i="16"/>
  <c r="O160" i="16" s="1"/>
  <c r="O156" i="16" s="1"/>
  <c r="G55" i="16"/>
  <c r="K155" i="16"/>
  <c r="K160" i="16" s="1"/>
  <c r="K156" i="16" s="1"/>
  <c r="S124" i="16"/>
  <c r="T124" i="16" s="1"/>
  <c r="Q55" i="16"/>
  <c r="Q56" i="16" s="1"/>
  <c r="Q57" i="16" s="1"/>
  <c r="P149" i="16"/>
  <c r="P150" i="16" s="1"/>
  <c r="S29" i="16"/>
  <c r="T29" i="16" s="1"/>
  <c r="R55" i="16"/>
  <c r="R56" i="16" s="1"/>
  <c r="R57" i="16" s="1"/>
  <c r="H30" i="16"/>
  <c r="H55" i="16"/>
  <c r="H56" i="16" s="1"/>
  <c r="H57" i="16" s="1"/>
  <c r="O61" i="16"/>
  <c r="O66" i="16" s="1"/>
  <c r="O62" i="16" s="1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P57" i="16" s="1"/>
  <c r="G149" i="16"/>
  <c r="S105" i="16"/>
  <c r="T105" i="16" s="1"/>
  <c r="L155" i="16"/>
  <c r="L160" i="16" s="1"/>
  <c r="L156" i="16" s="1"/>
  <c r="L150" i="16"/>
  <c r="M125" i="16"/>
  <c r="S125" i="16" s="1"/>
  <c r="T125" i="16" s="1"/>
  <c r="M149" i="16"/>
  <c r="S151" i="16"/>
  <c r="T151" i="16" s="1"/>
  <c r="G61" i="16" l="1"/>
  <c r="G56" i="16"/>
  <c r="R56" i="11"/>
  <c r="R55" i="11"/>
  <c r="I150" i="16"/>
  <c r="N61" i="16"/>
  <c r="H155" i="16"/>
  <c r="H160" i="16" s="1"/>
  <c r="H156" i="16" s="1"/>
  <c r="M61" i="16"/>
  <c r="R155" i="16"/>
  <c r="R160" i="16" s="1"/>
  <c r="R156" i="16" s="1"/>
  <c r="I61" i="16"/>
  <c r="K55" i="11"/>
  <c r="K30" i="11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R66" i="16" s="1"/>
  <c r="R62" i="16" s="1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G57" i="16" l="1"/>
  <c r="K56" i="11" s="1"/>
  <c r="S56" i="16"/>
  <c r="N66" i="16"/>
  <c r="R62" i="11"/>
  <c r="R60" i="11"/>
  <c r="M66" i="16"/>
  <c r="J66" i="16"/>
  <c r="I66" i="16"/>
  <c r="K62" i="11"/>
  <c r="H66" i="16"/>
  <c r="G160" i="16"/>
  <c r="S155" i="16"/>
  <c r="T155" i="16" s="1"/>
  <c r="G62" i="16"/>
  <c r="S150" i="16"/>
  <c r="T150" i="16" s="1"/>
  <c r="S57" i="16" l="1"/>
  <c r="T57" i="16" s="1"/>
  <c r="S61" i="16"/>
  <c r="T61" i="16" s="1"/>
  <c r="T56" i="16"/>
  <c r="N62" i="16"/>
  <c r="R63" i="11" s="1"/>
  <c r="R67" i="11"/>
  <c r="M62" i="16"/>
  <c r="T60" i="11"/>
  <c r="S60" i="11"/>
  <c r="J62" i="16"/>
  <c r="I62" i="16"/>
  <c r="S66" i="16"/>
  <c r="K67" i="11"/>
  <c r="H62" i="16"/>
  <c r="S160" i="16"/>
  <c r="T160" i="16" s="1"/>
  <c r="G156" i="16"/>
  <c r="S156" i="16" s="1"/>
  <c r="T156" i="16" s="1"/>
  <c r="T66" i="16" l="1"/>
  <c r="S62" i="16"/>
  <c r="T62" i="16" s="1"/>
  <c r="K63" i="1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FF393" i="6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FF321" i="6"/>
  <c r="EU394" i="6" l="1"/>
  <c r="H146" i="13" s="1"/>
  <c r="EV394" i="6"/>
  <c r="I146" i="13" s="1"/>
  <c r="EW394" i="6"/>
  <c r="J146" i="13" s="1"/>
  <c r="EX394" i="6"/>
  <c r="K146" i="13" s="1"/>
  <c r="EY394" i="6"/>
  <c r="L146" i="13" s="1"/>
  <c r="EZ394" i="6"/>
  <c r="M146" i="13" s="1"/>
  <c r="FA394" i="6"/>
  <c r="N146" i="13" s="1"/>
  <c r="FB394" i="6"/>
  <c r="O146" i="13" s="1"/>
  <c r="FC394" i="6"/>
  <c r="P146" i="13" s="1"/>
  <c r="FD394" i="6"/>
  <c r="Q146" i="13" s="1"/>
  <c r="FE394" i="6"/>
  <c r="R146" i="13" s="1"/>
  <c r="ET394" i="6"/>
  <c r="FF396" i="6"/>
  <c r="FF395" i="6"/>
  <c r="FF368" i="6"/>
  <c r="FF379" i="6"/>
  <c r="FF350" i="6"/>
  <c r="FF361" i="6"/>
  <c r="FF351" i="6"/>
  <c r="FF394" i="6" l="1"/>
  <c r="G146" i="13"/>
  <c r="FF346" i="6"/>
  <c r="FF344" i="6"/>
  <c r="FF336" i="6"/>
  <c r="FF330" i="6"/>
  <c r="FF322" i="6"/>
  <c r="FF369" i="6"/>
  <c r="FF311" i="6"/>
  <c r="FF307" i="6"/>
  <c r="FF303" i="6"/>
  <c r="FF300" i="6"/>
  <c r="FF296" i="6"/>
  <c r="FF286" i="6"/>
  <c r="FF279" i="6"/>
  <c r="FF271" i="6"/>
  <c r="FF265" i="6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H53" i="11" s="1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M60" i="11" l="1"/>
  <c r="L60" i="11"/>
  <c r="O60" i="11" l="1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N66" i="11" s="1"/>
  <c r="M65" i="13"/>
  <c r="L65" i="13"/>
  <c r="K65" i="13"/>
  <c r="J65" i="13"/>
  <c r="I65" i="13"/>
  <c r="H65" i="13"/>
  <c r="G65" i="13"/>
  <c r="R64" i="13"/>
  <c r="Q64" i="13"/>
  <c r="P64" i="13"/>
  <c r="O64" i="13"/>
  <c r="N64" i="13"/>
  <c r="N65" i="11" s="1"/>
  <c r="M64" i="13"/>
  <c r="L64" i="13"/>
  <c r="K64" i="13"/>
  <c r="J64" i="13"/>
  <c r="I64" i="13"/>
  <c r="H64" i="13"/>
  <c r="R63" i="13"/>
  <c r="Q63" i="13"/>
  <c r="P63" i="13"/>
  <c r="O63" i="13"/>
  <c r="N63" i="13"/>
  <c r="N64" i="11" s="1"/>
  <c r="M63" i="13"/>
  <c r="L63" i="13"/>
  <c r="K63" i="13"/>
  <c r="J63" i="13"/>
  <c r="I63" i="13"/>
  <c r="H63" i="13"/>
  <c r="G63" i="13"/>
  <c r="R59" i="13"/>
  <c r="Q59" i="13"/>
  <c r="P59" i="13"/>
  <c r="O59" i="13"/>
  <c r="N59" i="13"/>
  <c r="N59" i="11" s="1"/>
  <c r="M59" i="13"/>
  <c r="L59" i="13"/>
  <c r="K59" i="13"/>
  <c r="J59" i="13"/>
  <c r="I59" i="13"/>
  <c r="H59" i="13"/>
  <c r="G59" i="13"/>
  <c r="R58" i="13"/>
  <c r="Q58" i="13"/>
  <c r="P58" i="13"/>
  <c r="O58" i="13"/>
  <c r="N58" i="13"/>
  <c r="N58" i="11" s="1"/>
  <c r="M58" i="13"/>
  <c r="L58" i="13"/>
  <c r="K58" i="13"/>
  <c r="J58" i="13"/>
  <c r="I58" i="13"/>
  <c r="H58" i="13"/>
  <c r="G58" i="13"/>
  <c r="R54" i="13"/>
  <c r="Q54" i="13"/>
  <c r="P54" i="13"/>
  <c r="O54" i="13"/>
  <c r="N54" i="13"/>
  <c r="N54" i="11" s="1"/>
  <c r="M54" i="13"/>
  <c r="L54" i="13"/>
  <c r="K54" i="13"/>
  <c r="J54" i="13"/>
  <c r="I54" i="13"/>
  <c r="H54" i="13"/>
  <c r="G54" i="13"/>
  <c r="R53" i="13"/>
  <c r="Q53" i="13"/>
  <c r="P53" i="13"/>
  <c r="O53" i="13"/>
  <c r="N53" i="13"/>
  <c r="N53" i="11" s="1"/>
  <c r="M53" i="13"/>
  <c r="L53" i="13"/>
  <c r="K53" i="13"/>
  <c r="J53" i="13"/>
  <c r="I53" i="13"/>
  <c r="H53" i="13"/>
  <c r="G53" i="13"/>
  <c r="R52" i="13"/>
  <c r="Q52" i="13"/>
  <c r="P52" i="13"/>
  <c r="O52" i="13"/>
  <c r="N52" i="13"/>
  <c r="N52" i="11" s="1"/>
  <c r="M52" i="13"/>
  <c r="L52" i="13"/>
  <c r="K52" i="13"/>
  <c r="J52" i="13"/>
  <c r="I52" i="13"/>
  <c r="H52" i="13"/>
  <c r="G52" i="13"/>
  <c r="R51" i="13"/>
  <c r="Q51" i="13"/>
  <c r="P51" i="13"/>
  <c r="O51" i="13"/>
  <c r="N51" i="13"/>
  <c r="N51" i="11" s="1"/>
  <c r="M51" i="13"/>
  <c r="L51" i="13"/>
  <c r="K51" i="13"/>
  <c r="J51" i="13"/>
  <c r="I51" i="13"/>
  <c r="H51" i="13"/>
  <c r="G51" i="13"/>
  <c r="R50" i="13"/>
  <c r="Q50" i="13"/>
  <c r="P50" i="13"/>
  <c r="O50" i="13"/>
  <c r="N50" i="13"/>
  <c r="N50" i="11" s="1"/>
  <c r="M50" i="13"/>
  <c r="L50" i="13"/>
  <c r="K50" i="13"/>
  <c r="J50" i="13"/>
  <c r="I50" i="13"/>
  <c r="H50" i="13"/>
  <c r="G50" i="13"/>
  <c r="R49" i="13"/>
  <c r="Q49" i="13"/>
  <c r="P49" i="13"/>
  <c r="O49" i="13"/>
  <c r="N49" i="13"/>
  <c r="N49" i="11" s="1"/>
  <c r="M49" i="13"/>
  <c r="L49" i="13"/>
  <c r="K49" i="13"/>
  <c r="J49" i="13"/>
  <c r="I49" i="13"/>
  <c r="H49" i="13"/>
  <c r="G49" i="13"/>
  <c r="R48" i="13"/>
  <c r="Q48" i="13"/>
  <c r="P48" i="13"/>
  <c r="O48" i="13"/>
  <c r="N48" i="13"/>
  <c r="N48" i="11" s="1"/>
  <c r="M48" i="13"/>
  <c r="L48" i="13"/>
  <c r="K48" i="13"/>
  <c r="J48" i="13"/>
  <c r="I48" i="13"/>
  <c r="H48" i="13"/>
  <c r="G48" i="13"/>
  <c r="R47" i="13"/>
  <c r="Q47" i="13"/>
  <c r="P47" i="13"/>
  <c r="O47" i="13"/>
  <c r="N47" i="13"/>
  <c r="N47" i="11" s="1"/>
  <c r="M47" i="13"/>
  <c r="L47" i="13"/>
  <c r="K47" i="13"/>
  <c r="J47" i="13"/>
  <c r="I47" i="13"/>
  <c r="H47" i="13"/>
  <c r="G47" i="13"/>
  <c r="R46" i="13"/>
  <c r="Q46" i="13"/>
  <c r="P46" i="13"/>
  <c r="O46" i="13"/>
  <c r="N46" i="13"/>
  <c r="N46" i="11" s="1"/>
  <c r="M46" i="13"/>
  <c r="L46" i="13"/>
  <c r="K46" i="13"/>
  <c r="J46" i="13"/>
  <c r="I46" i="13"/>
  <c r="H46" i="13"/>
  <c r="G46" i="13"/>
  <c r="R45" i="13"/>
  <c r="Q45" i="13"/>
  <c r="P45" i="13"/>
  <c r="O45" i="13"/>
  <c r="N45" i="13"/>
  <c r="N45" i="11" s="1"/>
  <c r="M45" i="13"/>
  <c r="L45" i="13"/>
  <c r="K45" i="13"/>
  <c r="J45" i="13"/>
  <c r="I45" i="13"/>
  <c r="H45" i="13"/>
  <c r="G45" i="13"/>
  <c r="R44" i="13"/>
  <c r="Q44" i="13"/>
  <c r="P44" i="13"/>
  <c r="O44" i="13"/>
  <c r="N44" i="13"/>
  <c r="N44" i="11" s="1"/>
  <c r="M44" i="13"/>
  <c r="L44" i="13"/>
  <c r="K44" i="13"/>
  <c r="J44" i="13"/>
  <c r="I44" i="13"/>
  <c r="H44" i="13"/>
  <c r="G44" i="13"/>
  <c r="R43" i="13"/>
  <c r="Q43" i="13"/>
  <c r="P43" i="13"/>
  <c r="O43" i="13"/>
  <c r="N43" i="13"/>
  <c r="N43" i="11" s="1"/>
  <c r="M43" i="13"/>
  <c r="L43" i="13"/>
  <c r="K43" i="13"/>
  <c r="J43" i="13"/>
  <c r="I43" i="13"/>
  <c r="H43" i="13"/>
  <c r="G43" i="13"/>
  <c r="R41" i="13"/>
  <c r="Q41" i="13"/>
  <c r="P41" i="13"/>
  <c r="O41" i="13"/>
  <c r="N41" i="13"/>
  <c r="N41" i="11" s="1"/>
  <c r="M41" i="13"/>
  <c r="L41" i="13"/>
  <c r="K41" i="13"/>
  <c r="J41" i="13"/>
  <c r="I41" i="13"/>
  <c r="H41" i="13"/>
  <c r="G41" i="13"/>
  <c r="R40" i="13"/>
  <c r="Q40" i="13"/>
  <c r="P40" i="13"/>
  <c r="O40" i="13"/>
  <c r="N40" i="13"/>
  <c r="N40" i="11" s="1"/>
  <c r="M40" i="13"/>
  <c r="L40" i="13"/>
  <c r="K40" i="13"/>
  <c r="J40" i="13"/>
  <c r="I40" i="13"/>
  <c r="H40" i="13"/>
  <c r="G40" i="13"/>
  <c r="R39" i="13"/>
  <c r="Q39" i="13"/>
  <c r="P39" i="13"/>
  <c r="O39" i="13"/>
  <c r="N39" i="13"/>
  <c r="N39" i="11" s="1"/>
  <c r="M39" i="13"/>
  <c r="L39" i="13"/>
  <c r="K39" i="13"/>
  <c r="J39" i="13"/>
  <c r="I39" i="13"/>
  <c r="H39" i="13"/>
  <c r="G39" i="13"/>
  <c r="R38" i="13"/>
  <c r="Q38" i="13"/>
  <c r="P38" i="13"/>
  <c r="O38" i="13"/>
  <c r="N38" i="13"/>
  <c r="N38" i="11" s="1"/>
  <c r="M38" i="13"/>
  <c r="L38" i="13"/>
  <c r="K38" i="13"/>
  <c r="J38" i="13"/>
  <c r="I38" i="13"/>
  <c r="H38" i="13"/>
  <c r="G38" i="13"/>
  <c r="R37" i="13"/>
  <c r="Q37" i="13"/>
  <c r="P37" i="13"/>
  <c r="O37" i="13"/>
  <c r="N37" i="13"/>
  <c r="N37" i="11" s="1"/>
  <c r="M37" i="13"/>
  <c r="L37" i="13"/>
  <c r="K37" i="13"/>
  <c r="J37" i="13"/>
  <c r="I37" i="13"/>
  <c r="H37" i="13"/>
  <c r="G37" i="13"/>
  <c r="R36" i="13"/>
  <c r="Q36" i="13"/>
  <c r="P36" i="13"/>
  <c r="O36" i="13"/>
  <c r="N36" i="13"/>
  <c r="N36" i="11" s="1"/>
  <c r="M36" i="13"/>
  <c r="L36" i="13"/>
  <c r="K36" i="13"/>
  <c r="J36" i="13"/>
  <c r="I36" i="13"/>
  <c r="H36" i="13"/>
  <c r="G36" i="13"/>
  <c r="R35" i="13"/>
  <c r="Q35" i="13"/>
  <c r="P35" i="13"/>
  <c r="O35" i="13"/>
  <c r="N35" i="13"/>
  <c r="N35" i="11" s="1"/>
  <c r="M35" i="13"/>
  <c r="L35" i="13"/>
  <c r="K35" i="13"/>
  <c r="J35" i="13"/>
  <c r="I35" i="13"/>
  <c r="H35" i="13"/>
  <c r="G35" i="13"/>
  <c r="R34" i="13"/>
  <c r="Q34" i="13"/>
  <c r="P34" i="13"/>
  <c r="O34" i="13"/>
  <c r="N34" i="13"/>
  <c r="N34" i="11" s="1"/>
  <c r="M34" i="13"/>
  <c r="L34" i="13"/>
  <c r="K34" i="13"/>
  <c r="J34" i="13"/>
  <c r="I34" i="13"/>
  <c r="H34" i="13"/>
  <c r="G34" i="13"/>
  <c r="R33" i="13"/>
  <c r="Q33" i="13"/>
  <c r="P33" i="13"/>
  <c r="O33" i="13"/>
  <c r="N33" i="13"/>
  <c r="N33" i="11" s="1"/>
  <c r="M33" i="13"/>
  <c r="L33" i="13"/>
  <c r="K33" i="13"/>
  <c r="J33" i="13"/>
  <c r="I33" i="13"/>
  <c r="H33" i="13"/>
  <c r="G33" i="13"/>
  <c r="R32" i="13"/>
  <c r="Q32" i="13"/>
  <c r="P32" i="13"/>
  <c r="O32" i="13"/>
  <c r="N32" i="13"/>
  <c r="N32" i="11" s="1"/>
  <c r="M32" i="13"/>
  <c r="L32" i="13"/>
  <c r="K32" i="13"/>
  <c r="J32" i="13"/>
  <c r="I32" i="13"/>
  <c r="H32" i="13"/>
  <c r="G32" i="13"/>
  <c r="R28" i="13"/>
  <c r="Q28" i="13"/>
  <c r="P28" i="13"/>
  <c r="O28" i="13"/>
  <c r="N28" i="13"/>
  <c r="N28" i="11" s="1"/>
  <c r="M28" i="13"/>
  <c r="L28" i="13"/>
  <c r="K28" i="13"/>
  <c r="J28" i="13"/>
  <c r="I28" i="13"/>
  <c r="H28" i="13"/>
  <c r="G28" i="13"/>
  <c r="R27" i="13"/>
  <c r="Q27" i="13"/>
  <c r="P27" i="13"/>
  <c r="O27" i="13"/>
  <c r="N27" i="13"/>
  <c r="N27" i="11" s="1"/>
  <c r="M27" i="13"/>
  <c r="L27" i="13"/>
  <c r="K27" i="13"/>
  <c r="J27" i="13"/>
  <c r="I27" i="13"/>
  <c r="H27" i="13"/>
  <c r="G27" i="13"/>
  <c r="R26" i="13"/>
  <c r="Q26" i="13"/>
  <c r="P26" i="13"/>
  <c r="O26" i="13"/>
  <c r="N26" i="13"/>
  <c r="N26" i="11" s="1"/>
  <c r="M26" i="13"/>
  <c r="L26" i="13"/>
  <c r="K26" i="13"/>
  <c r="J26" i="13"/>
  <c r="I26" i="13"/>
  <c r="H26" i="13"/>
  <c r="G26" i="13"/>
  <c r="R25" i="13"/>
  <c r="Q25" i="13"/>
  <c r="P25" i="13"/>
  <c r="O25" i="13"/>
  <c r="N25" i="13"/>
  <c r="N25" i="11" s="1"/>
  <c r="M25" i="13"/>
  <c r="K25" i="13"/>
  <c r="J25" i="13"/>
  <c r="I25" i="13"/>
  <c r="H25" i="13"/>
  <c r="G25" i="13"/>
  <c r="R24" i="13"/>
  <c r="Q24" i="13"/>
  <c r="P24" i="13"/>
  <c r="O24" i="13"/>
  <c r="N24" i="13"/>
  <c r="N24" i="11" s="1"/>
  <c r="M24" i="13"/>
  <c r="L24" i="13"/>
  <c r="K24" i="13"/>
  <c r="J24" i="13"/>
  <c r="I24" i="13"/>
  <c r="H24" i="13"/>
  <c r="G24" i="13"/>
  <c r="R23" i="13"/>
  <c r="Q23" i="13"/>
  <c r="P23" i="13"/>
  <c r="O23" i="13"/>
  <c r="N23" i="13"/>
  <c r="N23" i="11" s="1"/>
  <c r="M23" i="13"/>
  <c r="L23" i="13"/>
  <c r="K23" i="13"/>
  <c r="J23" i="13"/>
  <c r="I23" i="13"/>
  <c r="H23" i="13"/>
  <c r="G23" i="13"/>
  <c r="R22" i="13"/>
  <c r="Q22" i="13"/>
  <c r="P22" i="13"/>
  <c r="O22" i="13"/>
  <c r="N22" i="13"/>
  <c r="N22" i="11" s="1"/>
  <c r="M22" i="13"/>
  <c r="L22" i="13"/>
  <c r="K22" i="13"/>
  <c r="J22" i="13"/>
  <c r="I22" i="13"/>
  <c r="H22" i="13"/>
  <c r="G22" i="13"/>
  <c r="R21" i="13"/>
  <c r="Q21" i="13"/>
  <c r="P21" i="13"/>
  <c r="O21" i="13"/>
  <c r="N21" i="13"/>
  <c r="N21" i="11" s="1"/>
  <c r="M21" i="13"/>
  <c r="L21" i="13"/>
  <c r="K21" i="13"/>
  <c r="J21" i="13"/>
  <c r="I21" i="13"/>
  <c r="H21" i="13"/>
  <c r="G21" i="13"/>
  <c r="R20" i="13"/>
  <c r="Q20" i="13"/>
  <c r="P20" i="13"/>
  <c r="O20" i="13"/>
  <c r="N20" i="13"/>
  <c r="N20" i="11" s="1"/>
  <c r="M20" i="13"/>
  <c r="L20" i="13"/>
  <c r="K20" i="13"/>
  <c r="J20" i="13"/>
  <c r="I20" i="13"/>
  <c r="H20" i="13"/>
  <c r="G20" i="13"/>
  <c r="R19" i="13"/>
  <c r="Q19" i="13"/>
  <c r="P19" i="13"/>
  <c r="O19" i="13"/>
  <c r="N19" i="13"/>
  <c r="N19" i="11" s="1"/>
  <c r="M19" i="13"/>
  <c r="L19" i="13"/>
  <c r="K19" i="13"/>
  <c r="J19" i="13"/>
  <c r="I19" i="13"/>
  <c r="H19" i="13"/>
  <c r="G19" i="13"/>
  <c r="R18" i="13"/>
  <c r="Q18" i="13"/>
  <c r="P18" i="13"/>
  <c r="O18" i="13"/>
  <c r="N18" i="13"/>
  <c r="N18" i="11" s="1"/>
  <c r="M18" i="13"/>
  <c r="L18" i="13"/>
  <c r="K18" i="13"/>
  <c r="J18" i="13"/>
  <c r="I18" i="13"/>
  <c r="H18" i="13"/>
  <c r="G18" i="13"/>
  <c r="R17" i="13"/>
  <c r="Q17" i="13"/>
  <c r="P17" i="13"/>
  <c r="O17" i="13"/>
  <c r="N17" i="13"/>
  <c r="N17" i="11" s="1"/>
  <c r="M17" i="13"/>
  <c r="L17" i="13"/>
  <c r="K17" i="13"/>
  <c r="J17" i="13"/>
  <c r="I17" i="13"/>
  <c r="H17" i="13"/>
  <c r="G17" i="13"/>
  <c r="R16" i="13"/>
  <c r="Q16" i="13"/>
  <c r="P16" i="13"/>
  <c r="O16" i="13"/>
  <c r="N16" i="13"/>
  <c r="N16" i="11" s="1"/>
  <c r="M16" i="13"/>
  <c r="L16" i="13"/>
  <c r="K16" i="13"/>
  <c r="J16" i="13"/>
  <c r="I16" i="13"/>
  <c r="H16" i="13"/>
  <c r="G16" i="13"/>
  <c r="R15" i="13"/>
  <c r="Q15" i="13"/>
  <c r="P15" i="13"/>
  <c r="O15" i="13"/>
  <c r="N15" i="13"/>
  <c r="N15" i="11" s="1"/>
  <c r="M15" i="13"/>
  <c r="L15" i="13"/>
  <c r="K15" i="13"/>
  <c r="J15" i="13"/>
  <c r="I15" i="13"/>
  <c r="H15" i="13"/>
  <c r="G15" i="13"/>
  <c r="R14" i="13"/>
  <c r="Q14" i="13"/>
  <c r="P14" i="13"/>
  <c r="O14" i="13"/>
  <c r="N14" i="13"/>
  <c r="N14" i="11" s="1"/>
  <c r="M14" i="13"/>
  <c r="L14" i="13"/>
  <c r="K14" i="13"/>
  <c r="J14" i="13"/>
  <c r="I14" i="13"/>
  <c r="H14" i="13"/>
  <c r="G14" i="13"/>
  <c r="R13" i="13"/>
  <c r="Q13" i="13"/>
  <c r="P13" i="13"/>
  <c r="O13" i="13"/>
  <c r="N13" i="13"/>
  <c r="N13" i="11" s="1"/>
  <c r="M13" i="13"/>
  <c r="L13" i="13"/>
  <c r="K13" i="13"/>
  <c r="J13" i="13"/>
  <c r="I13" i="13"/>
  <c r="H13" i="13"/>
  <c r="G13" i="13"/>
  <c r="R12" i="13"/>
  <c r="Q12" i="13"/>
  <c r="P12" i="13"/>
  <c r="O12" i="13"/>
  <c r="N12" i="13"/>
  <c r="N12" i="11" s="1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28" i="11" l="1"/>
  <c r="T64" i="11"/>
  <c r="S64" i="11"/>
  <c r="T65" i="11"/>
  <c r="S65" i="11"/>
  <c r="T66" i="11"/>
  <c r="S66" i="11"/>
  <c r="G12" i="11"/>
  <c r="G26" i="11"/>
  <c r="G27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O57" i="13"/>
  <c r="H57" i="13"/>
  <c r="L57" i="13"/>
  <c r="P57" i="13"/>
  <c r="S58" i="13"/>
  <c r="T58" i="13" s="1"/>
  <c r="J57" i="13"/>
  <c r="N57" i="13"/>
  <c r="N57" i="11" s="1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J31" i="13"/>
  <c r="N31" i="13"/>
  <c r="N31" i="11" s="1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O10" i="13" s="1"/>
  <c r="I11" i="13"/>
  <c r="M11" i="13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N42" i="11" s="1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N10" i="13" l="1"/>
  <c r="N10" i="11" s="1"/>
  <c r="N11" i="11"/>
  <c r="G31" i="11"/>
  <c r="M10" i="13"/>
  <c r="L10" i="13"/>
  <c r="K10" i="13"/>
  <c r="J10" i="13"/>
  <c r="I10" i="13"/>
  <c r="G11" i="11"/>
  <c r="G57" i="11"/>
  <c r="G42" i="11"/>
  <c r="H10" i="13"/>
  <c r="L29" i="13"/>
  <c r="P29" i="13"/>
  <c r="P30" i="13" s="1"/>
  <c r="G29" i="13"/>
  <c r="O29" i="13"/>
  <c r="O30" i="13" s="1"/>
  <c r="N29" i="13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N55" i="13" l="1"/>
  <c r="N55" i="11" s="1"/>
  <c r="N29" i="11"/>
  <c r="L30" i="13"/>
  <c r="J30" i="13"/>
  <c r="G10" i="11"/>
  <c r="I30" i="13"/>
  <c r="G30" i="13"/>
  <c r="G29" i="11"/>
  <c r="G124" i="13"/>
  <c r="P55" i="13"/>
  <c r="N30" i="13"/>
  <c r="N30" i="11" s="1"/>
  <c r="L55" i="13"/>
  <c r="H31" i="11"/>
  <c r="H19" i="11"/>
  <c r="H11" i="11"/>
  <c r="O55" i="13"/>
  <c r="O61" i="13" s="1"/>
  <c r="J55" i="13"/>
  <c r="J61" i="13" s="1"/>
  <c r="I55" i="13"/>
  <c r="I61" i="13" s="1"/>
  <c r="S137" i="13"/>
  <c r="T137" i="13" s="1"/>
  <c r="H42" i="11"/>
  <c r="R55" i="13"/>
  <c r="H55" i="13"/>
  <c r="S29" i="13"/>
  <c r="T29" i="13" s="1"/>
  <c r="K30" i="13"/>
  <c r="K55" i="13"/>
  <c r="Q30" i="13"/>
  <c r="Q55" i="13"/>
  <c r="Q61" i="13" s="1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N56" i="13" l="1"/>
  <c r="N56" i="11" s="1"/>
  <c r="N61" i="13"/>
  <c r="M61" i="13"/>
  <c r="H61" i="13"/>
  <c r="H66" i="13" s="1"/>
  <c r="H62" i="13" s="1"/>
  <c r="R61" i="13"/>
  <c r="R66" i="13" s="1"/>
  <c r="R62" i="13" s="1"/>
  <c r="L61" i="13"/>
  <c r="K61" i="13"/>
  <c r="P56" i="13"/>
  <c r="P61" i="13"/>
  <c r="P66" i="13" s="1"/>
  <c r="P62" i="13" s="1"/>
  <c r="G30" i="11"/>
  <c r="I56" i="13"/>
  <c r="H10" i="11"/>
  <c r="G55" i="11"/>
  <c r="L56" i="13"/>
  <c r="O66" i="13"/>
  <c r="O62" i="13" s="1"/>
  <c r="O56" i="13"/>
  <c r="J56" i="13"/>
  <c r="R56" i="13"/>
  <c r="H56" i="13"/>
  <c r="S30" i="13"/>
  <c r="T30" i="13" s="1"/>
  <c r="Q56" i="13"/>
  <c r="Q66" i="13"/>
  <c r="Q62" i="13" s="1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N66" i="13" l="1"/>
  <c r="N62" i="11"/>
  <c r="M66" i="13"/>
  <c r="M62" i="13" s="1"/>
  <c r="L66" i="13"/>
  <c r="K66" i="13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I144" i="12" s="1"/>
  <c r="A143" i="12"/>
  <c r="A142" i="12"/>
  <c r="A141" i="12"/>
  <c r="A140" i="12"/>
  <c r="A139" i="12"/>
  <c r="A138" i="12"/>
  <c r="A137" i="12"/>
  <c r="A136" i="12"/>
  <c r="O136" i="12" s="1"/>
  <c r="A135" i="12"/>
  <c r="A134" i="12"/>
  <c r="A133" i="12"/>
  <c r="A132" i="12"/>
  <c r="A131" i="12"/>
  <c r="A130" i="12"/>
  <c r="A129" i="12"/>
  <c r="A128" i="12"/>
  <c r="J128" i="12" s="1"/>
  <c r="A127" i="12"/>
  <c r="A126" i="12"/>
  <c r="A125" i="12"/>
  <c r="A124" i="12"/>
  <c r="A123" i="12"/>
  <c r="A122" i="12"/>
  <c r="A121" i="12"/>
  <c r="A120" i="12"/>
  <c r="L120" i="12" s="1"/>
  <c r="A119" i="12"/>
  <c r="A118" i="12"/>
  <c r="A117" i="12"/>
  <c r="A116" i="12"/>
  <c r="M116" i="12" s="1"/>
  <c r="A115" i="12"/>
  <c r="A114" i="12"/>
  <c r="A113" i="12"/>
  <c r="A112" i="12"/>
  <c r="J112" i="12" s="1"/>
  <c r="A111" i="12"/>
  <c r="A110" i="12"/>
  <c r="A109" i="12"/>
  <c r="A108" i="12"/>
  <c r="G108" i="12" s="1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1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1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 s="1"/>
  <c r="P8" i="11" s="1"/>
  <c r="S8" i="11" s="1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 s="1"/>
  <c r="H103" i="13" s="1"/>
  <c r="G229" i="2"/>
  <c r="G8" i="13" s="1"/>
  <c r="G103" i="13" s="1"/>
  <c r="G228" i="2"/>
  <c r="G227" i="2"/>
  <c r="G225" i="2"/>
  <c r="B54" i="13" s="1"/>
  <c r="G223" i="2"/>
  <c r="B66" i="12" s="1"/>
  <c r="G222" i="2"/>
  <c r="G221" i="2"/>
  <c r="B62" i="12" s="1"/>
  <c r="G220" i="2"/>
  <c r="B61" i="12" s="1"/>
  <c r="G219" i="2"/>
  <c r="G218" i="2"/>
  <c r="B57" i="12" s="1"/>
  <c r="G217" i="2"/>
  <c r="B55" i="12" s="1"/>
  <c r="G215" i="2"/>
  <c r="G214" i="2"/>
  <c r="G213" i="2"/>
  <c r="G212" i="2"/>
  <c r="B51" i="12" s="1"/>
  <c r="G211" i="2"/>
  <c r="B154" i="12" s="1"/>
  <c r="G210" i="2"/>
  <c r="G209" i="2"/>
  <c r="G208" i="2"/>
  <c r="B52" i="12" s="1"/>
  <c r="G207" i="2"/>
  <c r="B60" i="12" s="1"/>
  <c r="G206" i="2"/>
  <c r="B59" i="12" s="1"/>
  <c r="G205" i="2"/>
  <c r="G204" i="2"/>
  <c r="B58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4" i="12" s="1"/>
  <c r="G75" i="2"/>
  <c r="B63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5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B22" i="8" s="1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8" i="3" s="1"/>
  <c r="N8" i="3" s="1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E2" i="3" s="1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Q386" i="6" s="1"/>
  <c r="DP390" i="6"/>
  <c r="DO390" i="6"/>
  <c r="DN390" i="6"/>
  <c r="DM390" i="6"/>
  <c r="DL390" i="6"/>
  <c r="DK390" i="6"/>
  <c r="DJ390" i="6"/>
  <c r="DI390" i="6"/>
  <c r="DI386" i="6" s="1"/>
  <c r="DH390" i="6"/>
  <c r="DG390" i="6"/>
  <c r="DF390" i="6"/>
  <c r="DE390" i="6"/>
  <c r="DE386" i="6" s="1"/>
  <c r="DD390" i="6"/>
  <c r="DC390" i="6"/>
  <c r="DB390" i="6"/>
  <c r="DA390" i="6"/>
  <c r="DA386" i="6" s="1"/>
  <c r="CZ390" i="6"/>
  <c r="CY390" i="6"/>
  <c r="CX390" i="6"/>
  <c r="CW390" i="6"/>
  <c r="CW386" i="6" s="1"/>
  <c r="CV390" i="6"/>
  <c r="CU390" i="6"/>
  <c r="CT390" i="6"/>
  <c r="CS390" i="6"/>
  <c r="CS386" i="6" s="1"/>
  <c r="CS387" i="6"/>
  <c r="CR390" i="6"/>
  <c r="CQ390" i="6"/>
  <c r="CP390" i="6"/>
  <c r="CP386" i="6" s="1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O350" i="6" s="1"/>
  <c r="DN361" i="6"/>
  <c r="DM361" i="6"/>
  <c r="DL361" i="6"/>
  <c r="DK361" i="6"/>
  <c r="DK350" i="6" s="1"/>
  <c r="DJ361" i="6"/>
  <c r="DI361" i="6"/>
  <c r="DH361" i="6"/>
  <c r="DG361" i="6"/>
  <c r="DG350" i="6" s="1"/>
  <c r="DF361" i="6"/>
  <c r="DE361" i="6"/>
  <c r="DD361" i="6"/>
  <c r="DC361" i="6"/>
  <c r="DC350" i="6" s="1"/>
  <c r="DB361" i="6"/>
  <c r="DA361" i="6"/>
  <c r="CZ361" i="6"/>
  <c r="CY361" i="6"/>
  <c r="CY350" i="6" s="1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0" i="6" s="1"/>
  <c r="CL361" i="6"/>
  <c r="D361" i="6"/>
  <c r="D360" i="6"/>
  <c r="D359" i="6"/>
  <c r="D358" i="6"/>
  <c r="D357" i="6"/>
  <c r="D356" i="6"/>
  <c r="D355" i="6"/>
  <c r="D354" i="6"/>
  <c r="D353" i="6"/>
  <c r="D352" i="6"/>
  <c r="DU351" i="6"/>
  <c r="DU350" i="6" s="1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U321" i="6" s="1"/>
  <c r="DT346" i="6"/>
  <c r="DS346" i="6"/>
  <c r="DR346" i="6"/>
  <c r="DQ346" i="6"/>
  <c r="DQ321" i="6" s="1"/>
  <c r="DP346" i="6"/>
  <c r="DO346" i="6"/>
  <c r="DN346" i="6"/>
  <c r="DM346" i="6"/>
  <c r="DM321" i="6" s="1"/>
  <c r="DL346" i="6"/>
  <c r="DK346" i="6"/>
  <c r="DJ346" i="6"/>
  <c r="DI346" i="6"/>
  <c r="DI321" i="6" s="1"/>
  <c r="DH346" i="6"/>
  <c r="DG346" i="6"/>
  <c r="DF346" i="6"/>
  <c r="DE346" i="6"/>
  <c r="DE321" i="6" s="1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Y321" i="6" s="1"/>
  <c r="CX344" i="6"/>
  <c r="CW344" i="6"/>
  <c r="CV344" i="6"/>
  <c r="CU344" i="6"/>
  <c r="CU321" i="6" s="1"/>
  <c r="CT344" i="6"/>
  <c r="CS344" i="6"/>
  <c r="CR344" i="6"/>
  <c r="CQ344" i="6"/>
  <c r="CQ321" i="6" s="1"/>
  <c r="CP344" i="6"/>
  <c r="CO344" i="6"/>
  <c r="CN344" i="6"/>
  <c r="CM344" i="6"/>
  <c r="CM321" i="6" s="1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 s="1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S321" i="6" s="1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G321" i="6" s="1"/>
  <c r="DF330" i="6"/>
  <c r="DE330" i="6"/>
  <c r="DD330" i="6"/>
  <c r="DB330" i="6"/>
  <c r="DA330" i="6"/>
  <c r="CZ330" i="6"/>
  <c r="CY330" i="6"/>
  <c r="CX330" i="6"/>
  <c r="CX321" i="6" s="1"/>
  <c r="CW330" i="6"/>
  <c r="CV330" i="6"/>
  <c r="CU330" i="6"/>
  <c r="CT330" i="6"/>
  <c r="CT321" i="6" s="1"/>
  <c r="CS330" i="6"/>
  <c r="CR330" i="6"/>
  <c r="CQ330" i="6"/>
  <c r="CP330" i="6"/>
  <c r="CP321" i="6" s="1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R321" i="6" s="1"/>
  <c r="DQ322" i="6"/>
  <c r="DP322" i="6"/>
  <c r="DO322" i="6"/>
  <c r="DN322" i="6"/>
  <c r="DN321" i="6" s="1"/>
  <c r="DM322" i="6"/>
  <c r="DL322" i="6"/>
  <c r="DK322" i="6"/>
  <c r="DJ322" i="6"/>
  <c r="DJ321" i="6" s="1"/>
  <c r="DI322" i="6"/>
  <c r="DH322" i="6"/>
  <c r="DG322" i="6"/>
  <c r="DF322" i="6"/>
  <c r="DF321" i="6" s="1"/>
  <c r="DE322" i="6"/>
  <c r="DD322" i="6"/>
  <c r="DB322" i="6"/>
  <c r="DA322" i="6"/>
  <c r="DA321" i="6" s="1"/>
  <c r="CZ322" i="6"/>
  <c r="CY322" i="6"/>
  <c r="CX322" i="6"/>
  <c r="CW322" i="6"/>
  <c r="CW321" i="6" s="1"/>
  <c r="CV322" i="6"/>
  <c r="CU322" i="6"/>
  <c r="CT322" i="6"/>
  <c r="CS322" i="6"/>
  <c r="CS321" i="6" s="1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J264" i="6" s="1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5" i="6" s="1"/>
  <c r="DH4" i="6" s="1"/>
  <c r="DH28" i="6"/>
  <c r="DH35" i="6"/>
  <c r="DH43" i="6"/>
  <c r="DH46" i="6"/>
  <c r="DG23" i="6"/>
  <c r="DG28" i="6"/>
  <c r="DG35" i="6"/>
  <c r="DG43" i="6"/>
  <c r="DG5" i="6" s="1"/>
  <c r="DG4" i="6" s="1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5" i="6" s="1"/>
  <c r="CZ4" i="6" s="1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H112" i="4" s="1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K108" i="10" s="1"/>
  <c r="A109" i="10"/>
  <c r="A110" i="10"/>
  <c r="A111" i="10"/>
  <c r="M111" i="10" s="1"/>
  <c r="A112" i="10"/>
  <c r="N112" i="10" s="1"/>
  <c r="A113" i="10"/>
  <c r="A115" i="10"/>
  <c r="A116" i="10"/>
  <c r="K116" i="10" s="1"/>
  <c r="A117" i="10"/>
  <c r="O117" i="10" s="1"/>
  <c r="A118" i="10"/>
  <c r="A119" i="10"/>
  <c r="B119" i="10" s="1"/>
  <c r="A120" i="10"/>
  <c r="H120" i="10" s="1"/>
  <c r="A121" i="10"/>
  <c r="P121" i="10" s="1"/>
  <c r="A122" i="10"/>
  <c r="A123" i="10"/>
  <c r="A127" i="10"/>
  <c r="A128" i="10"/>
  <c r="L128" i="10" s="1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A136" i="10"/>
  <c r="A138" i="10"/>
  <c r="L138" i="10" s="1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32" i="11"/>
  <c r="B27" i="11"/>
  <c r="B15" i="11"/>
  <c r="B12" i="11"/>
  <c r="E4" i="11"/>
  <c r="E3" i="11"/>
  <c r="H21" i="1"/>
  <c r="D17" i="1"/>
  <c r="D21" i="1" s="1"/>
  <c r="H17" i="1"/>
  <c r="H13" i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S32" i="4"/>
  <c r="T32" i="4" s="1"/>
  <c r="S35" i="4"/>
  <c r="T35" i="4" s="1"/>
  <c r="S13" i="4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H14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1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H117" i="10"/>
  <c r="M112" i="10"/>
  <c r="K112" i="10"/>
  <c r="Q110" i="10"/>
  <c r="Q109" i="10"/>
  <c r="Q116" i="10"/>
  <c r="I145" i="10"/>
  <c r="I107" i="10"/>
  <c r="I120" i="10"/>
  <c r="I117" i="10"/>
  <c r="I113" i="10"/>
  <c r="L130" i="10"/>
  <c r="Q108" i="10"/>
  <c r="Q107" i="10"/>
  <c r="B151" i="10"/>
  <c r="N144" i="10"/>
  <c r="Q135" i="10"/>
  <c r="H133" i="10"/>
  <c r="B115" i="10"/>
  <c r="J115" i="10"/>
  <c r="N115" i="10"/>
  <c r="R115" i="10"/>
  <c r="L115" i="10"/>
  <c r="P115" i="10"/>
  <c r="R111" i="10"/>
  <c r="I111" i="10"/>
  <c r="B153" i="10"/>
  <c r="P153" i="10"/>
  <c r="H153" i="10"/>
  <c r="O122" i="10"/>
  <c r="G122" i="10"/>
  <c r="P118" i="10"/>
  <c r="Q118" i="10"/>
  <c r="G118" i="10"/>
  <c r="N118" i="10"/>
  <c r="Q132" i="10"/>
  <c r="P130" i="10"/>
  <c r="I157" i="10"/>
  <c r="K120" i="12"/>
  <c r="P121" i="12"/>
  <c r="H115" i="12"/>
  <c r="H110" i="12"/>
  <c r="R158" i="12"/>
  <c r="J140" i="12"/>
  <c r="Q153" i="12"/>
  <c r="L123" i="12"/>
  <c r="H154" i="12"/>
  <c r="P122" i="12"/>
  <c r="L121" i="12"/>
  <c r="L117" i="12"/>
  <c r="P113" i="12"/>
  <c r="H111" i="12"/>
  <c r="P109" i="12"/>
  <c r="B158" i="12"/>
  <c r="M140" i="12"/>
  <c r="B153" i="12"/>
  <c r="B127" i="4"/>
  <c r="B116" i="4" l="1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N63" i="11" s="1"/>
  <c r="N67" i="11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2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I114" i="9" s="1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N105" i="9" s="1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S62" i="11"/>
  <c r="T62" i="11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7" i="2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4" i="2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1" i="2"/>
  <c r="G251" i="2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N114" i="9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P114" i="4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32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 s="1"/>
  <c r="S66" i="13"/>
  <c r="T66" i="13" s="1"/>
  <c r="G62" i="13"/>
  <c r="Q115" i="8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S11" i="8"/>
  <c r="S10" i="8" s="1"/>
  <c r="CU191" i="6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H114" i="10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K115" i="8"/>
  <c r="P115" i="8"/>
  <c r="M114" i="9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G106" i="12"/>
  <c r="J114" i="10"/>
  <c r="S34" i="10"/>
  <c r="T34" i="10" s="1"/>
  <c r="J32" i="11"/>
  <c r="L114" i="12"/>
  <c r="I54" i="11"/>
  <c r="J54" i="11"/>
  <c r="I45" i="11"/>
  <c r="N13" i="8"/>
  <c r="R114" i="4" l="1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I114" i="10"/>
  <c r="S117" i="10"/>
  <c r="T117" i="10" s="1"/>
  <c r="K114" i="10"/>
  <c r="L106" i="10"/>
  <c r="O150" i="10"/>
  <c r="L151" i="12"/>
  <c r="J106" i="10"/>
  <c r="J105" i="10" s="1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Q105" i="10" s="1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M104" i="9" s="1"/>
  <c r="I105" i="9"/>
  <c r="I104" i="9" s="1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P105" i="8" s="1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P104" i="9" s="1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9" i="11"/>
  <c r="P19" i="11" s="1"/>
  <c r="O10" i="11"/>
  <c r="O151" i="8"/>
  <c r="H138" i="8"/>
  <c r="J105" i="9"/>
  <c r="O29" i="10"/>
  <c r="O30" i="10" s="1"/>
  <c r="G137" i="4"/>
  <c r="G106" i="10"/>
  <c r="L114" i="4"/>
  <c r="L104" i="4" s="1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P104" i="4" s="1"/>
  <c r="L105" i="9"/>
  <c r="L104" i="9" s="1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K105" i="8" s="1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M105" i="8" s="1"/>
  <c r="O105" i="9"/>
  <c r="O104" i="9" s="1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K125" i="8" s="1"/>
  <c r="K126" i="8" s="1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G124" i="12" s="1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O124" i="10" s="1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24" i="9" s="1"/>
  <c r="O125" i="9" s="1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7" i="11"/>
  <c r="T67" i="11"/>
  <c r="T63" i="11"/>
  <c r="S63" i="11"/>
  <c r="O51" i="11"/>
  <c r="Q51" i="11" s="1"/>
  <c r="O42" i="11"/>
  <c r="Q42" i="11" s="1"/>
  <c r="O41" i="11"/>
  <c r="Q41" i="11" s="1"/>
  <c r="O16" i="11"/>
  <c r="Q16" i="11" s="1"/>
  <c r="O43" i="11"/>
  <c r="P43" i="11" s="1"/>
  <c r="O22" i="11"/>
  <c r="P22" i="11" s="1"/>
  <c r="O21" i="11"/>
  <c r="P21" i="11" s="1"/>
  <c r="O15" i="11"/>
  <c r="P15" i="11" s="1"/>
  <c r="O47" i="11"/>
  <c r="Q47" i="11" s="1"/>
  <c r="O48" i="11"/>
  <c r="Q48" i="11" s="1"/>
  <c r="O35" i="11"/>
  <c r="P35" i="11" s="1"/>
  <c r="O58" i="11"/>
  <c r="Q58" i="11" s="1"/>
  <c r="O38" i="11"/>
  <c r="Q38" i="11" s="1"/>
  <c r="O18" i="11"/>
  <c r="Q18" i="11" s="1"/>
  <c r="O39" i="11"/>
  <c r="P39" i="11" s="1"/>
  <c r="O11" i="11"/>
  <c r="P11" i="11" s="1"/>
  <c r="O37" i="11"/>
  <c r="Q37" i="11" s="1"/>
  <c r="O17" i="11"/>
  <c r="P17" i="11" s="1"/>
  <c r="O44" i="11"/>
  <c r="Q44" i="11" s="1"/>
  <c r="O28" i="11"/>
  <c r="P28" i="11" s="1"/>
  <c r="O12" i="11"/>
  <c r="Q12" i="11" s="1"/>
  <c r="O27" i="11"/>
  <c r="Q27" i="11" s="1"/>
  <c r="O50" i="11"/>
  <c r="P50" i="11" s="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P23" i="11" s="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G63" i="11"/>
  <c r="O64" i="11"/>
  <c r="O66" i="11"/>
  <c r="O65" i="1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H58" i="11"/>
  <c r="H59" i="11"/>
  <c r="I59" i="11" s="1"/>
  <c r="H60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N104" i="9"/>
  <c r="Q30" i="9"/>
  <c r="Q31" i="9" s="1"/>
  <c r="R29" i="12"/>
  <c r="R30" i="12" s="1"/>
  <c r="W12" i="8"/>
  <c r="X12" i="8" s="1"/>
  <c r="K55" i="4"/>
  <c r="K60" i="4" s="1"/>
  <c r="S11" i="10"/>
  <c r="T11" i="10" s="1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105" i="12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T27" i="11"/>
  <c r="T49" i="11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Q104" i="4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I105" i="12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Q20" i="11"/>
  <c r="T36" i="11"/>
  <c r="T20" i="11"/>
  <c r="J15" i="11"/>
  <c r="S50" i="11"/>
  <c r="M43" i="11"/>
  <c r="S40" i="11"/>
  <c r="P2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T50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R105" i="10"/>
  <c r="S23" i="11"/>
  <c r="M53" i="11"/>
  <c r="H105" i="10"/>
  <c r="S58" i="11"/>
  <c r="M64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P53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Q53" i="1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T22" i="11"/>
  <c r="S38" i="11"/>
  <c r="J46" i="11"/>
  <c r="L26" i="11"/>
  <c r="M39" i="11"/>
  <c r="J47" i="11"/>
  <c r="M66" i="11"/>
  <c r="S25" i="11"/>
  <c r="T44" i="11"/>
  <c r="G7" i="11"/>
  <c r="K8" i="11"/>
  <c r="K8" i="3"/>
  <c r="S8" i="12"/>
  <c r="S8" i="9"/>
  <c r="E252" i="2"/>
  <c r="F252" i="2"/>
  <c r="L48" i="11"/>
  <c r="I26" i="11"/>
  <c r="L34" i="11"/>
  <c r="T26" i="11"/>
  <c r="T54" i="11"/>
  <c r="P105" i="12"/>
  <c r="L65" i="11"/>
  <c r="S58" i="12"/>
  <c r="T58" i="12" s="1"/>
  <c r="J27" i="11"/>
  <c r="J34" i="11"/>
  <c r="I28" i="11"/>
  <c r="I34" i="11"/>
  <c r="J53" i="11"/>
  <c r="M51" i="11"/>
  <c r="I35" i="11"/>
  <c r="L33" i="11"/>
  <c r="I17" i="11"/>
  <c r="L66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R104" i="4" l="1"/>
  <c r="J105" i="12"/>
  <c r="N105" i="12"/>
  <c r="K104" i="4"/>
  <c r="O105" i="12"/>
  <c r="R105" i="12"/>
  <c r="U105" i="8"/>
  <c r="H105" i="12"/>
  <c r="S114" i="12"/>
  <c r="T114" i="12" s="1"/>
  <c r="H104" i="9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48" i="10" s="1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4" i="11"/>
  <c r="Q64" i="11"/>
  <c r="P65" i="11"/>
  <c r="Q65" i="11"/>
  <c r="P66" i="11"/>
  <c r="Q66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I21" i="1"/>
  <c r="I13" i="1"/>
  <c r="E17" i="1"/>
  <c r="E21" i="1" s="1"/>
  <c r="I17" i="1"/>
  <c r="L31" i="9"/>
  <c r="S56" i="8"/>
  <c r="S61" i="8" s="1"/>
  <c r="S66" i="8" s="1"/>
  <c r="S62" i="8" s="1"/>
  <c r="S31" i="8"/>
  <c r="CV192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P148" i="9"/>
  <c r="P154" i="9" s="1"/>
  <c r="P159" i="9" s="1"/>
  <c r="P155" i="9" s="1"/>
  <c r="N55" i="10"/>
  <c r="N61" i="10" s="1"/>
  <c r="R55" i="10"/>
  <c r="G149" i="12"/>
  <c r="G150" i="12" s="1"/>
  <c r="J54" i="9"/>
  <c r="J55" i="9" s="1"/>
  <c r="M55" i="10"/>
  <c r="M61" i="10" s="1"/>
  <c r="M54" i="9"/>
  <c r="M55" i="9" s="1"/>
  <c r="O148" i="9"/>
  <c r="O149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H148" i="9"/>
  <c r="H149" i="9" s="1"/>
  <c r="S57" i="11"/>
  <c r="M10" i="11"/>
  <c r="S10" i="11"/>
  <c r="G30" i="12"/>
  <c r="S29" i="11"/>
  <c r="G252" i="2"/>
  <c r="B7" i="11" s="1"/>
  <c r="S126" i="4"/>
  <c r="T126" i="4" s="1"/>
  <c r="I30" i="12"/>
  <c r="G125" i="12"/>
  <c r="Q19" i="11"/>
  <c r="P149" i="8"/>
  <c r="P150" i="8" s="1"/>
  <c r="J148" i="10"/>
  <c r="J149" i="10" s="1"/>
  <c r="P42" i="11"/>
  <c r="H16" i="1"/>
  <c r="I16" i="1" s="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O125" i="10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J149" i="12"/>
  <c r="K148" i="10" l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O30" i="11"/>
  <c r="P30" i="11" s="1"/>
  <c r="S57" i="8"/>
  <c r="S31" i="9"/>
  <c r="T31" i="9" s="1"/>
  <c r="O55" i="11"/>
  <c r="H55" i="11"/>
  <c r="CU193" i="6"/>
  <c r="I57" i="11"/>
  <c r="K150" i="8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P149" i="9"/>
  <c r="G155" i="12"/>
  <c r="G160" i="12" s="1"/>
  <c r="G156" i="12" s="1"/>
  <c r="O154" i="9"/>
  <c r="O159" i="9" s="1"/>
  <c r="O155" i="9" s="1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K150" i="12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L154" i="10"/>
  <c r="L159" i="10" s="1"/>
  <c r="L155" i="10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S148" i="4"/>
  <c r="T148" i="4" s="1"/>
  <c r="N149" i="4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G154" i="4"/>
  <c r="S154" i="4" s="1"/>
  <c r="T154" i="4" s="1"/>
  <c r="M29" i="11"/>
  <c r="T29" i="11"/>
  <c r="L29" i="11"/>
  <c r="S55" i="12"/>
  <c r="T55" i="12" s="1"/>
  <c r="S30" i="10"/>
  <c r="T30" i="10" s="1"/>
  <c r="I149" i="10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H12" i="1"/>
  <c r="I12" i="1" s="1"/>
  <c r="Q29" i="11"/>
  <c r="M154" i="10"/>
  <c r="M159" i="10" s="1"/>
  <c r="M155" i="10" s="1"/>
  <c r="M149" i="10"/>
  <c r="K149" i="10"/>
  <c r="K154" i="10"/>
  <c r="K159" i="10" s="1"/>
  <c r="K155" i="10" s="1"/>
  <c r="O66" i="12"/>
  <c r="D20" i="1"/>
  <c r="E20" i="1" s="1"/>
  <c r="H155" i="12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S56" i="12" l="1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O56" i="11"/>
  <c r="P56" i="11" s="1"/>
  <c r="H56" i="11"/>
  <c r="O62" i="11"/>
  <c r="H62" i="11"/>
  <c r="I55" i="11"/>
  <c r="S150" i="13"/>
  <c r="T150" i="13" s="1"/>
  <c r="H161" i="13"/>
  <c r="O67" i="11" s="1"/>
  <c r="S156" i="13"/>
  <c r="T156" i="13" s="1"/>
  <c r="S57" i="10"/>
  <c r="T57" i="10" s="1"/>
  <c r="G65" i="9"/>
  <c r="S60" i="9"/>
  <c r="T60" i="9" s="1"/>
  <c r="G159" i="4"/>
  <c r="G155" i="4" s="1"/>
  <c r="S155" i="4" s="1"/>
  <c r="T155" i="4" s="1"/>
  <c r="M30" i="11"/>
  <c r="S57" i="12"/>
  <c r="T57" i="12" s="1"/>
  <c r="L56" i="11"/>
  <c r="G66" i="12"/>
  <c r="L62" i="1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H160" i="12"/>
  <c r="T56" i="12" l="1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7" i="11"/>
  <c r="P67" i="11"/>
  <c r="P62" i="11"/>
  <c r="Q62" i="1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L67" i="11"/>
  <c r="G62" i="12"/>
  <c r="S66" i="12"/>
  <c r="S56" i="11"/>
  <c r="T56" i="11"/>
  <c r="M56" i="11"/>
  <c r="G66" i="8"/>
  <c r="W61" i="8"/>
  <c r="X61" i="8" s="1"/>
  <c r="Q56" i="11"/>
  <c r="P156" i="12"/>
  <c r="H156" i="12"/>
  <c r="S160" i="12"/>
  <c r="T160" i="12" s="1"/>
  <c r="I56" i="11"/>
  <c r="J56" i="11"/>
  <c r="J62" i="11"/>
  <c r="I62" i="11"/>
  <c r="T66" i="12" l="1"/>
  <c r="S62" i="12"/>
  <c r="T62" i="12" s="1"/>
  <c r="G156" i="8"/>
  <c r="W156" i="8" s="1"/>
  <c r="X156" i="8" s="1"/>
  <c r="Q63" i="11"/>
  <c r="P63" i="11"/>
  <c r="S157" i="13"/>
  <c r="T157" i="13" s="1"/>
  <c r="H63" i="11"/>
  <c r="M63" i="11"/>
  <c r="G62" i="8"/>
  <c r="W62" i="8" s="1"/>
  <c r="X62" i="8" s="1"/>
  <c r="W66" i="8"/>
  <c r="X66" i="8" s="1"/>
  <c r="S156" i="12"/>
  <c r="T156" i="12" s="1"/>
  <c r="L63" i="11" l="1"/>
  <c r="J63" i="11"/>
  <c r="I63" i="1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<sst xmlns="http://schemas.openxmlformats.org/spreadsheetml/2006/main" count="1534" uniqueCount="779">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</sst>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5040"/>
        <c:axId val="23825584"/>
      </c:lineChart>
      <c:catAx>
        <c:axId val="23825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23825584"/>
        <c:crosses val="autoZero"/>
        <c:auto val="1"/>
        <c:lblAlgn val="ctr"/>
        <c:lblOffset val="100"/>
        <c:tickLblSkip val="3"/>
        <c:noMultiLvlLbl val="0"/>
      </c:catAx>
      <c:valAx>
        <c:axId val="2382558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2382504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99760"/>
        <c:axId val="158395952"/>
      </c:lineChart>
      <c:catAx>
        <c:axId val="15839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58395952"/>
        <c:crosses val="autoZero"/>
        <c:auto val="1"/>
        <c:lblAlgn val="ctr"/>
        <c:lblOffset val="100"/>
        <c:tickLblSkip val="3"/>
        <c:noMultiLvlLbl val="0"/>
      </c:catAx>
      <c:valAx>
        <c:axId val="158395952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5839976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PRESS</a:t>
          </a:r>
          <a:r>
            <a:rPr lang="sr-Latn-ME" sz="1100" baseline="0"/>
            <a:t> RELEASE: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January-August amounted to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1.085,7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and they are higher by 1,3 mill.€ or 0,1% compared to the plan. Compared to the same period in 2017 revenues are higher by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108,4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11,1%. In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August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revenues amounted to 161,2 mill.€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2,4 mill.€ or 1,5% compared to the plan,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 by 11,8 mill.€ or 7,9% compared to the same month 2017.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same period amounted to 1.132,0 mill.€ or 25,5% GDP which is higher by 50,8 mill. € or 4,7% compared to the same period 2017. Compared to the plan budget expenditures are lower by 69,0 mill.€ or 5,7%. Budget expenditures in August amounted to 127,2 mill.€ or 2,9% and they are lower by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21,2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14,3% compared to August 2017 and compared to the plan they are lower by 31,0 mill.€ or 19,6%.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January-August of the current year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46,3 mill.€ or 1,0% of the estimated GDP while in August budget surplus was 34,1 mill.€ or 0,8% GDP.</a:t>
          </a:r>
          <a:endParaRPr lang="en-US">
            <a:effectLst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ethodological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remarks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Data on categories "Gross salaries and contributions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"Pension and disability insurance" have been got on the basis of accrual adjustment, while other categories are in cash.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item Expenditures for purchase of securities is methodologically adjusted according to GFSM2014 and it is the financial transactions and as such it is not a part of the budget deficit.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  <xdr:twoCellAnchor editAs="absolute">
    <xdr:from>
      <xdr:col>10</xdr:col>
      <xdr:colOff>666750</xdr:colOff>
      <xdr:row>2</xdr:row>
      <xdr:rowOff>9524</xdr:rowOff>
    </xdr:from>
    <xdr:to>
      <xdr:col>13</xdr:col>
      <xdr:colOff>457200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742950</xdr:colOff>
      <xdr:row>0</xdr:row>
      <xdr:rowOff>104775</xdr:rowOff>
    </xdr:from>
    <xdr:to>
      <xdr:col>16</xdr:col>
      <xdr:colOff>140981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/>
  </xdr:twoCellAnchor>
  <xdr:twoCellAnchor editAs="absolute">
    <xdr:from>
      <xdr:col>13</xdr:col>
      <xdr:colOff>742950</xdr:colOff>
      <xdr:row>2</xdr:row>
      <xdr:rowOff>9525</xdr:rowOff>
    </xdr:from>
    <xdr:to>
      <xdr:col>16</xdr:col>
      <xdr:colOff>140981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762000</xdr:colOff>
      <xdr:row>3</xdr:row>
      <xdr:rowOff>133350</xdr:rowOff>
    </xdr:from>
    <xdr:to>
      <xdr:col>16</xdr:col>
      <xdr:colOff>160031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1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0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  <xdr:twoCellAnchor editAs="absolute">
    <xdr:from>
      <xdr:col>11</xdr:col>
      <xdr:colOff>571500</xdr:colOff>
      <xdr:row>2</xdr:row>
      <xdr:rowOff>123824</xdr:rowOff>
    </xdr:from>
    <xdr:to>
      <xdr:col>12</xdr:col>
      <xdr:colOff>781050</xdr:colOff>
      <xdr:row>3</xdr:row>
      <xdr:rowOff>152399</xdr:rowOff>
    </xdr:to>
    <xdr:sp macro="" textlink="Master!G21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4</xdr:row>
      <xdr:rowOff>28574</xdr:rowOff>
    </xdr:from>
    <xdr:to>
      <xdr:col>12</xdr:col>
      <xdr:colOff>781049</xdr:colOff>
      <xdr:row>4</xdr:row>
      <xdr:rowOff>247649</xdr:rowOff>
    </xdr:to>
    <xdr:sp macro="" textlink="Master!G20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285750</xdr:colOff>
      <xdr:row>1</xdr:row>
      <xdr:rowOff>38100</xdr:rowOff>
    </xdr:from>
    <xdr:to>
      <xdr:col>13</xdr:col>
      <xdr:colOff>37558</xdr:colOff>
      <xdr:row>2</xdr:row>
      <xdr:rowOff>63600</xdr:rowOff>
    </xdr:to>
    <xdr:sp macro="" textlink="Master!G11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826074B-BAD4-43C4-934F-F77BFF15DF8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13</xdr:col>
      <xdr:colOff>695325</xdr:colOff>
      <xdr:row>1</xdr:row>
      <xdr:rowOff>47625</xdr:rowOff>
    </xdr:from>
    <xdr:to>
      <xdr:col>15</xdr:col>
      <xdr:colOff>576037</xdr:colOff>
      <xdr:row>2</xdr:row>
      <xdr:rowOff>73125</xdr:rowOff>
    </xdr:to>
    <xdr:sp macro="" textlink="Master!G12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B0C476-1E32-41E0-8061-D05B79B3EC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3</xdr:row>
      <xdr:rowOff>9525</xdr:rowOff>
    </xdr:from>
    <xdr:to>
      <xdr:col>15</xdr:col>
      <xdr:colOff>576037</xdr:colOff>
      <xdr:row>4</xdr:row>
      <xdr:rowOff>35025</xdr:rowOff>
    </xdr:to>
    <xdr:sp macro="" textlink="Master!G13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25E0395-4389-497E-B451-8AC544E57A2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9</xdr:col>
      <xdr:colOff>219075</xdr:colOff>
      <xdr:row>2</xdr:row>
      <xdr:rowOff>95250</xdr:rowOff>
    </xdr:from>
    <xdr:to>
      <xdr:col>10</xdr:col>
      <xdr:colOff>1010285</xdr:colOff>
      <xdr:row>3</xdr:row>
      <xdr:rowOff>171450</xdr:rowOff>
    </xdr:to>
    <xdr:sp macro="" textlink="Master!G22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2018-08</v>
      </c>
      <c r="O6" s="168" t="str">
        <f>+CONCATENATE(N6,"p")</f>
        <v>2018-08p</v>
      </c>
      <c r="P6" s="152"/>
      <c r="Q6" s="152"/>
      <c r="R6" s="168" t="str">
        <f>+IF(Master!B3-10&gt;=0,CONCATENATE(Master!B4-1,"-",Master!B3),CONCATENATE(Master!B4-1,"-0",Master!B3))</f>
        <v>2017-08</v>
      </c>
      <c r="S6" s="152"/>
      <c r="T6" s="152"/>
    </row>
    <row r="7" spans="1:20">
      <c r="A7" s="169"/>
      <c r="B7" s="455" t="s">
        <v>707</v>
      </c>
      <c r="C7" s="456"/>
      <c r="D7" s="456"/>
      <c r="E7" s="456"/>
      <c r="F7" s="456"/>
      <c r="G7" s="464" t="s">
        <v>705</v>
      </c>
      <c r="H7" s="465"/>
      <c r="I7" s="465"/>
      <c r="J7" s="465"/>
      <c r="K7" s="465"/>
      <c r="L7" s="465"/>
      <c r="M7" s="466"/>
      <c r="N7" s="467" t="str">
        <f>+Master!G240</f>
        <v>December</v>
      </c>
      <c r="O7" s="465"/>
      <c r="P7" s="465"/>
      <c r="Q7" s="465"/>
      <c r="R7" s="465"/>
      <c r="S7" s="465"/>
      <c r="T7" s="468"/>
    </row>
    <row r="8" spans="1:20">
      <c r="A8" s="169"/>
      <c r="B8" s="457"/>
      <c r="C8" s="458"/>
      <c r="D8" s="458"/>
      <c r="E8" s="458"/>
      <c r="F8" s="459"/>
      <c r="G8" s="170" t="str">
        <f>+Master!G21</f>
        <v>Execution</v>
      </c>
      <c r="H8" s="170" t="str">
        <f>+Master!G20</f>
        <v>Plan</v>
      </c>
      <c r="I8" s="451" t="str">
        <f>+Master!G258</f>
        <v>Deviation</v>
      </c>
      <c r="J8" s="451"/>
      <c r="K8" s="170" t="str">
        <f>+CONCATENATE(Master!G243," ",Master!B4-1)</f>
        <v>Jan - Aug 2017</v>
      </c>
      <c r="L8" s="451" t="str">
        <f>+I8</f>
        <v>Deviation</v>
      </c>
      <c r="M8" s="463"/>
      <c r="N8" s="171" t="str">
        <f>+G8</f>
        <v>Execution</v>
      </c>
      <c r="O8" s="170" t="str">
        <f>+H8</f>
        <v>Plan</v>
      </c>
      <c r="P8" s="451" t="str">
        <f>+I8</f>
        <v>Deviation</v>
      </c>
      <c r="Q8" s="451"/>
      <c r="R8" s="170" t="str">
        <f>+CONCATENATE(Master!G242," ",Master!B4-1)</f>
        <v>August 2017</v>
      </c>
      <c r="S8" s="451" t="str">
        <f>+P8</f>
        <v>Deviation</v>
      </c>
      <c r="T8" s="452"/>
    </row>
    <row r="9" spans="1:20" ht="15.7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5" t="e">
        <f>+VLOOKUP($A18,Master!$D$25:$G$223,4,FALSE)</f>
        <v>#N/A</v>
      </c>
      <c r="C18" s="486"/>
      <c r="D18" s="486"/>
      <c r="E18" s="486"/>
      <c r="F18" s="486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5" t="str">
        <f>+VLOOKUP($A19,Master!$D$25:$G$223,4,FALSE)</f>
        <v>Other Republic Taxes</v>
      </c>
      <c r="C19" s="486"/>
      <c r="D19" s="486"/>
      <c r="E19" s="486"/>
      <c r="F19" s="486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5" t="str">
        <f>+VLOOKUP($A20,Master!$D$25:$G$223,4,FALSE)</f>
        <v>Contributions</v>
      </c>
      <c r="C20" s="496"/>
      <c r="D20" s="496"/>
      <c r="E20" s="496"/>
      <c r="F20" s="496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5" t="str">
        <f>+VLOOKUP($A21,Master!$D$25:$G$223,4,FALSE)</f>
        <v>Contributions for Pension and Disability Insurance</v>
      </c>
      <c r="C21" s="486"/>
      <c r="D21" s="486"/>
      <c r="E21" s="486"/>
      <c r="F21" s="486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5" t="str">
        <f>+VLOOKUP($A22,Master!$D$25:$G$223,4,FALSE)</f>
        <v>Contributions for Health Insurance</v>
      </c>
      <c r="C22" s="486"/>
      <c r="D22" s="486"/>
      <c r="E22" s="486"/>
      <c r="F22" s="486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5" t="str">
        <f>+VLOOKUP($A23,Master!$D$25:$G$223,4,FALSE)</f>
        <v>Contributions for  Unemployment Insurance</v>
      </c>
      <c r="C23" s="486"/>
      <c r="D23" s="486"/>
      <c r="E23" s="486"/>
      <c r="F23" s="486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5" t="str">
        <f>+VLOOKUP($A24,Master!$D$25:$G$223,4,FALSE)</f>
        <v>Other contributions</v>
      </c>
      <c r="C24" s="486"/>
      <c r="D24" s="486"/>
      <c r="E24" s="486"/>
      <c r="F24" s="486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7" t="str">
        <f>+VLOOKUP($A25,Master!$D$25:$G$223,4,FALSE)</f>
        <v>Duties</v>
      </c>
      <c r="C25" s="488"/>
      <c r="D25" s="488"/>
      <c r="E25" s="488"/>
      <c r="F25" s="488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7" t="str">
        <f>+VLOOKUP($A26,Master!$D$25:$G$223,4,FALSE)</f>
        <v>Fees</v>
      </c>
      <c r="C26" s="488"/>
      <c r="D26" s="488"/>
      <c r="E26" s="488"/>
      <c r="F26" s="488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7" t="str">
        <f>+VLOOKUP($A27,Master!$D$25:$G$223,4,FALSE)</f>
        <v>Other revenues</v>
      </c>
      <c r="C27" s="488"/>
      <c r="D27" s="488"/>
      <c r="E27" s="488"/>
      <c r="F27" s="488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7" t="str">
        <f>+VLOOKUP($A28,Master!$D$25:$G$223,4,FALSE)</f>
        <v>Receipts from Repayment of Loans and Funds Carried over from Previous Year</v>
      </c>
      <c r="C28" s="488"/>
      <c r="D28" s="488"/>
      <c r="E28" s="488"/>
      <c r="F28" s="488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9" t="str">
        <f>+VLOOKUP($A29,Master!$D$25:$G$223,4,FALSE)</f>
        <v>Grants and Transfers</v>
      </c>
      <c r="C29" s="490"/>
      <c r="D29" s="490"/>
      <c r="E29" s="490"/>
      <c r="F29" s="490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5" t="str">
        <f>+VLOOKUP($A30,Master!$D$25:$G$223,4,FALSE)</f>
        <v>Total Expenditures</v>
      </c>
      <c r="C30" s="476"/>
      <c r="D30" s="476"/>
      <c r="E30" s="476"/>
      <c r="F30" s="476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1" t="str">
        <f>+VLOOKUP($A31,Master!$D$25:$G$223,4,FALSE)</f>
        <v>Current Expenditures</v>
      </c>
      <c r="C31" s="492"/>
      <c r="D31" s="492"/>
      <c r="E31" s="492"/>
      <c r="F31" s="492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3" t="str">
        <f>+VLOOKUP($A32,Master!$D$25:$G$223,4,FALSE)</f>
        <v>Current Budgetary Expenditures</v>
      </c>
      <c r="C32" s="494"/>
      <c r="D32" s="494"/>
      <c r="E32" s="494"/>
      <c r="F32" s="494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5" t="str">
        <f>+VLOOKUP($A33,Master!$D$25:$G$223,4,FALSE)</f>
        <v>Gross Salaries and Contributions</v>
      </c>
      <c r="C33" s="486"/>
      <c r="D33" s="486"/>
      <c r="E33" s="486"/>
      <c r="F33" s="486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5" t="str">
        <f>+VLOOKUP($A34,Master!$D$25:$G$223,4,FALSE)</f>
        <v>Other Personal Income</v>
      </c>
      <c r="C34" s="486"/>
      <c r="D34" s="486"/>
      <c r="E34" s="486"/>
      <c r="F34" s="486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5" t="str">
        <f>+VLOOKUP($A35,Master!$D$25:$G$223,4,FALSE)</f>
        <v>Expenditures for Supplies</v>
      </c>
      <c r="C35" s="486"/>
      <c r="D35" s="486"/>
      <c r="E35" s="486"/>
      <c r="F35" s="486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5" t="str">
        <f>+VLOOKUP($A36,Master!$D$25:$G$223,4,FALSE)</f>
        <v>Expenditures for Services</v>
      </c>
      <c r="C36" s="486"/>
      <c r="D36" s="486"/>
      <c r="E36" s="486"/>
      <c r="F36" s="486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5" t="str">
        <f>+VLOOKUP($A37,Master!$D$25:$G$223,4,FALSE)</f>
        <v>Current Maintenance</v>
      </c>
      <c r="C37" s="486"/>
      <c r="D37" s="486"/>
      <c r="E37" s="486"/>
      <c r="F37" s="486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5" t="str">
        <f>+VLOOKUP($A38,Master!$D$25:$G$223,4,FALSE)</f>
        <v>Interests</v>
      </c>
      <c r="C38" s="486"/>
      <c r="D38" s="486"/>
      <c r="E38" s="486"/>
      <c r="F38" s="486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5" t="str">
        <f>+VLOOKUP($A39,Master!$D$25:$G$223,4,FALSE)</f>
        <v>Rent</v>
      </c>
      <c r="C39" s="486"/>
      <c r="D39" s="486"/>
      <c r="E39" s="486"/>
      <c r="F39" s="486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5" t="str">
        <f>+VLOOKUP($A40,Master!$D$25:$G$223,4,FALSE)</f>
        <v>Subsidies</v>
      </c>
      <c r="C40" s="486"/>
      <c r="D40" s="486"/>
      <c r="E40" s="486"/>
      <c r="F40" s="486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5" t="str">
        <f>+VLOOKUP($A41,Master!$D$25:$G$223,4,FALSE)</f>
        <v>Other expenditures</v>
      </c>
      <c r="C41" s="486"/>
      <c r="D41" s="486"/>
      <c r="E41" s="486"/>
      <c r="F41" s="486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5" t="str">
        <f>+VLOOKUP($A42,Master!$D$25:$G$223,4,FALSE)</f>
        <v>Current Capital Expenditure</v>
      </c>
      <c r="C42" s="486"/>
      <c r="D42" s="486"/>
      <c r="E42" s="486"/>
      <c r="F42" s="486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1" t="str">
        <f>+VLOOKUP($A43,Master!$D$25:$G$223,4,FALSE)</f>
        <v>Social Security Transfers</v>
      </c>
      <c r="C43" s="482"/>
      <c r="D43" s="482"/>
      <c r="E43" s="482"/>
      <c r="F43" s="482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5" t="str">
        <f>+VLOOKUP($A44,Master!$D$25:$G$223,4,FALSE)</f>
        <v>Social Security</v>
      </c>
      <c r="C44" s="486"/>
      <c r="D44" s="486"/>
      <c r="E44" s="486"/>
      <c r="F44" s="486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5" t="str">
        <f>+VLOOKUP($A45,Master!$D$25:$G$223,4,FALSE)</f>
        <v>Funds for redundant labor</v>
      </c>
      <c r="C45" s="486"/>
      <c r="D45" s="486"/>
      <c r="E45" s="486"/>
      <c r="F45" s="486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5" t="str">
        <f>+VLOOKUP($A46,Master!$D$25:$G$223,4,FALSE)</f>
        <v>Pension and Disability Insurance</v>
      </c>
      <c r="C46" s="486"/>
      <c r="D46" s="486"/>
      <c r="E46" s="486"/>
      <c r="F46" s="486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5" t="str">
        <f>+VLOOKUP($A47,Master!$D$25:$G$223,4,FALSE)</f>
        <v>Other Health Care Transfers</v>
      </c>
      <c r="C47" s="486"/>
      <c r="D47" s="486"/>
      <c r="E47" s="486"/>
      <c r="F47" s="486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5" t="str">
        <f>+VLOOKUP($A48,Master!$D$25:$G$223,4,FALSE)</f>
        <v>Other Health Care Insurance</v>
      </c>
      <c r="C48" s="486"/>
      <c r="D48" s="486"/>
      <c r="E48" s="486"/>
      <c r="F48" s="486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3" t="str">
        <f>+VLOOKUP($A49,Master!$D$25:$G$223,4,FALSE)</f>
        <v xml:space="preserve">Transfers to Institutions, Individuals, NGO and Public Sector </v>
      </c>
      <c r="C49" s="484"/>
      <c r="D49" s="484"/>
      <c r="E49" s="484"/>
      <c r="F49" s="484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3" t="str">
        <f>+VLOOKUP($A50,Master!$D$25:$G$223,4,FALSE)</f>
        <v>Capital Expenditure</v>
      </c>
      <c r="C50" s="484"/>
      <c r="D50" s="484"/>
      <c r="E50" s="484"/>
      <c r="F50" s="484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3" t="str">
        <f>+VLOOKUP($A51,Master!$D$25:$G$223,4,FALSE)</f>
        <v>Credits and Borrowings</v>
      </c>
      <c r="C51" s="454"/>
      <c r="D51" s="454"/>
      <c r="E51" s="454"/>
      <c r="F51" s="454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3" t="str">
        <f>+VLOOKUP($A52,Master!$D$25:$G$223,4,FALSE)</f>
        <v>Reserves</v>
      </c>
      <c r="C52" s="454"/>
      <c r="D52" s="454"/>
      <c r="E52" s="454"/>
      <c r="F52" s="454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1" t="str">
        <f>+VLOOKUP($A53,Master!$D$25:$G$223,4,FALSE)</f>
        <v>Repayment of Guarantees</v>
      </c>
      <c r="C53" s="472"/>
      <c r="D53" s="472"/>
      <c r="E53" s="472"/>
      <c r="F53" s="472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1" t="str">
        <f>+VLOOKUP($A54,Master!$D$25:$G$223,4,FALSE)</f>
        <v>Repayments of Arrears</v>
      </c>
      <c r="C54" s="472"/>
      <c r="D54" s="472"/>
      <c r="E54" s="472"/>
      <c r="F54" s="472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1" t="str">
        <f>+VLOOKUP($A55,Master!$D$25:$G$225,4,FALSE)</f>
        <v>Net increase of liabilities</v>
      </c>
      <c r="C55" s="472"/>
      <c r="D55" s="472"/>
      <c r="E55" s="472"/>
      <c r="F55" s="472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7" t="str">
        <f>+VLOOKUP($A56,Master!$D$25:$G$223,4,FALSE)</f>
        <v>Surplus / deficit</v>
      </c>
      <c r="C56" s="478"/>
      <c r="D56" s="478"/>
      <c r="E56" s="478"/>
      <c r="F56" s="478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9" t="str">
        <f>+VLOOKUP($A57,Master!$D$25:$G$223,4,FALSE)</f>
        <v>Primary balance</v>
      </c>
      <c r="C57" s="480"/>
      <c r="D57" s="480"/>
      <c r="E57" s="480"/>
      <c r="F57" s="480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1" t="str">
        <f>+VLOOKUP($A58,Master!$D$25:$G$223,4,FALSE)</f>
        <v>Repayment of Debt</v>
      </c>
      <c r="C58" s="482"/>
      <c r="D58" s="482"/>
      <c r="E58" s="482"/>
      <c r="F58" s="482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9" t="str">
        <f>+VLOOKUP($A59,Master!$D$25:$G$223,4,FALSE)</f>
        <v>Repayment of Domestic Debt</v>
      </c>
      <c r="C59" s="470"/>
      <c r="D59" s="470"/>
      <c r="E59" s="470"/>
      <c r="F59" s="470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3" t="str">
        <f>+VLOOKUP($A60,Master!$D$25:$G$223,4,FALSE)</f>
        <v>Repayment of Foreign Debt</v>
      </c>
      <c r="C60" s="454"/>
      <c r="D60" s="454"/>
      <c r="E60" s="454"/>
      <c r="F60" s="454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Repayments of Arrears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3" t="str">
        <f>+VLOOKUP($A62,Master!$D$25:$G$223,4,FALSE)</f>
        <v>Financing needs</v>
      </c>
      <c r="C62" s="474"/>
      <c r="D62" s="474"/>
      <c r="E62" s="474"/>
      <c r="F62" s="474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5" t="str">
        <f>+VLOOKUP($A63,Master!$D$25:$G$223,4,FALSE)</f>
        <v>Financing</v>
      </c>
      <c r="C63" s="476"/>
      <c r="D63" s="476"/>
      <c r="E63" s="476"/>
      <c r="F63" s="476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9" t="str">
        <f>+VLOOKUP($A64,Master!$D$25:$G$223,4,FALSE)</f>
        <v>Domestic Loans and Borrowings</v>
      </c>
      <c r="C64" s="470"/>
      <c r="D64" s="470"/>
      <c r="E64" s="470"/>
      <c r="F64" s="470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3" t="str">
        <f>+VLOOKUP($A65,Master!$D$25:$G$223,4,FALSE)</f>
        <v>Foreign Loans and Borrowings</v>
      </c>
      <c r="C65" s="454"/>
      <c r="D65" s="454"/>
      <c r="E65" s="454"/>
      <c r="F65" s="454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3" t="str">
        <f>+VLOOKUP($A66,Master!$D$25:$G$223,4,FALSE)</f>
        <v>Revenues from Selling Assets</v>
      </c>
      <c r="C66" s="454"/>
      <c r="D66" s="454"/>
      <c r="E66" s="454"/>
      <c r="F66" s="454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37" t="str">
        <f>+Master!G249</f>
        <v>Budget Execution</v>
      </c>
      <c r="C7" s="538"/>
      <c r="D7" s="538"/>
      <c r="E7" s="538"/>
      <c r="F7" s="538"/>
      <c r="G7" s="531">
        <v>2013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32"/>
      <c r="S7" s="115" t="str">
        <f>+Master!G246</f>
        <v>GDP</v>
      </c>
      <c r="T7" s="116">
        <v>3393200615</v>
      </c>
    </row>
    <row r="8" spans="1:20" ht="16.5" customHeight="1">
      <c r="B8" s="539"/>
      <c r="C8" s="540"/>
      <c r="D8" s="540"/>
      <c r="E8" s="540"/>
      <c r="F8" s="541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31" t="str">
        <f>+Master!G243</f>
        <v>Jan - Aug</v>
      </c>
      <c r="T8" s="532"/>
    </row>
    <row r="9" spans="1:20" ht="13.5" thickBot="1">
      <c r="B9" s="542"/>
      <c r="C9" s="543"/>
      <c r="D9" s="543"/>
      <c r="E9" s="543"/>
      <c r="F9" s="544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533" t="str">
        <f>+VLOOKUP($A10,Master!$D$25:$G$223,4,FALSE)</f>
        <v>Total Revenues</v>
      </c>
      <c r="C10" s="534"/>
      <c r="D10" s="534"/>
      <c r="E10" s="534"/>
      <c r="F10" s="534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5" t="str">
        <f>+VLOOKUP($A11,Master!$D$25:$G$223,4,FALSE)</f>
        <v>Taxes</v>
      </c>
      <c r="C11" s="536"/>
      <c r="D11" s="536"/>
      <c r="E11" s="536"/>
      <c r="F11" s="536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7" t="str">
        <f>+VLOOKUP($A12,Master!$D$25:$G$223,4,FALSE)</f>
        <v>Personal Income Tax</v>
      </c>
      <c r="C12" s="518"/>
      <c r="D12" s="518"/>
      <c r="E12" s="518"/>
      <c r="F12" s="518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7" t="str">
        <f>+VLOOKUP($A13,Master!$D$25:$G$223,4,FALSE)</f>
        <v>Corporate Income Tax</v>
      </c>
      <c r="C13" s="518"/>
      <c r="D13" s="518"/>
      <c r="E13" s="518"/>
      <c r="F13" s="518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7" t="str">
        <f>+VLOOKUP($A14,Master!$D$25:$G$223,4,FALSE)</f>
        <v xml:space="preserve">Taxes on Sales of Property </v>
      </c>
      <c r="C14" s="518"/>
      <c r="D14" s="518"/>
      <c r="E14" s="518"/>
      <c r="F14" s="518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7" t="str">
        <f>+VLOOKUP($A15,Master!$D$25:$G$223,4,FALSE)</f>
        <v>Value Added Tax</v>
      </c>
      <c r="C15" s="518"/>
      <c r="D15" s="518"/>
      <c r="E15" s="518"/>
      <c r="F15" s="518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7" t="str">
        <f>+VLOOKUP($A16,Master!$D$25:$G$223,4,FALSE)</f>
        <v>Excises</v>
      </c>
      <c r="C16" s="518"/>
      <c r="D16" s="518"/>
      <c r="E16" s="518"/>
      <c r="F16" s="518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7" t="str">
        <f>+VLOOKUP($A17,Master!$D$25:$G$223,4,FALSE)</f>
        <v>Tax on International Trade and Transactions</v>
      </c>
      <c r="C17" s="518"/>
      <c r="D17" s="518"/>
      <c r="E17" s="518"/>
      <c r="F17" s="518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7" t="e">
        <f>+VLOOKUP($A18,Master!$D$25:$G$223,4,FALSE)</f>
        <v>#N/A</v>
      </c>
      <c r="C18" s="518"/>
      <c r="D18" s="518"/>
      <c r="E18" s="518"/>
      <c r="F18" s="518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7" t="str">
        <f>+VLOOKUP($A19,Master!$D$25:$G$223,4,FALSE)</f>
        <v>Other Republic Taxes</v>
      </c>
      <c r="C19" s="518"/>
      <c r="D19" s="518"/>
      <c r="E19" s="518"/>
      <c r="F19" s="518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9" t="str">
        <f>+VLOOKUP($A20,Master!$D$25:$G$223,4,FALSE)</f>
        <v>Contributions</v>
      </c>
      <c r="C20" s="530"/>
      <c r="D20" s="530"/>
      <c r="E20" s="530"/>
      <c r="F20" s="53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7" t="str">
        <f>+VLOOKUP($A21,Master!$D$25:$G$223,4,FALSE)</f>
        <v>Contributions for Pension and Disability Insurance</v>
      </c>
      <c r="C21" s="518"/>
      <c r="D21" s="518"/>
      <c r="E21" s="518"/>
      <c r="F21" s="518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7" t="str">
        <f>+VLOOKUP($A22,Master!$D$25:$G$223,4,FALSE)</f>
        <v>Contributions for Health Insurance</v>
      </c>
      <c r="C22" s="518"/>
      <c r="D22" s="518"/>
      <c r="E22" s="518"/>
      <c r="F22" s="518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7" t="str">
        <f>+VLOOKUP($A23,Master!$D$25:$G$223,4,FALSE)</f>
        <v>Contributions for  Unemployment Insurance</v>
      </c>
      <c r="C23" s="518"/>
      <c r="D23" s="518"/>
      <c r="E23" s="518"/>
      <c r="F23" s="518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7" t="str">
        <f>+VLOOKUP($A24,Master!$D$25:$G$223,4,FALSE)</f>
        <v>Other contributions</v>
      </c>
      <c r="C24" s="518"/>
      <c r="D24" s="518"/>
      <c r="E24" s="518"/>
      <c r="F24" s="518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1" t="str">
        <f>+VLOOKUP($A25,Master!$D$25:$G$223,4,FALSE)</f>
        <v>Duties</v>
      </c>
      <c r="C25" s="522"/>
      <c r="D25" s="522"/>
      <c r="E25" s="522"/>
      <c r="F25" s="522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1" t="str">
        <f>+VLOOKUP($A26,Master!$D$25:$G$223,4,FALSE)</f>
        <v>Fees</v>
      </c>
      <c r="C26" s="522"/>
      <c r="D26" s="522"/>
      <c r="E26" s="522"/>
      <c r="F26" s="522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1" t="str">
        <f>+VLOOKUP($A27,Master!$D$25:$G$223,4,FALSE)</f>
        <v>Other revenues</v>
      </c>
      <c r="C27" s="522"/>
      <c r="D27" s="522"/>
      <c r="E27" s="522"/>
      <c r="F27" s="522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1" t="str">
        <f>+VLOOKUP($A28,Master!$D$25:$G$223,4,FALSE)</f>
        <v>Receipts from Repayment of Loans and Funds Carried over from Previous Year</v>
      </c>
      <c r="C28" s="522"/>
      <c r="D28" s="522"/>
      <c r="E28" s="522"/>
      <c r="F28" s="522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3" t="str">
        <f>+VLOOKUP($A29,Master!$D$25:$G$223,4,FALSE)</f>
        <v>Grants and Transfers</v>
      </c>
      <c r="C29" s="524"/>
      <c r="D29" s="524"/>
      <c r="E29" s="524"/>
      <c r="F29" s="52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7" t="str">
        <f>+VLOOKUP($A30,Master!$D$25:$G$223,4,FALSE)</f>
        <v>Total Expenditures</v>
      </c>
      <c r="C30" s="508"/>
      <c r="D30" s="508"/>
      <c r="E30" s="508"/>
      <c r="F30" s="508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5" t="str">
        <f>+VLOOKUP($A31,Master!$D$25:$G$223,4,FALSE)</f>
        <v>Current Expenditures</v>
      </c>
      <c r="C31" s="526"/>
      <c r="D31" s="526"/>
      <c r="E31" s="526"/>
      <c r="F31" s="526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7" t="str">
        <f>+VLOOKUP($A32,Master!$D$25:$G$223,4,FALSE)</f>
        <v>Current Budgetary Expenditures</v>
      </c>
      <c r="C32" s="528"/>
      <c r="D32" s="528"/>
      <c r="E32" s="528"/>
      <c r="F32" s="528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7" t="str">
        <f>+VLOOKUP($A33,Master!$D$25:$G$223,4,FALSE)</f>
        <v>Gross Salaries and Contributions</v>
      </c>
      <c r="C33" s="518"/>
      <c r="D33" s="518"/>
      <c r="E33" s="518"/>
      <c r="F33" s="518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7" t="str">
        <f>+VLOOKUP($A34,Master!$D$25:$G$223,4,FALSE)</f>
        <v>Other Personal Income</v>
      </c>
      <c r="C34" s="518"/>
      <c r="D34" s="518"/>
      <c r="E34" s="518"/>
      <c r="F34" s="518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7" t="str">
        <f>+VLOOKUP($A35,Master!$D$25:$G$223,4,FALSE)</f>
        <v>Expenditures for Supplies</v>
      </c>
      <c r="C35" s="518"/>
      <c r="D35" s="518"/>
      <c r="E35" s="518"/>
      <c r="F35" s="518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7" t="str">
        <f>+VLOOKUP($A36,Master!$D$25:$G$223,4,FALSE)</f>
        <v>Expenditures for Services</v>
      </c>
      <c r="C36" s="518"/>
      <c r="D36" s="518"/>
      <c r="E36" s="518"/>
      <c r="F36" s="518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7" t="str">
        <f>+VLOOKUP($A37,Master!$D$25:$G$223,4,FALSE)</f>
        <v>Current Maintenance</v>
      </c>
      <c r="C37" s="518"/>
      <c r="D37" s="518"/>
      <c r="E37" s="518"/>
      <c r="F37" s="518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7" t="str">
        <f>+VLOOKUP($A38,Master!$D$25:$G$223,4,FALSE)</f>
        <v>Interests</v>
      </c>
      <c r="C38" s="518"/>
      <c r="D38" s="518"/>
      <c r="E38" s="518"/>
      <c r="F38" s="518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7" t="str">
        <f>+VLOOKUP($A39,Master!$D$25:$G$223,4,FALSE)</f>
        <v>Rent</v>
      </c>
      <c r="C39" s="518"/>
      <c r="D39" s="518"/>
      <c r="E39" s="518"/>
      <c r="F39" s="518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7" t="str">
        <f>+VLOOKUP($A40,Master!$D$25:$G$223,4,FALSE)</f>
        <v>Subsidies</v>
      </c>
      <c r="C40" s="518"/>
      <c r="D40" s="518"/>
      <c r="E40" s="518"/>
      <c r="F40" s="518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7" t="str">
        <f>+VLOOKUP($A41,Master!$D$25:$G$223,4,FALSE)</f>
        <v>Other expenditures</v>
      </c>
      <c r="C41" s="518"/>
      <c r="D41" s="518"/>
      <c r="E41" s="518"/>
      <c r="F41" s="518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7" t="str">
        <f>+VLOOKUP($A42,Master!$D$25:$G$223,4,FALSE)</f>
        <v>Current Capital Expenditure</v>
      </c>
      <c r="C42" s="518"/>
      <c r="D42" s="518"/>
      <c r="E42" s="518"/>
      <c r="F42" s="518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5" t="str">
        <f>+VLOOKUP($A43,Master!$D$25:$G$223,4,FALSE)</f>
        <v>Social Security Transfers</v>
      </c>
      <c r="C43" s="516"/>
      <c r="D43" s="516"/>
      <c r="E43" s="516"/>
      <c r="F43" s="51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7" t="str">
        <f>+VLOOKUP($A44,Master!$D$25:$G$223,4,FALSE)</f>
        <v>Social Security</v>
      </c>
      <c r="C44" s="518"/>
      <c r="D44" s="518"/>
      <c r="E44" s="518"/>
      <c r="F44" s="518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7" t="str">
        <f>+VLOOKUP($A45,Master!$D$25:$G$223,4,FALSE)</f>
        <v>Funds for redundant labor</v>
      </c>
      <c r="C45" s="518"/>
      <c r="D45" s="518"/>
      <c r="E45" s="518"/>
      <c r="F45" s="518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7" t="str">
        <f>+VLOOKUP($A46,Master!$D$25:$G$223,4,FALSE)</f>
        <v>Pension and Disability Insurance</v>
      </c>
      <c r="C46" s="518"/>
      <c r="D46" s="518"/>
      <c r="E46" s="518"/>
      <c r="F46" s="518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7" t="str">
        <f>+VLOOKUP($A47,Master!$D$25:$G$223,4,FALSE)</f>
        <v>Other Health Care Transfers</v>
      </c>
      <c r="C47" s="518"/>
      <c r="D47" s="518"/>
      <c r="E47" s="518"/>
      <c r="F47" s="518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7" t="str">
        <f>+VLOOKUP($A48,Master!$D$25:$G$223,4,FALSE)</f>
        <v>Other Health Care Insurance</v>
      </c>
      <c r="C48" s="518"/>
      <c r="D48" s="518"/>
      <c r="E48" s="518"/>
      <c r="F48" s="518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9" t="str">
        <f>+VLOOKUP($A49,Master!$D$25:$G$223,4,FALSE)</f>
        <v xml:space="preserve">Transfers to Institutions, Individuals, NGO and Public Sector </v>
      </c>
      <c r="C49" s="520"/>
      <c r="D49" s="520"/>
      <c r="E49" s="520"/>
      <c r="F49" s="520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9" t="str">
        <f>+VLOOKUP($A50,Master!$D$25:$G$223,4,FALSE)</f>
        <v>Capital Expenditure</v>
      </c>
      <c r="C50" s="520"/>
      <c r="D50" s="520"/>
      <c r="E50" s="520"/>
      <c r="F50" s="520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3" t="str">
        <f>+VLOOKUP($A51,Master!$D$25:$G$223,4,FALSE)</f>
        <v>Credits and Borrowings</v>
      </c>
      <c r="C51" s="504"/>
      <c r="D51" s="504"/>
      <c r="E51" s="504"/>
      <c r="F51" s="50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3" t="str">
        <f>+VLOOKUP($A52,Master!$D$25:$G$223,4,FALSE)</f>
        <v>Reserves</v>
      </c>
      <c r="C52" s="504"/>
      <c r="D52" s="504"/>
      <c r="E52" s="504"/>
      <c r="F52" s="50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7" t="str">
        <f>+VLOOKUP($A53,Master!$D$25:$G$223,4,FALSE)</f>
        <v>Repayment of Guarantees</v>
      </c>
      <c r="C53" s="558"/>
      <c r="D53" s="558"/>
      <c r="E53" s="558"/>
      <c r="F53" s="558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1" t="str">
        <f>+VLOOKUP($A54,Master!$D$25:$G$223,4,FALSE)</f>
        <v>Surplus / deficit</v>
      </c>
      <c r="C54" s="512"/>
      <c r="D54" s="512"/>
      <c r="E54" s="512"/>
      <c r="F54" s="512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3" t="str">
        <f>+VLOOKUP($A55,Master!$D$25:$G$223,4,FALSE)</f>
        <v>Primary balance</v>
      </c>
      <c r="C55" s="514"/>
      <c r="D55" s="514"/>
      <c r="E55" s="514"/>
      <c r="F55" s="514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5" t="str">
        <f>+VLOOKUP($A56,Master!$D$25:$G$223,4,FALSE)</f>
        <v>Repayment of Debt</v>
      </c>
      <c r="C56" s="516"/>
      <c r="D56" s="516"/>
      <c r="E56" s="516"/>
      <c r="F56" s="51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9" t="str">
        <f>+VLOOKUP($A57,Master!$D$25:$G$223,4,FALSE)</f>
        <v>Repayment of Domestic Debt</v>
      </c>
      <c r="C57" s="510"/>
      <c r="D57" s="510"/>
      <c r="E57" s="510"/>
      <c r="F57" s="510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3" t="str">
        <f>+VLOOKUP($A58,Master!$D$25:$G$223,4,FALSE)</f>
        <v>Repayment of Foreign Debt</v>
      </c>
      <c r="C58" s="504"/>
      <c r="D58" s="504"/>
      <c r="E58" s="504"/>
      <c r="F58" s="50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7" t="str">
        <f>+VLOOKUP($A59,Master!$D$25:$G$223,4,FALSE)</f>
        <v>Repayments of Arrears</v>
      </c>
      <c r="C59" s="558"/>
      <c r="D59" s="558"/>
      <c r="E59" s="558"/>
      <c r="F59" s="558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5" t="str">
        <f>+VLOOKUP($A60,Master!$D$25:$G$223,4,FALSE)</f>
        <v>Financing needs</v>
      </c>
      <c r="C60" s="506"/>
      <c r="D60" s="506"/>
      <c r="E60" s="506"/>
      <c r="F60" s="506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7" t="str">
        <f>+VLOOKUP($A61,Master!$D$25:$G$223,4,FALSE)</f>
        <v>Financing</v>
      </c>
      <c r="C61" s="508"/>
      <c r="D61" s="508"/>
      <c r="E61" s="508"/>
      <c r="F61" s="508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9" t="str">
        <f>+VLOOKUP($A62,Master!$D$25:$G$223,4,FALSE)</f>
        <v>Domestic Loans and Borrowings</v>
      </c>
      <c r="C62" s="510"/>
      <c r="D62" s="510"/>
      <c r="E62" s="510"/>
      <c r="F62" s="510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3" t="str">
        <f>+VLOOKUP($A63,Master!$D$25:$G$223,4,FALSE)</f>
        <v>Foreign Loans and Borrowings</v>
      </c>
      <c r="C63" s="504"/>
      <c r="D63" s="504"/>
      <c r="E63" s="504"/>
      <c r="F63" s="50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3" t="str">
        <f>+VLOOKUP($A64,Master!$D$25:$G$223,4,FALSE)</f>
        <v>Revenues from Selling Assets</v>
      </c>
      <c r="C64" s="504"/>
      <c r="D64" s="504"/>
      <c r="E64" s="504"/>
      <c r="F64" s="50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6" t="str">
        <f>+Master!G250</f>
        <v>Planned Budget Execution</v>
      </c>
      <c r="C101" s="456"/>
      <c r="D101" s="456"/>
      <c r="E101" s="456"/>
      <c r="F101" s="456"/>
      <c r="G101" s="464">
        <v>2014</v>
      </c>
      <c r="H101" s="465"/>
      <c r="I101" s="465"/>
      <c r="J101" s="465"/>
      <c r="K101" s="465"/>
      <c r="L101" s="465"/>
      <c r="M101" s="465"/>
      <c r="N101" s="465"/>
      <c r="O101" s="465"/>
      <c r="P101" s="465"/>
      <c r="Q101" s="465"/>
      <c r="R101" s="468"/>
      <c r="S101" s="260" t="str">
        <f>+S7</f>
        <v>GDP</v>
      </c>
      <c r="T101" s="261">
        <v>3393200615</v>
      </c>
    </row>
    <row r="102" spans="1:20" ht="15.75" customHeight="1">
      <c r="A102" s="169"/>
      <c r="B102" s="457"/>
      <c r="C102" s="458"/>
      <c r="D102" s="458"/>
      <c r="E102" s="458"/>
      <c r="F102" s="459"/>
      <c r="G102" s="170" t="str">
        <f>+G8</f>
        <v>January</v>
      </c>
      <c r="H102" s="170" t="str">
        <f t="shared" ref="H102:T102" si="16">+H8</f>
        <v>February</v>
      </c>
      <c r="I102" s="170" t="str">
        <f t="shared" si="16"/>
        <v>March</v>
      </c>
      <c r="J102" s="170" t="str">
        <f t="shared" si="16"/>
        <v>April</v>
      </c>
      <c r="K102" s="170" t="str">
        <f t="shared" si="16"/>
        <v>May</v>
      </c>
      <c r="L102" s="170" t="str">
        <f t="shared" si="16"/>
        <v>June</v>
      </c>
      <c r="M102" s="170" t="str">
        <f t="shared" si="16"/>
        <v>July</v>
      </c>
      <c r="N102" s="170" t="str">
        <f t="shared" si="16"/>
        <v>August</v>
      </c>
      <c r="O102" s="170" t="str">
        <f t="shared" si="16"/>
        <v>September</v>
      </c>
      <c r="P102" s="170" t="str">
        <f t="shared" si="16"/>
        <v>October</v>
      </c>
      <c r="Q102" s="170" t="str">
        <f t="shared" si="16"/>
        <v>November</v>
      </c>
      <c r="R102" s="170" t="str">
        <f t="shared" si="16"/>
        <v>December</v>
      </c>
      <c r="S102" s="464" t="str">
        <f>+Master!G244</f>
        <v>Jan - Dec</v>
      </c>
      <c r="T102" s="468">
        <f t="shared" si="16"/>
        <v>0</v>
      </c>
    </row>
    <row r="103" spans="1:20" ht="13.5" thickBot="1">
      <c r="A103" s="169"/>
      <c r="B103" s="460"/>
      <c r="C103" s="461"/>
      <c r="D103" s="461"/>
      <c r="E103" s="461"/>
      <c r="F103" s="462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GDP</v>
      </c>
    </row>
    <row r="104" spans="1:20" ht="13.5" thickBot="1">
      <c r="A104" s="297" t="str">
        <f>+CONCATENATE(A10,"p")</f>
        <v>7p</v>
      </c>
      <c r="B104" s="497" t="str">
        <f>+VLOOKUP(LEFT($A104,LEN(A104)-1)*1,Master!$D$25:$G$223,4,FALSE)</f>
        <v>Total Revenues</v>
      </c>
      <c r="C104" s="498"/>
      <c r="D104" s="498"/>
      <c r="E104" s="498"/>
      <c r="F104" s="498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9" t="str">
        <f>+VLOOKUP(LEFT($A105,LEN(A105)-1)*1,Master!$D$25:$G$223,4,FALSE)</f>
        <v>Taxes</v>
      </c>
      <c r="C105" s="500"/>
      <c r="D105" s="500"/>
      <c r="E105" s="500"/>
      <c r="F105" s="500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5" t="str">
        <f>+VLOOKUP(LEFT($A106,LEN(A106)-1)*1,Master!$D$25:$G$223,4,FALSE)</f>
        <v>Personal Income Tax</v>
      </c>
      <c r="C106" s="486"/>
      <c r="D106" s="486"/>
      <c r="E106" s="486"/>
      <c r="F106" s="486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5" t="str">
        <f>+VLOOKUP(LEFT($A107,LEN(A107)-1)*1,Master!$D$25:$G$223,4,FALSE)</f>
        <v>Corporate Income Tax</v>
      </c>
      <c r="C107" s="486"/>
      <c r="D107" s="486"/>
      <c r="E107" s="486"/>
      <c r="F107" s="486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5" t="str">
        <f>+VLOOKUP(LEFT($A108,LEN(A108)-1)*1,Master!$D$25:$G$223,4,FALSE)</f>
        <v xml:space="preserve">Taxes on Sales of Property </v>
      </c>
      <c r="C108" s="486"/>
      <c r="D108" s="486"/>
      <c r="E108" s="486"/>
      <c r="F108" s="486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5" t="str">
        <f>+VLOOKUP(LEFT($A109,LEN(A109)-1)*1,Master!$D$25:$G$223,4,FALSE)</f>
        <v>Value Added Tax</v>
      </c>
      <c r="C109" s="486"/>
      <c r="D109" s="486"/>
      <c r="E109" s="486"/>
      <c r="F109" s="486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5" t="str">
        <f>+VLOOKUP(LEFT($A110,LEN(A110)-1)*1,Master!$D$25:$G$223,4,FALSE)</f>
        <v>Excises</v>
      </c>
      <c r="C110" s="486"/>
      <c r="D110" s="486"/>
      <c r="E110" s="486"/>
      <c r="F110" s="486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5" t="str">
        <f>+VLOOKUP(LEFT($A111,LEN(A111)-1)*1,Master!$D$25:$G$223,4,FALSE)</f>
        <v>Tax on International Trade and Transactions</v>
      </c>
      <c r="C111" s="486"/>
      <c r="D111" s="486"/>
      <c r="E111" s="486"/>
      <c r="F111" s="486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5" t="e">
        <f>+VLOOKUP(LEFT($A112,LEN(A112)-1)*1,Master!$D$25:$G$223,4,FALSE)</f>
        <v>#N/A</v>
      </c>
      <c r="C112" s="486"/>
      <c r="D112" s="486"/>
      <c r="E112" s="486"/>
      <c r="F112" s="486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5" t="str">
        <f>+VLOOKUP(LEFT($A113,LEN(A113)-1)*1,Master!$D$25:$G$223,4,FALSE)</f>
        <v>Other Republic Taxes</v>
      </c>
      <c r="C113" s="486"/>
      <c r="D113" s="486"/>
      <c r="E113" s="486"/>
      <c r="F113" s="486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5" t="str">
        <f>+VLOOKUP(LEFT($A114,LEN(A114)-1)*1,Master!$D$25:$G$223,4,FALSE)</f>
        <v>Contributions</v>
      </c>
      <c r="C114" s="496"/>
      <c r="D114" s="496"/>
      <c r="E114" s="496"/>
      <c r="F114" s="496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5" t="str">
        <f>+VLOOKUP(LEFT($A115,LEN(A115)-1)*1,Master!$D$25:$G$223,4,FALSE)</f>
        <v>Contributions for Pension and Disability Insurance</v>
      </c>
      <c r="C115" s="486"/>
      <c r="D115" s="486"/>
      <c r="E115" s="486"/>
      <c r="F115" s="486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5" t="str">
        <f>+VLOOKUP(LEFT($A116,LEN(A116)-1)*1,Master!$D$25:$G$223,4,FALSE)</f>
        <v>Contributions for Health Insurance</v>
      </c>
      <c r="C116" s="486"/>
      <c r="D116" s="486"/>
      <c r="E116" s="486"/>
      <c r="F116" s="486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5" t="str">
        <f>+VLOOKUP(LEFT($A117,LEN(A117)-1)*1,Master!$D$25:$G$223,4,FALSE)</f>
        <v>Contributions for  Unemployment Insurance</v>
      </c>
      <c r="C117" s="486"/>
      <c r="D117" s="486"/>
      <c r="E117" s="486"/>
      <c r="F117" s="486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5" t="str">
        <f>+VLOOKUP(LEFT($A118,LEN(A118)-1)*1,Master!$D$25:$G$223,4,FALSE)</f>
        <v>Other contributions</v>
      </c>
      <c r="C118" s="486"/>
      <c r="D118" s="486"/>
      <c r="E118" s="486"/>
      <c r="F118" s="486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7" t="str">
        <f>+VLOOKUP(LEFT($A119,LEN(A119)-1)*1,Master!$D$25:$G$223,4,FALSE)</f>
        <v>Duties</v>
      </c>
      <c r="C119" s="488"/>
      <c r="D119" s="488"/>
      <c r="E119" s="488"/>
      <c r="F119" s="488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7" t="str">
        <f>+VLOOKUP(LEFT($A120,LEN(A120)-1)*1,Master!$D$25:$G$223,4,FALSE)</f>
        <v>Fees</v>
      </c>
      <c r="C120" s="488"/>
      <c r="D120" s="488"/>
      <c r="E120" s="488"/>
      <c r="F120" s="488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7" t="str">
        <f>+VLOOKUP(LEFT($A121,LEN(A121)-1)*1,Master!$D$25:$G$223,4,FALSE)</f>
        <v>Other revenues</v>
      </c>
      <c r="C121" s="488"/>
      <c r="D121" s="488"/>
      <c r="E121" s="488"/>
      <c r="F121" s="488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7" t="str">
        <f>+VLOOKUP(LEFT($A122,LEN(A122)-1)*1,Master!$D$25:$G$223,4,FALSE)</f>
        <v>Receipts from Repayment of Loans and Funds Carried over from Previous Year</v>
      </c>
      <c r="C122" s="488"/>
      <c r="D122" s="488"/>
      <c r="E122" s="488"/>
      <c r="F122" s="488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9" t="str">
        <f>+VLOOKUP(LEFT($A123,LEN(A123)-1)*1,Master!$D$25:$G$223,4,FALSE)</f>
        <v>Grants and Transfers</v>
      </c>
      <c r="C123" s="490"/>
      <c r="D123" s="490"/>
      <c r="E123" s="490"/>
      <c r="F123" s="490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5" t="str">
        <f>+VLOOKUP(LEFT($A124,LEN(A124)-1)*1,Master!$D$25:$G$223,4,FALSE)</f>
        <v>Total Expenditures</v>
      </c>
      <c r="C124" s="476"/>
      <c r="D124" s="476"/>
      <c r="E124" s="476"/>
      <c r="F124" s="476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1" t="str">
        <f>+VLOOKUP(LEFT($A125,LEN(A125)-1)*1,Master!$D$25:$G$223,4,FALSE)</f>
        <v>Current Expenditures</v>
      </c>
      <c r="C125" s="492"/>
      <c r="D125" s="492"/>
      <c r="E125" s="492"/>
      <c r="F125" s="492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3" t="str">
        <f>+VLOOKUP(LEFT($A126,LEN(A126)-1)*1,Master!$D$25:$G$223,4,FALSE)</f>
        <v>Current Budgetary Expenditures</v>
      </c>
      <c r="C126" s="494"/>
      <c r="D126" s="494"/>
      <c r="E126" s="494"/>
      <c r="F126" s="494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5" t="str">
        <f>+VLOOKUP(LEFT($A127,LEN(A127)-1)*1,Master!$D$25:$G$223,4,FALSE)</f>
        <v>Gross Salaries and Contributions</v>
      </c>
      <c r="C127" s="486"/>
      <c r="D127" s="486"/>
      <c r="E127" s="486"/>
      <c r="F127" s="486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5" t="str">
        <f>+VLOOKUP(LEFT($A128,LEN(A128)-1)*1,Master!$D$25:$G$223,4,FALSE)</f>
        <v>Other Personal Income</v>
      </c>
      <c r="C128" s="486"/>
      <c r="D128" s="486"/>
      <c r="E128" s="486"/>
      <c r="F128" s="486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5" t="str">
        <f>+VLOOKUP(LEFT($A129,LEN(A129)-1)*1,Master!$D$25:$G$223,4,FALSE)</f>
        <v>Expenditures for Supplies</v>
      </c>
      <c r="C129" s="486"/>
      <c r="D129" s="486"/>
      <c r="E129" s="486"/>
      <c r="F129" s="486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5" t="str">
        <f>+VLOOKUP(LEFT($A130,LEN(A130)-1)*1,Master!$D$25:$G$223,4,FALSE)</f>
        <v>Expenditures for Services</v>
      </c>
      <c r="C130" s="486"/>
      <c r="D130" s="486"/>
      <c r="E130" s="486"/>
      <c r="F130" s="486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5" t="str">
        <f>+VLOOKUP(LEFT($A131,LEN(A131)-1)*1,Master!$D$25:$G$223,4,FALSE)</f>
        <v>Current Maintenance</v>
      </c>
      <c r="C131" s="486"/>
      <c r="D131" s="486"/>
      <c r="E131" s="486"/>
      <c r="F131" s="486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5" t="str">
        <f>+VLOOKUP(LEFT($A132,LEN(A132)-1)*1,Master!$D$25:$G$223,4,FALSE)</f>
        <v>Interests</v>
      </c>
      <c r="C132" s="486"/>
      <c r="D132" s="486"/>
      <c r="E132" s="486"/>
      <c r="F132" s="486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5" t="str">
        <f>+VLOOKUP(LEFT($A133,LEN(A133)-1)*1,Master!$D$25:$G$223,4,FALSE)</f>
        <v>Rent</v>
      </c>
      <c r="C133" s="486"/>
      <c r="D133" s="486"/>
      <c r="E133" s="486"/>
      <c r="F133" s="486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5" t="str">
        <f>+VLOOKUP(LEFT($A134,LEN(A134)-1)*1,Master!$D$25:$G$223,4,FALSE)</f>
        <v>Subsidies</v>
      </c>
      <c r="C134" s="486"/>
      <c r="D134" s="486"/>
      <c r="E134" s="486"/>
      <c r="F134" s="486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5" t="str">
        <f>+VLOOKUP(LEFT($A135,LEN(A135)-1)*1,Master!$D$25:$G$223,4,FALSE)</f>
        <v>Other expenditures</v>
      </c>
      <c r="C135" s="486"/>
      <c r="D135" s="486"/>
      <c r="E135" s="486"/>
      <c r="F135" s="486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5" t="str">
        <f>+VLOOKUP(LEFT($A136,LEN(A136)-1)*1,Master!$D$25:$G$223,4,FALSE)</f>
        <v>Current Capital Expenditure</v>
      </c>
      <c r="C136" s="486"/>
      <c r="D136" s="486"/>
      <c r="E136" s="486"/>
      <c r="F136" s="486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1" t="str">
        <f>+VLOOKUP(LEFT($A137,LEN(A137)-1)*1,Master!$D$25:$G$223,4,FALSE)</f>
        <v>Social Security Transfers</v>
      </c>
      <c r="C137" s="482"/>
      <c r="D137" s="482"/>
      <c r="E137" s="482"/>
      <c r="F137" s="482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5" t="str">
        <f>+VLOOKUP(LEFT($A138,LEN(A138)-1)*1,Master!$D$25:$G$223,4,FALSE)</f>
        <v>Social Security</v>
      </c>
      <c r="C138" s="486"/>
      <c r="D138" s="486"/>
      <c r="E138" s="486"/>
      <c r="F138" s="486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5" t="str">
        <f>+VLOOKUP(LEFT($A139,LEN(A139)-1)*1,Master!$D$25:$G$223,4,FALSE)</f>
        <v>Funds for redundant labor</v>
      </c>
      <c r="C139" s="486"/>
      <c r="D139" s="486"/>
      <c r="E139" s="486"/>
      <c r="F139" s="486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5" t="str">
        <f>+VLOOKUP(LEFT($A140,LEN(A140)-1)*1,Master!$D$25:$G$223,4,FALSE)</f>
        <v>Pension and Disability Insurance</v>
      </c>
      <c r="C140" s="486"/>
      <c r="D140" s="486"/>
      <c r="E140" s="486"/>
      <c r="F140" s="486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5" t="str">
        <f>+VLOOKUP(LEFT($A141,LEN(A141)-1)*1,Master!$D$25:$G$223,4,FALSE)</f>
        <v>Other Health Care Transfers</v>
      </c>
      <c r="C141" s="486"/>
      <c r="D141" s="486"/>
      <c r="E141" s="486"/>
      <c r="F141" s="486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5" t="str">
        <f>+VLOOKUP(LEFT($A142,LEN(A142)-1)*1,Master!$D$25:$G$223,4,FALSE)</f>
        <v>Other Health Care Insurance</v>
      </c>
      <c r="C142" s="486"/>
      <c r="D142" s="486"/>
      <c r="E142" s="486"/>
      <c r="F142" s="486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3" t="str">
        <f>+VLOOKUP(LEFT($A143,LEN(A143)-1)*1,Master!$D$25:$G$223,4,FALSE)</f>
        <v xml:space="preserve">Transfers to Institutions, Individuals, NGO and Public Sector </v>
      </c>
      <c r="C143" s="484"/>
      <c r="D143" s="484"/>
      <c r="E143" s="484"/>
      <c r="F143" s="484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3" t="str">
        <f>+VLOOKUP(LEFT($A144,LEN(A144)-1)*1,Master!$D$25:$G$223,4,FALSE)</f>
        <v>Capital Expenditure</v>
      </c>
      <c r="C144" s="484"/>
      <c r="D144" s="484"/>
      <c r="E144" s="484"/>
      <c r="F144" s="484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3" t="str">
        <f>+VLOOKUP(LEFT($A145,LEN(A145)-1)*1,Master!$D$25:$G$223,4,FALSE)</f>
        <v>Credits and Borrowings</v>
      </c>
      <c r="C145" s="454"/>
      <c r="D145" s="454"/>
      <c r="E145" s="454"/>
      <c r="F145" s="454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3" t="str">
        <f>+VLOOKUP(LEFT($A146,LEN(A146)-1)*1,Master!$D$25:$G$223,4,FALSE)</f>
        <v>Reserves</v>
      </c>
      <c r="C146" s="454"/>
      <c r="D146" s="454"/>
      <c r="E146" s="454"/>
      <c r="F146" s="454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1" t="str">
        <f>+VLOOKUP(LEFT($A147,LEN(A147)-1)*1,Master!$D$25:$G$223,4,FALSE)</f>
        <v>Repayment of Guarantees</v>
      </c>
      <c r="C147" s="472"/>
      <c r="D147" s="472"/>
      <c r="E147" s="472"/>
      <c r="F147" s="472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7" t="str">
        <f>+VLOOKUP(LEFT($A148,LEN(A148)-1)*1,Master!$D$25:$G$223,4,FALSE)</f>
        <v>Surplus / deficit</v>
      </c>
      <c r="C148" s="478"/>
      <c r="D148" s="478"/>
      <c r="E148" s="478"/>
      <c r="F148" s="478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9" t="str">
        <f>+VLOOKUP(LEFT($A149,LEN(A149)-1)*1,Master!$D$25:$G$223,4,FALSE)</f>
        <v>Primary balance</v>
      </c>
      <c r="C149" s="480"/>
      <c r="D149" s="480"/>
      <c r="E149" s="480"/>
      <c r="F149" s="480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1" t="str">
        <f>+VLOOKUP(LEFT($A150,LEN(A150)-1)*1,Master!$D$25:$G$223,4,FALSE)</f>
        <v>Repayment of Debt</v>
      </c>
      <c r="C150" s="482"/>
      <c r="D150" s="482"/>
      <c r="E150" s="482"/>
      <c r="F150" s="482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9" t="str">
        <f>+VLOOKUP(LEFT($A151,LEN(A151)-1)*1,Master!$D$25:$G$223,4,FALSE)</f>
        <v>Repayment of Domestic Debt</v>
      </c>
      <c r="C151" s="470"/>
      <c r="D151" s="470"/>
      <c r="E151" s="470"/>
      <c r="F151" s="470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3" t="str">
        <f>+VLOOKUP(LEFT($A152,LEN(A152)-1)*1,Master!$D$25:$G$223,4,FALSE)</f>
        <v>Repayment of Foreign Debt</v>
      </c>
      <c r="C152" s="454"/>
      <c r="D152" s="454"/>
      <c r="E152" s="454"/>
      <c r="F152" s="454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1" t="str">
        <f>+VLOOKUP(LEFT($A153,LEN(A153)-1)*1,Master!$D$25:$G$223,4,FALSE)</f>
        <v>Repayments of Arrears</v>
      </c>
      <c r="C153" s="472"/>
      <c r="D153" s="472"/>
      <c r="E153" s="472"/>
      <c r="F153" s="472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3" t="str">
        <f>+VLOOKUP(LEFT($A154,LEN(A154)-1)*1,Master!$D$25:$G$223,4,FALSE)</f>
        <v>Financing needs</v>
      </c>
      <c r="C154" s="474"/>
      <c r="D154" s="474"/>
      <c r="E154" s="474"/>
      <c r="F154" s="474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5" t="str">
        <f>+VLOOKUP(LEFT($A155,LEN(A155)-1)*1,Master!$D$25:$G$223,4,FALSE)</f>
        <v>Financing</v>
      </c>
      <c r="C155" s="476"/>
      <c r="D155" s="476"/>
      <c r="E155" s="476"/>
      <c r="F155" s="476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9" t="str">
        <f>+VLOOKUP(LEFT($A156,LEN(A156)-1)*1,Master!$D$25:$G$223,4,FALSE)</f>
        <v>Domestic Loans and Borrowings</v>
      </c>
      <c r="C156" s="470"/>
      <c r="D156" s="470"/>
      <c r="E156" s="470"/>
      <c r="F156" s="470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3" t="str">
        <f>+VLOOKUP(LEFT($A157,LEN(A157)-1)*1,Master!$D$25:$G$223,4,FALSE)</f>
        <v>Foreign Loans and Borrowings</v>
      </c>
      <c r="C157" s="454"/>
      <c r="D157" s="454"/>
      <c r="E157" s="454"/>
      <c r="F157" s="454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3" t="str">
        <f>+VLOOKUP(LEFT($A158,LEN(A158)-1)*1,Master!$D$25:$G$223,4,FALSE)</f>
        <v>Revenues from Selling Assets</v>
      </c>
      <c r="C158" s="454"/>
      <c r="D158" s="454"/>
      <c r="E158" s="454"/>
      <c r="F158" s="454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Increase / decrease of deposits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DU8" activePane="bottomRight" state="frozen"/>
      <selection pane="topRight" activeCell="F1" sqref="F1"/>
      <selection pane="bottomLeft" activeCell="A8" sqref="A8"/>
      <selection pane="bottomRight" activeCell="FD21" sqref="FD21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4" t="s">
        <v>569</v>
      </c>
      <c r="F6" s="561">
        <v>2006</v>
      </c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3"/>
      <c r="R6" s="561">
        <v>2007</v>
      </c>
      <c r="S6" s="562"/>
      <c r="T6" s="562"/>
      <c r="U6" s="562"/>
      <c r="V6" s="562"/>
      <c r="W6" s="562"/>
      <c r="X6" s="562"/>
      <c r="Y6" s="562"/>
      <c r="Z6" s="562"/>
      <c r="AA6" s="562"/>
      <c r="AB6" s="562"/>
      <c r="AC6" s="563"/>
      <c r="AD6" s="561">
        <v>2008</v>
      </c>
      <c r="AE6" s="562"/>
      <c r="AF6" s="562"/>
      <c r="AG6" s="562"/>
      <c r="AH6" s="562"/>
      <c r="AI6" s="562"/>
      <c r="AJ6" s="562"/>
      <c r="AK6" s="562"/>
      <c r="AL6" s="562"/>
      <c r="AM6" s="562"/>
      <c r="AN6" s="562"/>
      <c r="AO6" s="563"/>
      <c r="AP6" s="561">
        <v>2009</v>
      </c>
      <c r="AQ6" s="562"/>
      <c r="AR6" s="562"/>
      <c r="AS6" s="562"/>
      <c r="AT6" s="562"/>
      <c r="AU6" s="562"/>
      <c r="AV6" s="562"/>
      <c r="AW6" s="562"/>
      <c r="AX6" s="562"/>
      <c r="AY6" s="562"/>
      <c r="AZ6" s="562"/>
      <c r="BA6" s="563"/>
      <c r="BB6" s="561">
        <v>2010</v>
      </c>
      <c r="BC6" s="562"/>
      <c r="BD6" s="562"/>
      <c r="BE6" s="562"/>
      <c r="BF6" s="562"/>
      <c r="BG6" s="562"/>
      <c r="BH6" s="562"/>
      <c r="BI6" s="562"/>
      <c r="BJ6" s="562"/>
      <c r="BK6" s="562"/>
      <c r="BL6" s="562"/>
      <c r="BM6" s="563"/>
      <c r="BN6" s="561">
        <v>2011</v>
      </c>
      <c r="BO6" s="562"/>
      <c r="BP6" s="562"/>
      <c r="BQ6" s="562"/>
      <c r="BR6" s="562"/>
      <c r="BS6" s="562"/>
      <c r="BT6" s="562"/>
      <c r="BU6" s="562"/>
      <c r="BV6" s="562"/>
      <c r="BW6" s="562"/>
      <c r="BX6" s="562"/>
      <c r="BY6" s="563"/>
      <c r="BZ6" s="562">
        <v>2012</v>
      </c>
      <c r="CA6" s="562"/>
      <c r="CB6" s="562"/>
      <c r="CC6" s="562"/>
      <c r="CD6" s="562"/>
      <c r="CE6" s="562"/>
      <c r="CF6" s="562"/>
      <c r="CG6" s="562"/>
      <c r="CH6" s="562"/>
      <c r="CI6" s="562"/>
      <c r="CJ6" s="562"/>
      <c r="CK6" s="562"/>
      <c r="CL6" s="561">
        <v>2013</v>
      </c>
      <c r="CM6" s="562"/>
      <c r="CN6" s="562"/>
      <c r="CO6" s="562"/>
      <c r="CP6" s="562"/>
      <c r="CQ6" s="562"/>
      <c r="CR6" s="562"/>
      <c r="CS6" s="562"/>
      <c r="CT6" s="562"/>
      <c r="CU6" s="562"/>
      <c r="CV6" s="562"/>
      <c r="CW6" s="563"/>
      <c r="CX6" s="561">
        <v>2014</v>
      </c>
      <c r="CY6" s="562"/>
      <c r="CZ6" s="562"/>
      <c r="DA6" s="562"/>
      <c r="DB6" s="562"/>
      <c r="DC6" s="562"/>
      <c r="DD6" s="562"/>
      <c r="DE6" s="562"/>
      <c r="DF6" s="562"/>
      <c r="DG6" s="562"/>
      <c r="DH6" s="562"/>
      <c r="DI6" s="563"/>
      <c r="DJ6" s="561">
        <v>2015</v>
      </c>
      <c r="DK6" s="562"/>
      <c r="DL6" s="562"/>
      <c r="DM6" s="562"/>
      <c r="DN6" s="562"/>
      <c r="DO6" s="562"/>
      <c r="DP6" s="562"/>
      <c r="DQ6" s="562"/>
      <c r="DR6" s="562"/>
      <c r="DS6" s="562"/>
      <c r="DT6" s="562"/>
      <c r="DU6" s="563"/>
    </row>
    <row r="7" spans="1:321">
      <c r="E7" s="564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7" t="s">
        <v>760</v>
      </c>
      <c r="EU7" s="397" t="s">
        <v>761</v>
      </c>
      <c r="EV7" s="397" t="s">
        <v>762</v>
      </c>
      <c r="EW7" s="397" t="s">
        <v>763</v>
      </c>
      <c r="EX7" s="397" t="s">
        <v>764</v>
      </c>
      <c r="EY7" s="397" t="s">
        <v>765</v>
      </c>
      <c r="EZ7" s="397" t="s">
        <v>766</v>
      </c>
      <c r="FA7" s="397" t="s">
        <v>767</v>
      </c>
      <c r="FB7" s="397" t="s">
        <v>768</v>
      </c>
      <c r="FC7" s="397" t="s">
        <v>769</v>
      </c>
      <c r="FD7" s="397" t="s">
        <v>770</v>
      </c>
      <c r="FE7" s="397" t="s">
        <v>771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3">
        <v>79855347.849999994</v>
      </c>
      <c r="EU9" s="423">
        <v>106190042</v>
      </c>
      <c r="EV9" s="423">
        <v>137417391.37</v>
      </c>
      <c r="EW9" s="376">
        <v>147833434.00999999</v>
      </c>
      <c r="EX9" s="376">
        <v>135934065.38</v>
      </c>
      <c r="EY9" s="376"/>
      <c r="EZ9" s="376"/>
      <c r="FA9" s="376"/>
      <c r="FB9" s="376"/>
      <c r="FC9" s="376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24">
        <v>60295851.509999998</v>
      </c>
      <c r="EU10" s="424">
        <v>64797597.329999998</v>
      </c>
      <c r="EV10" s="424">
        <v>89261850.609999999</v>
      </c>
      <c r="EW10" s="378">
        <v>97799793.079999998</v>
      </c>
      <c r="EX10" s="378">
        <v>90553351.069999993</v>
      </c>
      <c r="EY10" s="378">
        <v>87503254.430000007</v>
      </c>
      <c r="EZ10" s="378">
        <v>105015545.47</v>
      </c>
      <c r="FA10" s="378">
        <v>107951400.73999999</v>
      </c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423">
        <v>3496624.83</v>
      </c>
      <c r="EU11" s="423">
        <v>8897390.9499999993</v>
      </c>
      <c r="EV11" s="423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/>
      <c r="FC11" s="376"/>
      <c r="FD11" s="376"/>
      <c r="FE11" s="376"/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423">
        <v>475602.8</v>
      </c>
      <c r="EU12" s="423">
        <v>1641570.62</v>
      </c>
      <c r="EV12" s="423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/>
      <c r="FC12" s="376"/>
      <c r="FD12" s="376"/>
      <c r="FE12" s="376"/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423">
        <v>93380.49</v>
      </c>
      <c r="EU13" s="423">
        <v>116565.53</v>
      </c>
      <c r="EV13" s="423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/>
      <c r="FC13" s="376"/>
      <c r="FD13" s="376"/>
      <c r="FE13" s="376"/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423">
        <v>40926868.810000002</v>
      </c>
      <c r="EU14" s="423">
        <v>38270122.18</v>
      </c>
      <c r="EV14" s="423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/>
      <c r="FC14" s="376"/>
      <c r="FD14" s="376"/>
      <c r="FE14" s="376"/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423">
        <v>13370061.67</v>
      </c>
      <c r="EU15" s="423">
        <v>13585674.48</v>
      </c>
      <c r="EV15" s="423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/>
      <c r="FC15" s="376"/>
      <c r="FD15" s="376"/>
      <c r="FE15" s="376"/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423">
        <v>1218936.71</v>
      </c>
      <c r="EU16" s="423">
        <v>1678360</v>
      </c>
      <c r="EV16" s="423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/>
      <c r="FC16" s="376"/>
      <c r="FD16" s="376"/>
      <c r="FE16" s="376"/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423">
        <v>714376.2</v>
      </c>
      <c r="EU17" s="423">
        <v>607913.56999999995</v>
      </c>
      <c r="EV17" s="423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/>
      <c r="FC17" s="376"/>
      <c r="FD17" s="376"/>
      <c r="FE17" s="376"/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424">
        <v>14572676.99</v>
      </c>
      <c r="EU18" s="424">
        <v>36938118.07</v>
      </c>
      <c r="EV18" s="424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/>
      <c r="FC18" s="378"/>
      <c r="FD18" s="378"/>
      <c r="FE18" s="378"/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423">
        <v>8994145.9900000002</v>
      </c>
      <c r="EU19" s="423">
        <v>22424749.280000001</v>
      </c>
      <c r="EV19" s="423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/>
      <c r="FC19" s="376"/>
      <c r="FD19" s="376"/>
      <c r="FE19" s="376"/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423">
        <v>4907250.76</v>
      </c>
      <c r="EU20" s="423">
        <v>12702016.77</v>
      </c>
      <c r="EV20" s="423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/>
      <c r="FC20" s="376"/>
      <c r="FD20" s="376"/>
      <c r="FE20" s="376"/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423">
        <v>365962.97</v>
      </c>
      <c r="EU21" s="423">
        <v>960588.74</v>
      </c>
      <c r="EV21" s="423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/>
      <c r="FC21" s="376"/>
      <c r="FD21" s="376"/>
      <c r="FE21" s="376"/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423">
        <v>305317.27</v>
      </c>
      <c r="EU22" s="423">
        <v>850763.28</v>
      </c>
      <c r="EV22" s="423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/>
      <c r="FC22" s="376"/>
      <c r="FD22" s="376"/>
      <c r="FE22" s="376"/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424">
        <v>785627.24</v>
      </c>
      <c r="EU23" s="424">
        <v>993423.94</v>
      </c>
      <c r="EV23" s="424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1838018.93</v>
      </c>
      <c r="FB23" s="378"/>
      <c r="FC23" s="378"/>
      <c r="FD23" s="378"/>
      <c r="FE23" s="378"/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423">
        <v>572123.71</v>
      </c>
      <c r="EU24" s="423">
        <v>691468.91</v>
      </c>
      <c r="EV24" s="423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1033670.19</v>
      </c>
      <c r="FB24" s="376"/>
      <c r="FC24" s="376"/>
      <c r="FD24" s="376"/>
      <c r="FE24" s="376"/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423">
        <v>93434.6</v>
      </c>
      <c r="EU25" s="423">
        <v>109385.74</v>
      </c>
      <c r="EV25" s="423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/>
      <c r="FC25" s="376"/>
      <c r="FD25" s="376"/>
      <c r="FE25" s="376"/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423">
        <v>21633.83</v>
      </c>
      <c r="EU26" s="423">
        <v>24453.21</v>
      </c>
      <c r="EV26" s="423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/>
      <c r="FC26" s="376"/>
      <c r="FD26" s="376"/>
      <c r="FE26" s="376"/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423">
        <v>98435.1</v>
      </c>
      <c r="EU27" s="423">
        <v>168116.08</v>
      </c>
      <c r="EV27" s="423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/>
      <c r="FC27" s="376"/>
      <c r="FD27" s="376"/>
      <c r="FE27" s="376"/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424">
        <v>1774503.57</v>
      </c>
      <c r="EU28" s="424">
        <v>1885893.46</v>
      </c>
      <c r="EV28" s="424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/>
      <c r="FC28" s="378"/>
      <c r="FD28" s="378"/>
      <c r="FE28" s="378"/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423">
        <v>29715.1</v>
      </c>
      <c r="EU29" s="423">
        <v>46180.29</v>
      </c>
      <c r="EV29" s="423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/>
      <c r="FC29" s="376"/>
      <c r="FD29" s="376"/>
      <c r="FE29" s="376"/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423">
        <v>120406.14</v>
      </c>
      <c r="EU30" s="423">
        <v>138658.04999999999</v>
      </c>
      <c r="EV30" s="423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/>
      <c r="FC30" s="376"/>
      <c r="FD30" s="376"/>
      <c r="FE30" s="376"/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423">
        <v>1567.64</v>
      </c>
      <c r="EU31" s="423">
        <v>1648.75</v>
      </c>
      <c r="EV31" s="423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/>
      <c r="FC31" s="376"/>
      <c r="FD31" s="376"/>
      <c r="FE31" s="376"/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423">
        <v>564026.22</v>
      </c>
      <c r="EU32" s="423">
        <v>552007.56999999995</v>
      </c>
      <c r="EV32" s="423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/>
      <c r="FC32" s="376"/>
      <c r="FD32" s="376"/>
      <c r="FE32" s="376"/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423">
        <v>202641</v>
      </c>
      <c r="EU33" s="423">
        <v>112102.37</v>
      </c>
      <c r="EV33" s="423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/>
      <c r="FC33" s="376"/>
      <c r="FD33" s="376"/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423">
        <v>856147.47</v>
      </c>
      <c r="EU34" s="423">
        <v>1035296.43</v>
      </c>
      <c r="EV34" s="423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/>
      <c r="FC34" s="376"/>
      <c r="FD34" s="376"/>
      <c r="FE34" s="376"/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424">
        <v>2425520.81</v>
      </c>
      <c r="EU35" s="424">
        <v>1609741.96</v>
      </c>
      <c r="EV35" s="424">
        <v>2046839.31</v>
      </c>
      <c r="EW35" s="378">
        <v>5482431.4299999997</v>
      </c>
      <c r="EX35" s="378">
        <v>2149512.65</v>
      </c>
      <c r="EY35" s="378">
        <v>2742352.51</v>
      </c>
      <c r="EZ35" s="378">
        <v>3928944.25</v>
      </c>
      <c r="FA35" s="378">
        <v>3453874.44</v>
      </c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425">
        <v>757682.7</v>
      </c>
      <c r="EU36" s="423">
        <v>26758.59</v>
      </c>
      <c r="EV36" s="423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/>
      <c r="FC36" s="376"/>
      <c r="FD36" s="376"/>
      <c r="FE36" s="376"/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423">
        <v>657232.74</v>
      </c>
      <c r="EU37" s="423">
        <v>844736.49</v>
      </c>
      <c r="EV37" s="423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/>
      <c r="FC37" s="376"/>
      <c r="FD37" s="376"/>
      <c r="FE37" s="376"/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423">
        <v>126122.18</v>
      </c>
      <c r="EU38" s="423">
        <v>179834.33</v>
      </c>
      <c r="EV38" s="423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/>
      <c r="FC38" s="376"/>
      <c r="FD38" s="376"/>
      <c r="FE38" s="376"/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423">
        <v>884483.19</v>
      </c>
      <c r="EU39" s="423">
        <v>558412.55000000005</v>
      </c>
      <c r="EV39" s="423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1468099.65</v>
      </c>
      <c r="FB39" s="376"/>
      <c r="FC39" s="376"/>
      <c r="FD39" s="376"/>
      <c r="FE39" s="376"/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424">
        <v>136671.79999999999</v>
      </c>
      <c r="EU40" s="424">
        <v>273046.61</v>
      </c>
      <c r="EV40" s="424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/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376"/>
      <c r="EU41" s="376"/>
      <c r="EV41" s="376"/>
      <c r="EW41" s="376"/>
      <c r="EX41" s="376"/>
      <c r="EY41" s="376"/>
      <c r="EZ41" s="376"/>
      <c r="FA41" s="376"/>
      <c r="FB41" s="376"/>
      <c r="FC41" s="376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376"/>
      <c r="EU42" s="376"/>
      <c r="EV42" s="376"/>
      <c r="EW42" s="376"/>
      <c r="EX42" s="376"/>
      <c r="EY42" s="376"/>
      <c r="EZ42" s="376"/>
      <c r="FA42" s="376"/>
      <c r="FB42" s="376"/>
      <c r="FC42" s="376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424">
        <v>172043.05</v>
      </c>
      <c r="EU43" s="424">
        <v>78777.210000000006</v>
      </c>
      <c r="EV43" s="424">
        <v>195694.06</v>
      </c>
      <c r="EW43" s="378">
        <v>433978.03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/>
      <c r="FC43" s="378"/>
      <c r="FD43" s="378"/>
      <c r="FE43" s="378"/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376"/>
      <c r="EU44" s="376"/>
      <c r="EV44" s="376"/>
      <c r="EW44" s="376"/>
      <c r="EX44" s="376"/>
      <c r="EY44" s="376"/>
      <c r="EZ44" s="376"/>
      <c r="FA44" s="376"/>
      <c r="FB44" s="376"/>
      <c r="FC44" s="376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376"/>
      <c r="EU45" s="376"/>
      <c r="EV45" s="376"/>
      <c r="EW45" s="376"/>
      <c r="EX45" s="376"/>
      <c r="EY45" s="376"/>
      <c r="EZ45" s="376"/>
      <c r="FA45" s="376"/>
      <c r="FB45" s="376"/>
      <c r="FC45" s="376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424">
        <v>1518621.66</v>
      </c>
      <c r="EU46" s="424">
        <v>776556.18</v>
      </c>
      <c r="EV46" s="424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/>
      <c r="FC46" s="378"/>
      <c r="FD46" s="378"/>
      <c r="FE46" s="378"/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376"/>
      <c r="EU47" s="376"/>
      <c r="EV47" s="376"/>
      <c r="EW47" s="376"/>
      <c r="EX47" s="376"/>
      <c r="EY47" s="376"/>
      <c r="EZ47" s="376"/>
      <c r="FA47" s="376"/>
      <c r="FB47" s="376"/>
      <c r="FC47" s="376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376"/>
      <c r="EU48" s="376"/>
      <c r="EV48" s="376"/>
      <c r="EW48" s="376"/>
      <c r="EX48" s="376"/>
      <c r="EY48" s="376"/>
      <c r="EZ48" s="376"/>
      <c r="FA48" s="376"/>
      <c r="FB48" s="376"/>
      <c r="FC48" s="376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424">
        <v>24756264.800000001</v>
      </c>
      <c r="EU49" s="424">
        <v>75548588.189999998</v>
      </c>
      <c r="EV49" s="424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/>
      <c r="FC49" s="378"/>
      <c r="FD49" s="378"/>
      <c r="FE49" s="378"/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376"/>
      <c r="EU50" s="376"/>
      <c r="EV50" s="376"/>
      <c r="EW50" s="376"/>
      <c r="EX50" s="376"/>
      <c r="EY50" s="376"/>
      <c r="EZ50" s="376"/>
      <c r="FA50" s="376"/>
      <c r="FB50" s="376"/>
      <c r="FC50" s="376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425">
        <v>24535941.960000001</v>
      </c>
      <c r="EU51" s="425">
        <v>75357443.420000002</v>
      </c>
      <c r="EV51" s="425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425">
        <v>220322.84</v>
      </c>
      <c r="EU52" s="425">
        <v>191078.77</v>
      </c>
      <c r="EV52" s="425">
        <v>5238085.6500000004</v>
      </c>
      <c r="EW52" s="376">
        <v>125398354.06999999</v>
      </c>
      <c r="EX52" s="376">
        <v>7673073.0999999996</v>
      </c>
      <c r="EY52" s="376">
        <v>266114636.84999999</v>
      </c>
      <c r="EZ52" s="376">
        <v>15363581.189999999</v>
      </c>
      <c r="FA52" s="376">
        <v>204639.39</v>
      </c>
      <c r="FB52" s="376"/>
      <c r="FC52" s="376"/>
      <c r="FD52" s="376"/>
      <c r="FE52" s="376"/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423">
        <v>104498495.13</v>
      </c>
      <c r="EU53" s="423">
        <v>123153743.48</v>
      </c>
      <c r="EV53" s="423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423">
        <v>17822596.359999999</v>
      </c>
      <c r="EU54" s="423">
        <v>53222053.950000003</v>
      </c>
      <c r="EV54" s="423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423">
        <v>37313745.240000002</v>
      </c>
      <c r="EU55" s="423">
        <v>38053361.399999999</v>
      </c>
      <c r="EV55" s="423">
        <v>36623552.420000002</v>
      </c>
      <c r="EW55" s="376">
        <v>38350938.119999997</v>
      </c>
      <c r="EX55" s="376">
        <v>38447534.82</v>
      </c>
      <c r="EY55" s="376">
        <v>38983346.57</v>
      </c>
      <c r="EZ55" s="376">
        <v>37411972.93</v>
      </c>
      <c r="FA55" s="376">
        <v>36767851.93</v>
      </c>
      <c r="FB55" s="376"/>
      <c r="FC55" s="376"/>
      <c r="FD55" s="376"/>
      <c r="FE55" s="376"/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423"/>
      <c r="EV56" s="423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423"/>
      <c r="EV57" s="423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423"/>
      <c r="EV58" s="423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423"/>
      <c r="EV59" s="423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423"/>
      <c r="EV60" s="423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423">
        <v>363127.64</v>
      </c>
      <c r="EU61" s="423">
        <v>848575.97</v>
      </c>
      <c r="EV61" s="423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/>
      <c r="FC61" s="376"/>
      <c r="FD61" s="376"/>
      <c r="FE61" s="376"/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376"/>
      <c r="EU62" s="423"/>
      <c r="EV62" s="423"/>
      <c r="EW62" s="376"/>
      <c r="EX62" s="376"/>
      <c r="EY62" s="376"/>
      <c r="EZ62" s="376"/>
      <c r="FA62" s="376"/>
      <c r="FB62" s="376"/>
      <c r="FC62" s="376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376"/>
      <c r="EU63" s="423"/>
      <c r="EV63" s="423"/>
      <c r="EW63" s="376"/>
      <c r="EX63" s="376"/>
      <c r="EY63" s="376"/>
      <c r="EZ63" s="376"/>
      <c r="FA63" s="376"/>
      <c r="FB63" s="376"/>
      <c r="FC63" s="376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376"/>
      <c r="EU64" s="423"/>
      <c r="EV64" s="423"/>
      <c r="EW64" s="376"/>
      <c r="EX64" s="376"/>
      <c r="EY64" s="376"/>
      <c r="EZ64" s="376"/>
      <c r="FA64" s="376"/>
      <c r="FB64" s="376"/>
      <c r="FC64" s="376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376"/>
      <c r="EU65" s="423"/>
      <c r="EV65" s="423"/>
      <c r="EW65" s="376"/>
      <c r="EX65" s="376"/>
      <c r="EY65" s="376"/>
      <c r="EZ65" s="376"/>
      <c r="FA65" s="376"/>
      <c r="FB65" s="376"/>
      <c r="FC65" s="376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376"/>
      <c r="EU66" s="423"/>
      <c r="EV66" s="423"/>
      <c r="EW66" s="376"/>
      <c r="EX66" s="376"/>
      <c r="EY66" s="376"/>
      <c r="EZ66" s="376"/>
      <c r="FA66" s="376"/>
      <c r="FB66" s="376"/>
      <c r="FC66" s="376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376"/>
      <c r="EU67" s="423"/>
      <c r="EV67" s="423"/>
      <c r="EW67" s="376"/>
      <c r="EX67" s="376"/>
      <c r="EY67" s="376"/>
      <c r="EZ67" s="376"/>
      <c r="FA67" s="376"/>
      <c r="FB67" s="376"/>
      <c r="FC67" s="376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376"/>
      <c r="EU68" s="423"/>
      <c r="EV68" s="423"/>
      <c r="EW68" s="376"/>
      <c r="EX68" s="376"/>
      <c r="EY68" s="376"/>
      <c r="EZ68" s="376"/>
      <c r="FA68" s="376"/>
      <c r="FB68" s="376"/>
      <c r="FC68" s="376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423">
        <v>1027061</v>
      </c>
      <c r="EU69" s="423">
        <v>2339456.96</v>
      </c>
      <c r="EV69" s="423">
        <v>3799655</v>
      </c>
      <c r="EW69" s="376">
        <v>2451725.77</v>
      </c>
      <c r="EX69" s="376">
        <v>2819164.34</v>
      </c>
      <c r="EY69" s="376">
        <v>2228904.96</v>
      </c>
      <c r="EZ69" s="376">
        <v>2862691.11</v>
      </c>
      <c r="FA69" s="376">
        <v>2385883.61</v>
      </c>
      <c r="FB69" s="376"/>
      <c r="FC69" s="376"/>
      <c r="FD69" s="376"/>
      <c r="FE69" s="376"/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423"/>
      <c r="EV70" s="423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423"/>
      <c r="EV71" s="423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423"/>
      <c r="EV72" s="423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423"/>
      <c r="EV73" s="423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423"/>
      <c r="EV74" s="423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423"/>
      <c r="EV75" s="423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423">
        <v>1697528.93</v>
      </c>
      <c r="EU76" s="423">
        <v>3151750.86</v>
      </c>
      <c r="EV76" s="423">
        <v>4190810.86</v>
      </c>
      <c r="EW76" s="376">
        <v>4576692.6500000004</v>
      </c>
      <c r="EX76" s="376">
        <v>4902792.45</v>
      </c>
      <c r="EY76" s="376">
        <v>14304209.140000001</v>
      </c>
      <c r="EZ76" s="376">
        <v>4957958.04</v>
      </c>
      <c r="FA76" s="376">
        <v>3609827.41</v>
      </c>
      <c r="FB76" s="376"/>
      <c r="FC76" s="376"/>
      <c r="FD76" s="376"/>
      <c r="FE76" s="376"/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423"/>
      <c r="EV77" s="423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423"/>
      <c r="EV78" s="423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423"/>
      <c r="EV79" s="423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423"/>
      <c r="EV80" s="423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423"/>
      <c r="EV81" s="423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423"/>
      <c r="EV82" s="423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423"/>
      <c r="EV83" s="423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423"/>
      <c r="EV84" s="423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423"/>
      <c r="EV85" s="423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423">
        <v>106817.18</v>
      </c>
      <c r="EU86" s="423">
        <v>1254053.07</v>
      </c>
      <c r="EV86" s="423">
        <v>1932637.76</v>
      </c>
      <c r="EW86" s="376">
        <v>1697297.09</v>
      </c>
      <c r="EX86" s="376">
        <v>1674065.37</v>
      </c>
      <c r="EY86" s="376">
        <v>1595120.98</v>
      </c>
      <c r="EZ86" s="376">
        <v>1765570.63</v>
      </c>
      <c r="FA86" s="376">
        <v>823314.3</v>
      </c>
      <c r="FB86" s="376"/>
      <c r="FC86" s="376"/>
      <c r="FD86" s="376"/>
      <c r="FE86" s="376"/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423"/>
      <c r="EV87" s="423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423"/>
      <c r="EV88" s="423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423"/>
      <c r="EV89" s="423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423">
        <v>4324077.55</v>
      </c>
      <c r="EU90" s="423">
        <v>1050801.23</v>
      </c>
      <c r="EV90" s="423">
        <v>39514676.710000001</v>
      </c>
      <c r="EW90" s="376">
        <v>1628189</v>
      </c>
      <c r="EX90" s="376">
        <v>10064809.060000001</v>
      </c>
      <c r="EY90" s="376">
        <v>1838720.63</v>
      </c>
      <c r="EZ90" s="376">
        <v>7490624.3200000003</v>
      </c>
      <c r="FA90" s="376">
        <v>1099809.17</v>
      </c>
      <c r="FB90" s="376"/>
      <c r="FC90" s="376"/>
      <c r="FD90" s="376"/>
      <c r="FE90" s="376"/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423"/>
      <c r="EV91" s="423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423"/>
      <c r="EV92" s="423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423">
        <v>175603.34</v>
      </c>
      <c r="EU93" s="423">
        <v>1124463.03</v>
      </c>
      <c r="EV93" s="423">
        <v>523950.18</v>
      </c>
      <c r="EW93" s="376">
        <v>641415.42000000004</v>
      </c>
      <c r="EX93" s="376">
        <v>939648.68</v>
      </c>
      <c r="EY93" s="376">
        <v>835746.88</v>
      </c>
      <c r="EZ93" s="376">
        <v>824335.7</v>
      </c>
      <c r="FA93" s="376">
        <v>556574.75</v>
      </c>
      <c r="FB93" s="376"/>
      <c r="FC93" s="376"/>
      <c r="FD93" s="376"/>
      <c r="FE93" s="376"/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423"/>
      <c r="EV94" s="423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423"/>
      <c r="EV95" s="423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423"/>
      <c r="EV96" s="423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423">
        <v>31033.66</v>
      </c>
      <c r="EU97" s="423">
        <v>2281116.2599999998</v>
      </c>
      <c r="EV97" s="423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/>
      <c r="FC97" s="376"/>
      <c r="FD97" s="376"/>
      <c r="FE97" s="376"/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423"/>
      <c r="EV98" s="423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423"/>
      <c r="EV99" s="423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423"/>
      <c r="EV100" s="423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423">
        <v>585935.19999999995</v>
      </c>
      <c r="EU101" s="423">
        <v>3390433.55</v>
      </c>
      <c r="EV101" s="423">
        <v>2155321.13</v>
      </c>
      <c r="EW101" s="376">
        <v>2859100.45</v>
      </c>
      <c r="EX101" s="376">
        <v>2637225.6800000002</v>
      </c>
      <c r="EY101" s="376">
        <v>3639193.72</v>
      </c>
      <c r="EZ101" s="376">
        <v>2920320.15</v>
      </c>
      <c r="FA101" s="376">
        <v>3454663.76</v>
      </c>
      <c r="FB101" s="376"/>
      <c r="FC101" s="376"/>
      <c r="FD101" s="376"/>
      <c r="FE101" s="376"/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423"/>
      <c r="EV102" s="423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423"/>
      <c r="EV103" s="423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423"/>
      <c r="EV104" s="423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423"/>
      <c r="EV105" s="423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423"/>
      <c r="EV106" s="423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423"/>
      <c r="EV107" s="423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423"/>
      <c r="EV108" s="423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423"/>
      <c r="EV109" s="423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423"/>
      <c r="EV110" s="423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423">
        <v>42244817.57</v>
      </c>
      <c r="EU111" s="423">
        <v>45525440.090000004</v>
      </c>
      <c r="EV111" s="423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423">
        <v>6003212.1200000001</v>
      </c>
      <c r="EU112" s="423">
        <v>7135869.1500000004</v>
      </c>
      <c r="EV112" s="423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/>
      <c r="FC112" s="376"/>
      <c r="FD112" s="376"/>
      <c r="FE112" s="376"/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423"/>
      <c r="EV113" s="423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376"/>
      <c r="EU114" s="423"/>
      <c r="EV114" s="423"/>
      <c r="EW114" s="376"/>
      <c r="EX114" s="376"/>
      <c r="EY114" s="376"/>
      <c r="EZ114" s="376"/>
      <c r="FA114" s="376"/>
      <c r="FB114" s="376"/>
      <c r="FC114" s="376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376"/>
      <c r="EU115" s="423"/>
      <c r="EV115" s="423"/>
      <c r="EW115" s="376"/>
      <c r="EX115" s="376"/>
      <c r="EY115" s="376"/>
      <c r="EZ115" s="376"/>
      <c r="FA115" s="376"/>
      <c r="FB115" s="376"/>
      <c r="FC115" s="376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376"/>
      <c r="EU116" s="423"/>
      <c r="EV116" s="423"/>
      <c r="EW116" s="376"/>
      <c r="EX116" s="376"/>
      <c r="EY116" s="376"/>
      <c r="EZ116" s="376"/>
      <c r="FA116" s="376"/>
      <c r="FB116" s="376"/>
      <c r="FC116" s="376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376"/>
      <c r="EU117" s="423"/>
      <c r="EV117" s="423"/>
      <c r="EW117" s="376"/>
      <c r="EX117" s="376"/>
      <c r="EY117" s="376"/>
      <c r="EZ117" s="376"/>
      <c r="FA117" s="376"/>
      <c r="FB117" s="376"/>
      <c r="FC117" s="376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376"/>
      <c r="EU118" s="423"/>
      <c r="EV118" s="423"/>
      <c r="EW118" s="376"/>
      <c r="EX118" s="376"/>
      <c r="EY118" s="376"/>
      <c r="EZ118" s="376"/>
      <c r="FA118" s="376"/>
      <c r="FB118" s="376"/>
      <c r="FC118" s="376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376"/>
      <c r="EU119" s="423"/>
      <c r="EV119" s="423"/>
      <c r="EW119" s="376"/>
      <c r="EX119" s="376"/>
      <c r="EY119" s="376"/>
      <c r="EZ119" s="376"/>
      <c r="FA119" s="376"/>
      <c r="FB119" s="376"/>
      <c r="FC119" s="376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376"/>
      <c r="EU120" s="423"/>
      <c r="EV120" s="423"/>
      <c r="EW120" s="376"/>
      <c r="EX120" s="376"/>
      <c r="EY120" s="376"/>
      <c r="EZ120" s="376"/>
      <c r="FA120" s="376"/>
      <c r="FB120" s="376"/>
      <c r="FC120" s="376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423">
        <v>110952</v>
      </c>
      <c r="EU121" s="423">
        <v>1323906.01</v>
      </c>
      <c r="EV121" s="423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/>
      <c r="FC121" s="376"/>
      <c r="FD121" s="376"/>
      <c r="FE121" s="376"/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423"/>
      <c r="EV122" s="423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423"/>
      <c r="EV123" s="423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423"/>
      <c r="EV124" s="423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423"/>
      <c r="EV125" s="423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423"/>
      <c r="EV126" s="423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423">
        <v>34029606.390000001</v>
      </c>
      <c r="EU127" s="423">
        <v>34751702.420000002</v>
      </c>
      <c r="EV127" s="423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/>
      <c r="FC127" s="376"/>
      <c r="FD127" s="376"/>
      <c r="FE127" s="376"/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423"/>
      <c r="EV128" s="423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423"/>
      <c r="EV129" s="423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423"/>
      <c r="EV130" s="423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423"/>
      <c r="EV131" s="423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423"/>
      <c r="EV132" s="423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423"/>
      <c r="EV133" s="423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423"/>
      <c r="EV134" s="423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423">
        <v>1365364.87</v>
      </c>
      <c r="EU135" s="423">
        <v>1602918.54</v>
      </c>
      <c r="EV135" s="423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/>
      <c r="FC135" s="376"/>
      <c r="FD135" s="376"/>
      <c r="FE135" s="376"/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423"/>
      <c r="EV136" s="423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423">
        <v>735682.19</v>
      </c>
      <c r="EU137" s="423">
        <v>711043.97</v>
      </c>
      <c r="EV137" s="423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3555204.14</v>
      </c>
      <c r="FB137" s="376"/>
      <c r="FC137" s="376"/>
      <c r="FD137" s="376"/>
      <c r="FE137" s="376"/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423"/>
      <c r="EV138" s="423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423"/>
      <c r="EV139" s="423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423"/>
      <c r="EV140" s="423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423">
        <v>11036841.98</v>
      </c>
      <c r="EU141" s="423">
        <v>13096709.15</v>
      </c>
      <c r="EV141" s="423">
        <v>16347312.470000001</v>
      </c>
      <c r="EW141" s="376">
        <v>15688793.050000001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/>
      <c r="FC141" s="376"/>
      <c r="FD141" s="376"/>
      <c r="FE141" s="376"/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423">
        <v>10553508.65</v>
      </c>
      <c r="EU142" s="423">
        <v>12813375.82</v>
      </c>
      <c r="EV142" s="423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/>
      <c r="FC142" s="376"/>
      <c r="FD142" s="376"/>
      <c r="FE142" s="376"/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423"/>
      <c r="EU143" s="423"/>
      <c r="EV143" s="423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423"/>
      <c r="EV144" s="423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423"/>
      <c r="EV145" s="423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423"/>
      <c r="EV146" s="423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423"/>
      <c r="EV147" s="423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423"/>
      <c r="EV148" s="423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423"/>
      <c r="EV149" s="423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423"/>
      <c r="EV150" s="423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423"/>
      <c r="EV151" s="423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423">
        <v>483333.33</v>
      </c>
      <c r="EU152" s="423">
        <v>283333.33</v>
      </c>
      <c r="EV152" s="423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/>
      <c r="FC152" s="376"/>
      <c r="FD152" s="376"/>
      <c r="FE152" s="376"/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423"/>
      <c r="EV153" s="423"/>
      <c r="EW153" s="376"/>
      <c r="EX153" s="376"/>
      <c r="EY153" s="441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423"/>
      <c r="EV154" s="423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423"/>
      <c r="EV155" s="423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423"/>
      <c r="EV156" s="423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423"/>
      <c r="EV157" s="423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423"/>
      <c r="EV158" s="423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423">
        <v>2060574.27</v>
      </c>
      <c r="EU159" s="423">
        <v>2958395.49</v>
      </c>
      <c r="EV159" s="423">
        <v>10806505.67</v>
      </c>
      <c r="EW159" s="376">
        <v>28775491.48</v>
      </c>
      <c r="EX159" s="376">
        <v>12314358.92</v>
      </c>
      <c r="EY159" s="376">
        <v>19994287.210000001</v>
      </c>
      <c r="EZ159" s="376">
        <v>22219463.719999999</v>
      </c>
      <c r="FA159" s="376">
        <v>7067070.5700000003</v>
      </c>
      <c r="FB159" s="376"/>
      <c r="FC159" s="376"/>
      <c r="FD159" s="376"/>
      <c r="FE159" s="376"/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423">
        <v>3266992.16</v>
      </c>
      <c r="EU160" s="423">
        <v>1252962.76</v>
      </c>
      <c r="EV160" s="423">
        <v>2398205.81</v>
      </c>
      <c r="EW160" s="376">
        <v>2567489.7200000002</v>
      </c>
      <c r="EX160" s="376">
        <f>72030552.34-68939595.36</f>
        <v>3090956.9800000042</v>
      </c>
      <c r="EY160" s="376">
        <v>7288010.0899999999</v>
      </c>
      <c r="EZ160" s="376">
        <v>2615698.5299999998</v>
      </c>
      <c r="FA160" s="376">
        <v>2782160.17</v>
      </c>
      <c r="FB160" s="376"/>
      <c r="FC160" s="376"/>
      <c r="FD160" s="376"/>
      <c r="FE160" s="376"/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423"/>
      <c r="EV161" s="423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423"/>
      <c r="EV162" s="423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423"/>
      <c r="EV163" s="423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423"/>
      <c r="EV164" s="423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423"/>
      <c r="EV165" s="423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423"/>
      <c r="EV166" s="423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423"/>
      <c r="EV167" s="423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423"/>
      <c r="EV168" s="423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/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423"/>
      <c r="EV169" s="423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423">
        <v>5000</v>
      </c>
      <c r="EU170" s="423">
        <v>380906.62</v>
      </c>
      <c r="EV170" s="423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/>
      <c r="FC170" s="376"/>
      <c r="FD170" s="376"/>
      <c r="FE170" s="376"/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423">
        <v>5000</v>
      </c>
      <c r="EU171" s="423">
        <v>380906.62</v>
      </c>
      <c r="EV171" s="423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/>
      <c r="FC171" s="376"/>
      <c r="FD171" s="376"/>
      <c r="FE171" s="376"/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423"/>
      <c r="EV172" s="423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423"/>
      <c r="EV173" s="423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423"/>
      <c r="EV174" s="423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423"/>
      <c r="EV175" s="423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423"/>
      <c r="EV176" s="423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423">
        <v>27871672.789999999</v>
      </c>
      <c r="EU177" s="423">
        <v>56704926.840000004</v>
      </c>
      <c r="EV177" s="423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423">
        <v>26200164.98</v>
      </c>
      <c r="EU178" s="423">
        <v>54488971.759999998</v>
      </c>
      <c r="EV178" s="423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423">
        <v>24566746.16</v>
      </c>
      <c r="EU179" s="423">
        <v>50952373.509999998</v>
      </c>
      <c r="EV179" s="423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36932773.740000002</v>
      </c>
      <c r="FB179" s="376"/>
      <c r="FC179" s="376"/>
      <c r="FD179" s="376"/>
      <c r="FE179" s="376"/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423">
        <v>1633418.82</v>
      </c>
      <c r="EU180" s="423">
        <v>3536598.25</v>
      </c>
      <c r="EV180" s="423">
        <v>12014620.48</v>
      </c>
      <c r="EW180" s="376">
        <v>17749813.48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/>
      <c r="FC180" s="376"/>
      <c r="FD180" s="376"/>
      <c r="FE180" s="376"/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423"/>
      <c r="EV181" s="423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423"/>
      <c r="EV182" s="423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423"/>
      <c r="EV183" s="423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423">
        <v>1671507.81</v>
      </c>
      <c r="EU184" s="423">
        <v>2215955.08</v>
      </c>
      <c r="EV184" s="423">
        <v>2027778.28</v>
      </c>
      <c r="EW184" s="376">
        <v>2459675.87</v>
      </c>
      <c r="EX184" s="376">
        <v>1250843.27</v>
      </c>
      <c r="EY184" s="376">
        <v>1981350.35</v>
      </c>
      <c r="EZ184" s="376">
        <v>4527449.25</v>
      </c>
      <c r="FA184" s="376">
        <v>962361.47</v>
      </c>
      <c r="FB184" s="376"/>
      <c r="FC184" s="376"/>
      <c r="FD184" s="376"/>
      <c r="FE184" s="376"/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423">
        <v>190000</v>
      </c>
      <c r="EU185" s="423">
        <v>92000</v>
      </c>
      <c r="EV185" s="423">
        <v>2352909.08</v>
      </c>
      <c r="EW185" s="376">
        <v>460039.86</v>
      </c>
      <c r="EX185" s="376">
        <v>4042331.56</v>
      </c>
      <c r="EY185" s="376">
        <v>1980934.15</v>
      </c>
      <c r="EZ185" s="376">
        <v>1800352.01</v>
      </c>
      <c r="FA185" s="376">
        <v>249386.57</v>
      </c>
      <c r="FB185" s="376"/>
      <c r="FC185" s="376"/>
      <c r="FD185" s="376"/>
      <c r="FE185" s="376"/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42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35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Total Revenues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Total Expenditures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Surplus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48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49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64" t="s">
        <v>690</v>
      </c>
      <c r="F215" s="561">
        <v>2006</v>
      </c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3"/>
      <c r="R215" s="561">
        <v>2007</v>
      </c>
      <c r="S215" s="562"/>
      <c r="T215" s="562"/>
      <c r="U215" s="562"/>
      <c r="V215" s="562"/>
      <c r="W215" s="562"/>
      <c r="X215" s="562"/>
      <c r="Y215" s="562"/>
      <c r="Z215" s="562"/>
      <c r="AA215" s="562"/>
      <c r="AB215" s="562"/>
      <c r="AC215" s="563"/>
      <c r="AD215" s="561">
        <v>2008</v>
      </c>
      <c r="AE215" s="562"/>
      <c r="AF215" s="562"/>
      <c r="AG215" s="562"/>
      <c r="AH215" s="562"/>
      <c r="AI215" s="562"/>
      <c r="AJ215" s="562"/>
      <c r="AK215" s="562"/>
      <c r="AL215" s="562"/>
      <c r="AM215" s="562"/>
      <c r="AN215" s="562"/>
      <c r="AO215" s="563"/>
      <c r="AP215" s="561">
        <v>2009</v>
      </c>
      <c r="AQ215" s="562"/>
      <c r="AR215" s="562"/>
      <c r="AS215" s="562"/>
      <c r="AT215" s="562"/>
      <c r="AU215" s="562"/>
      <c r="AV215" s="562"/>
      <c r="AW215" s="562"/>
      <c r="AX215" s="562"/>
      <c r="AY215" s="562"/>
      <c r="AZ215" s="562"/>
      <c r="BA215" s="563"/>
      <c r="BB215" s="561">
        <v>2010</v>
      </c>
      <c r="BC215" s="562"/>
      <c r="BD215" s="562"/>
      <c r="BE215" s="562"/>
      <c r="BF215" s="562"/>
      <c r="BG215" s="562"/>
      <c r="BH215" s="562"/>
      <c r="BI215" s="562"/>
      <c r="BJ215" s="562"/>
      <c r="BK215" s="562"/>
      <c r="BL215" s="562"/>
      <c r="BM215" s="563"/>
      <c r="BN215" s="561">
        <v>2011</v>
      </c>
      <c r="BO215" s="562"/>
      <c r="BP215" s="562"/>
      <c r="BQ215" s="562"/>
      <c r="BR215" s="562"/>
      <c r="BS215" s="562"/>
      <c r="BT215" s="562"/>
      <c r="BU215" s="562"/>
      <c r="BV215" s="562"/>
      <c r="BW215" s="562"/>
      <c r="BX215" s="562"/>
      <c r="BY215" s="563"/>
      <c r="BZ215" s="562">
        <v>2012</v>
      </c>
      <c r="CA215" s="562"/>
      <c r="CB215" s="562"/>
      <c r="CC215" s="562"/>
      <c r="CD215" s="562"/>
      <c r="CE215" s="562"/>
      <c r="CF215" s="562"/>
      <c r="CG215" s="562"/>
      <c r="CH215" s="562"/>
      <c r="CI215" s="562"/>
      <c r="CJ215" s="562"/>
      <c r="CK215" s="562"/>
      <c r="CL215" s="561">
        <v>2013</v>
      </c>
      <c r="CM215" s="562"/>
      <c r="CN215" s="562"/>
      <c r="CO215" s="562"/>
      <c r="CP215" s="562"/>
      <c r="CQ215" s="562"/>
      <c r="CR215" s="562"/>
      <c r="CS215" s="562"/>
      <c r="CT215" s="562"/>
      <c r="CU215" s="562"/>
      <c r="CV215" s="562"/>
      <c r="CW215" s="563"/>
      <c r="CX215" s="561">
        <v>2014</v>
      </c>
      <c r="CY215" s="562"/>
      <c r="CZ215" s="562"/>
      <c r="DA215" s="562"/>
      <c r="DB215" s="562"/>
      <c r="DC215" s="562"/>
      <c r="DD215" s="562"/>
      <c r="DE215" s="562"/>
      <c r="DF215" s="562"/>
      <c r="DG215" s="562"/>
      <c r="DH215" s="562"/>
      <c r="DI215" s="563"/>
      <c r="DJ215" s="561">
        <v>2015</v>
      </c>
      <c r="DK215" s="562"/>
      <c r="DL215" s="562"/>
      <c r="DM215" s="562"/>
      <c r="DN215" s="562"/>
      <c r="DO215" s="562"/>
      <c r="DP215" s="562"/>
      <c r="DQ215" s="562"/>
      <c r="DR215" s="562"/>
      <c r="DS215" s="562"/>
      <c r="DT215" s="562"/>
      <c r="DU215" s="563"/>
    </row>
    <row r="216" spans="1:161">
      <c r="E216" s="564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7" t="s">
        <v>742</v>
      </c>
      <c r="EI216" s="397" t="s">
        <v>743</v>
      </c>
      <c r="EJ216" s="397" t="s">
        <v>744</v>
      </c>
      <c r="EK216" s="397" t="s">
        <v>745</v>
      </c>
      <c r="EL216" s="397" t="s">
        <v>746</v>
      </c>
      <c r="EM216" s="397" t="s">
        <v>747</v>
      </c>
      <c r="EN216" s="397" t="s">
        <v>748</v>
      </c>
      <c r="EO216" s="397" t="s">
        <v>749</v>
      </c>
      <c r="EP216" s="397" t="s">
        <v>750</v>
      </c>
      <c r="EQ216" s="397" t="s">
        <v>751</v>
      </c>
      <c r="ER216" s="397" t="s">
        <v>752</v>
      </c>
      <c r="ES216" s="397" t="s">
        <v>753</v>
      </c>
      <c r="ET216" s="397" t="s">
        <v>760</v>
      </c>
      <c r="EU216" s="397" t="s">
        <v>761</v>
      </c>
      <c r="EV216" s="397" t="s">
        <v>762</v>
      </c>
      <c r="EW216" s="397" t="s">
        <v>763</v>
      </c>
      <c r="EX216" s="397" t="s">
        <v>764</v>
      </c>
      <c r="EY216" s="397" t="s">
        <v>765</v>
      </c>
      <c r="EZ216" s="397" t="s">
        <v>766</v>
      </c>
      <c r="FA216" s="397" t="s">
        <v>767</v>
      </c>
      <c r="FB216" s="397" t="s">
        <v>768</v>
      </c>
      <c r="FC216" s="397" t="s">
        <v>769</v>
      </c>
      <c r="FD216" s="397" t="s">
        <v>770</v>
      </c>
      <c r="FE216" s="397" t="s">
        <v>771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11">
        <v>60295851.510000005</v>
      </c>
      <c r="EU219" s="411">
        <v>64797597.330000006</v>
      </c>
      <c r="EV219" s="411">
        <v>89261850.609999985</v>
      </c>
      <c r="EW219" s="411">
        <v>97799793.080000013</v>
      </c>
      <c r="EX219" s="411">
        <v>90553351.069999993</v>
      </c>
      <c r="EY219" s="411">
        <v>87503254.430000007</v>
      </c>
      <c r="EZ219" s="411">
        <v>99397799.482830197</v>
      </c>
      <c r="FA219" s="411">
        <v>110357770.3498607</v>
      </c>
      <c r="FB219" s="411">
        <v>102093047.15872496</v>
      </c>
      <c r="FC219" s="411">
        <v>95698512.829288453</v>
      </c>
      <c r="FD219" s="411">
        <v>82424829.046484277</v>
      </c>
      <c r="FE219" s="411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11">
        <v>14572676.99</v>
      </c>
      <c r="EU228" s="411">
        <v>36938118.07</v>
      </c>
      <c r="EV228" s="411">
        <v>43053255.970000006</v>
      </c>
      <c r="EW228" s="411">
        <v>41029948.000000007</v>
      </c>
      <c r="EX228" s="411">
        <v>40388291.549999997</v>
      </c>
      <c r="EY228" s="411">
        <v>42077356.240000002</v>
      </c>
      <c r="EZ228" s="411">
        <v>46362054.926801726</v>
      </c>
      <c r="FA228" s="411">
        <v>45724084.253699668</v>
      </c>
      <c r="FB228" s="411">
        <v>41947258.969554022</v>
      </c>
      <c r="FC228" s="411">
        <v>44433442.802094914</v>
      </c>
      <c r="FD228" s="411">
        <v>45788790.684398532</v>
      </c>
      <c r="FE228" s="411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11">
        <v>785627.23999999987</v>
      </c>
      <c r="EU233" s="411">
        <v>993423.94</v>
      </c>
      <c r="EV233" s="411">
        <v>1089343.29</v>
      </c>
      <c r="EW233" s="411">
        <v>1198538.77</v>
      </c>
      <c r="EX233" s="411">
        <v>1382138.7799999998</v>
      </c>
      <c r="EY233" s="411">
        <v>1539773.02</v>
      </c>
      <c r="EZ233" s="411">
        <v>1993333.2050530105</v>
      </c>
      <c r="FA233" s="411">
        <v>2094009.8411112905</v>
      </c>
      <c r="FB233" s="411">
        <v>1758705.3100069393</v>
      </c>
      <c r="FC233" s="411">
        <v>1756312.8353634721</v>
      </c>
      <c r="FD233" s="411">
        <v>1538063.0039378535</v>
      </c>
      <c r="FE233" s="411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11">
        <v>1774503.5699999998</v>
      </c>
      <c r="EU238" s="411">
        <v>1885893.46</v>
      </c>
      <c r="EV238" s="411">
        <v>2001213.06</v>
      </c>
      <c r="EW238" s="411">
        <v>2389766.7799999998</v>
      </c>
      <c r="EX238" s="411">
        <v>1530724.52</v>
      </c>
      <c r="EY238" s="411">
        <v>2860047.35</v>
      </c>
      <c r="EZ238" s="411">
        <v>2768982.89609381</v>
      </c>
      <c r="FA238" s="411">
        <v>1878964.846878767</v>
      </c>
      <c r="FB238" s="411">
        <v>2453431.0919642458</v>
      </c>
      <c r="FC238" s="411">
        <v>3062621.0292725526</v>
      </c>
      <c r="FD238" s="411">
        <v>2157522.0205821833</v>
      </c>
      <c r="FE238" s="411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11">
        <v>2425520.8099999996</v>
      </c>
      <c r="EU245" s="411">
        <v>1609741.96</v>
      </c>
      <c r="EV245" s="411">
        <v>2046839.3099999998</v>
      </c>
      <c r="EW245" s="411">
        <v>5482431.4299999997</v>
      </c>
      <c r="EX245" s="411">
        <v>2151437.83</v>
      </c>
      <c r="EY245" s="411">
        <v>2740294.16</v>
      </c>
      <c r="EZ245" s="411">
        <v>3610099.6149461018</v>
      </c>
      <c r="FA245" s="411">
        <v>2856432.7673175023</v>
      </c>
      <c r="FB245" s="411">
        <v>38693622.019299239</v>
      </c>
      <c r="FC245" s="411">
        <v>3080614.3453884441</v>
      </c>
      <c r="FD245" s="411">
        <v>2054798.3756645597</v>
      </c>
      <c r="FE245" s="411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24658333.329999998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10">
        <v>36581480.009166665</v>
      </c>
      <c r="EU265" s="410">
        <v>36581480.009166665</v>
      </c>
      <c r="EV265" s="410">
        <v>36581480.009166665</v>
      </c>
      <c r="EW265" s="410">
        <v>36581480.009166665</v>
      </c>
      <c r="EX265" s="410">
        <v>36581480.009166665</v>
      </c>
      <c r="EY265" s="410">
        <v>36581480.009166665</v>
      </c>
      <c r="EZ265" s="410">
        <v>36581480.009166665</v>
      </c>
      <c r="FA265" s="410">
        <v>36581480.009166665</v>
      </c>
      <c r="FB265" s="410">
        <v>36581480.009166665</v>
      </c>
      <c r="FC265" s="410">
        <v>36581480.009166665</v>
      </c>
      <c r="FD265" s="410">
        <v>36581480.009166665</v>
      </c>
      <c r="FE265" s="410">
        <v>36581480.009166665</v>
      </c>
      <c r="FF265" s="410">
        <f>SUM(ET265:FE265)</f>
        <v>438977760.10999995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10">
        <v>1045765.8483333333</v>
      </c>
      <c r="EU271" s="410">
        <v>1045765.8483333333</v>
      </c>
      <c r="EV271" s="410">
        <v>1045765.8483333333</v>
      </c>
      <c r="EW271" s="410">
        <v>1064654.7372222226</v>
      </c>
      <c r="EX271" s="410">
        <v>1064654.7372222226</v>
      </c>
      <c r="EY271" s="410">
        <v>1064654.7372222226</v>
      </c>
      <c r="EZ271" s="410">
        <v>1064654.7372222226</v>
      </c>
      <c r="FA271" s="410">
        <v>1064654.7372222226</v>
      </c>
      <c r="FB271" s="410">
        <v>1064654.7372222226</v>
      </c>
      <c r="FC271" s="410">
        <v>1064654.7372222226</v>
      </c>
      <c r="FD271" s="410">
        <v>1064654.7372222226</v>
      </c>
      <c r="FE271" s="410">
        <v>1064654.7372222226</v>
      </c>
      <c r="FF271" s="410">
        <f>SUM(ET271:FE271)</f>
        <v>12719190.180000003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10">
        <v>2429373.3213333334</v>
      </c>
      <c r="EU279" s="410">
        <v>2429373.3213333334</v>
      </c>
      <c r="EV279" s="410">
        <v>2429373.3213333334</v>
      </c>
      <c r="EW279" s="410">
        <v>2429373.3213333334</v>
      </c>
      <c r="EX279" s="410">
        <v>2429373.3213333334</v>
      </c>
      <c r="EY279" s="410">
        <v>2429373.3213333334</v>
      </c>
      <c r="EZ279" s="410">
        <v>3644059.9819999994</v>
      </c>
      <c r="FA279" s="410">
        <v>3644059.9819999994</v>
      </c>
      <c r="FB279" s="410">
        <v>3644059.9819999994</v>
      </c>
      <c r="FC279" s="410">
        <v>3644059.9819999994</v>
      </c>
      <c r="FD279" s="410">
        <v>3644059.9819999994</v>
      </c>
      <c r="FE279" s="410">
        <v>3644059.9819999994</v>
      </c>
      <c r="FF279" s="410">
        <f>SUM(ET279:FE279)</f>
        <v>36440599.82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10">
        <v>3986420.5893333331</v>
      </c>
      <c r="EU286" s="410">
        <v>3986420.5893333331</v>
      </c>
      <c r="EV286" s="410">
        <v>3986420.5893333331</v>
      </c>
      <c r="EW286" s="410">
        <v>4097531.7004444432</v>
      </c>
      <c r="EX286" s="410">
        <v>4097531.7004444432</v>
      </c>
      <c r="EY286" s="410">
        <v>4097531.7004444432</v>
      </c>
      <c r="EZ286" s="410">
        <v>6090741.9951111097</v>
      </c>
      <c r="FA286" s="410">
        <v>6090741.9951111097</v>
      </c>
      <c r="FB286" s="410">
        <v>6090741.9951111097</v>
      </c>
      <c r="FC286" s="410">
        <v>6090741.9951111097</v>
      </c>
      <c r="FD286" s="410">
        <v>6090741.9951111097</v>
      </c>
      <c r="FE286" s="410">
        <v>6090741.9951111097</v>
      </c>
      <c r="FF286" s="410">
        <f>SUM(ET286:FE286)</f>
        <v>60796308.839999974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10">
        <v>1860319.3983333334</v>
      </c>
      <c r="EU296" s="410">
        <v>1860319.3983333334</v>
      </c>
      <c r="EV296" s="410">
        <v>1860319.3983333334</v>
      </c>
      <c r="EW296" s="410">
        <v>1860319.3983333334</v>
      </c>
      <c r="EX296" s="410">
        <v>1860319.3983333334</v>
      </c>
      <c r="EY296" s="410">
        <v>1860319.3983333334</v>
      </c>
      <c r="EZ296" s="410">
        <v>1860319.3983333334</v>
      </c>
      <c r="FA296" s="410">
        <v>1860319.3983333334</v>
      </c>
      <c r="FB296" s="410">
        <v>1860319.3983333334</v>
      </c>
      <c r="FC296" s="410">
        <v>1860319.3983333334</v>
      </c>
      <c r="FD296" s="410">
        <v>1860319.3983333334</v>
      </c>
      <c r="FE296" s="410">
        <v>1860319.3983333334</v>
      </c>
      <c r="FF296" s="410">
        <f>SUM(ET296:FE296)</f>
        <v>22323832.780000001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10">
        <v>7122725</v>
      </c>
      <c r="EU300" s="410">
        <v>7122725</v>
      </c>
      <c r="EV300" s="410">
        <v>7122725</v>
      </c>
      <c r="EW300" s="410">
        <v>7122725</v>
      </c>
      <c r="EX300" s="410">
        <v>7122725</v>
      </c>
      <c r="EY300" s="410">
        <v>7122725</v>
      </c>
      <c r="EZ300" s="410">
        <v>7122725</v>
      </c>
      <c r="FA300" s="410">
        <v>7122725</v>
      </c>
      <c r="FB300" s="410">
        <v>7122725</v>
      </c>
      <c r="FC300" s="410">
        <v>7122725</v>
      </c>
      <c r="FD300" s="410">
        <v>7122725</v>
      </c>
      <c r="FE300" s="410">
        <v>7122725</v>
      </c>
      <c r="FF300" s="410">
        <f>SUM(ET300:FE300)</f>
        <v>85472700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10">
        <v>800010.93333333347</v>
      </c>
      <c r="EU303" s="410">
        <v>800010.93333333347</v>
      </c>
      <c r="EV303" s="410">
        <v>800010.93333333347</v>
      </c>
      <c r="EW303" s="410">
        <v>800010.93333333347</v>
      </c>
      <c r="EX303" s="410">
        <v>800010.93333333347</v>
      </c>
      <c r="EY303" s="410">
        <v>800010.93333333347</v>
      </c>
      <c r="EZ303" s="410">
        <v>800010.93333333347</v>
      </c>
      <c r="FA303" s="410">
        <v>800010.93333333347</v>
      </c>
      <c r="FB303" s="410">
        <v>800010.93333333347</v>
      </c>
      <c r="FC303" s="410">
        <v>800010.93333333347</v>
      </c>
      <c r="FD303" s="410">
        <v>800010.93333333347</v>
      </c>
      <c r="FE303" s="410">
        <v>800010.93333333347</v>
      </c>
      <c r="FF303" s="410">
        <f>SUM(ET303:FE303)</f>
        <v>9600131.2000000011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10">
        <v>2250983.3333333335</v>
      </c>
      <c r="EU307" s="410">
        <v>2250983.3333333335</v>
      </c>
      <c r="EV307" s="410">
        <v>2250983.3333333335</v>
      </c>
      <c r="EW307" s="410">
        <v>2250983.3333333335</v>
      </c>
      <c r="EX307" s="410">
        <v>2250983.3333333335</v>
      </c>
      <c r="EY307" s="410">
        <v>2250983.3333333335</v>
      </c>
      <c r="EZ307" s="410">
        <v>2250983.3333333335</v>
      </c>
      <c r="FA307" s="410">
        <v>2250983.3333333335</v>
      </c>
      <c r="FB307" s="410">
        <v>2250983.3333333335</v>
      </c>
      <c r="FC307" s="410">
        <v>2250983.3333333335</v>
      </c>
      <c r="FD307" s="410">
        <v>2250983.3333333335</v>
      </c>
      <c r="FE307" s="410">
        <v>2250983.3333333335</v>
      </c>
      <c r="FF307" s="410">
        <f>SUM(ET307:FE307)</f>
        <v>27011799.999999996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10">
        <v>2581823.9339999999</v>
      </c>
      <c r="EU311" s="410">
        <v>2581823.9339999999</v>
      </c>
      <c r="EV311" s="410">
        <v>2581823.9339999999</v>
      </c>
      <c r="EW311" s="410">
        <v>2696268.3784444444</v>
      </c>
      <c r="EX311" s="410">
        <v>2696268.3784444444</v>
      </c>
      <c r="EY311" s="410">
        <v>2696268.3784444444</v>
      </c>
      <c r="EZ311" s="410">
        <v>3987180.345444445</v>
      </c>
      <c r="FA311" s="410">
        <v>3987180.345444445</v>
      </c>
      <c r="FB311" s="410">
        <v>3987180.345444445</v>
      </c>
      <c r="FC311" s="410">
        <v>3987180.345444445</v>
      </c>
      <c r="FD311" s="410">
        <v>3987180.345444445</v>
      </c>
      <c r="FE311" s="410">
        <v>3987180.345444445</v>
      </c>
      <c r="FF311" s="410">
        <f>SUM(ET311:FE311)</f>
        <v>39757359.010000005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10">
        <v>45950724.162500009</v>
      </c>
      <c r="EU321" s="410">
        <v>45950724.162500009</v>
      </c>
      <c r="EV321" s="410">
        <v>45950724.162500009</v>
      </c>
      <c r="EW321" s="410">
        <v>45950724.162500009</v>
      </c>
      <c r="EX321" s="410">
        <v>45950724.162500009</v>
      </c>
      <c r="EY321" s="410">
        <v>45950724.162500009</v>
      </c>
      <c r="EZ321" s="410">
        <v>45950724.162500009</v>
      </c>
      <c r="FA321" s="410">
        <v>45950724.162500009</v>
      </c>
      <c r="FB321" s="410">
        <v>45950724.162500009</v>
      </c>
      <c r="FC321" s="410">
        <v>45950724.162500009</v>
      </c>
      <c r="FD321" s="410">
        <v>45950724.162500009</v>
      </c>
      <c r="FE321" s="410">
        <v>45950724.162500009</v>
      </c>
      <c r="FF321" s="410">
        <f>SUM(ET321:FE321)</f>
        <v>551408689.95000017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10">
        <v>6651000</v>
      </c>
      <c r="EU322" s="410">
        <v>6651000</v>
      </c>
      <c r="EV322" s="410">
        <v>6651000</v>
      </c>
      <c r="EW322" s="410">
        <v>6651000</v>
      </c>
      <c r="EX322" s="410">
        <v>6651000</v>
      </c>
      <c r="EY322" s="410">
        <v>6651000</v>
      </c>
      <c r="EZ322" s="410">
        <v>6651000</v>
      </c>
      <c r="FA322" s="410">
        <v>6651000</v>
      </c>
      <c r="FB322" s="410">
        <v>6651000</v>
      </c>
      <c r="FC322" s="410">
        <v>6651000</v>
      </c>
      <c r="FD322" s="410">
        <v>6651000</v>
      </c>
      <c r="FE322" s="410">
        <v>6651000</v>
      </c>
      <c r="FF322" s="410">
        <f>SUM(ET322:FE322)</f>
        <v>79812000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10">
        <v>1699899.96</v>
      </c>
      <c r="EU330" s="410">
        <v>1699899.96</v>
      </c>
      <c r="EV330" s="410">
        <v>1699899.96</v>
      </c>
      <c r="EW330" s="410">
        <v>1699899.96</v>
      </c>
      <c r="EX330" s="410">
        <v>1699899.96</v>
      </c>
      <c r="EY330" s="410">
        <v>1699899.96</v>
      </c>
      <c r="EZ330" s="410">
        <v>1699899.96</v>
      </c>
      <c r="FA330" s="410">
        <v>1699899.96</v>
      </c>
      <c r="FB330" s="410">
        <v>1699899.96</v>
      </c>
      <c r="FC330" s="410">
        <v>1699899.96</v>
      </c>
      <c r="FD330" s="410">
        <v>1699899.96</v>
      </c>
      <c r="FE330" s="410">
        <v>1699899.96</v>
      </c>
      <c r="FF330" s="410">
        <f>SUM(ET330:FE330)</f>
        <v>20398799.520000007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10">
        <v>35472732.535833336</v>
      </c>
      <c r="EU336" s="410">
        <v>35472732.535833336</v>
      </c>
      <c r="EV336" s="410">
        <v>35472732.535833336</v>
      </c>
      <c r="EW336" s="410">
        <v>35472732.535833336</v>
      </c>
      <c r="EX336" s="410">
        <v>35472732.535833336</v>
      </c>
      <c r="EY336" s="410">
        <v>35472732.535833336</v>
      </c>
      <c r="EZ336" s="410">
        <v>35472732.535833336</v>
      </c>
      <c r="FA336" s="410">
        <v>35472732.535833336</v>
      </c>
      <c r="FB336" s="410">
        <v>35472732.535833336</v>
      </c>
      <c r="FC336" s="410">
        <v>35472732.535833336</v>
      </c>
      <c r="FD336" s="410">
        <v>35472732.535833336</v>
      </c>
      <c r="FE336" s="410">
        <v>35472732.535833336</v>
      </c>
      <c r="FF336" s="410">
        <f>SUM(ET336:FE336)</f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10">
        <v>1375008.3333333333</v>
      </c>
      <c r="EU344" s="410">
        <v>1375008.3333333333</v>
      </c>
      <c r="EV344" s="410">
        <v>1375008.3333333333</v>
      </c>
      <c r="EW344" s="410">
        <v>1375008.3333333333</v>
      </c>
      <c r="EX344" s="410">
        <v>1375008.3333333333</v>
      </c>
      <c r="EY344" s="410">
        <v>1375008.3333333333</v>
      </c>
      <c r="EZ344" s="410">
        <v>1375008.3333333333</v>
      </c>
      <c r="FA344" s="410">
        <v>1375008.3333333333</v>
      </c>
      <c r="FB344" s="410">
        <v>1375008.3333333333</v>
      </c>
      <c r="FC344" s="410">
        <v>1375008.3333333333</v>
      </c>
      <c r="FD344" s="410">
        <v>1375008.3333333333</v>
      </c>
      <c r="FE344" s="410">
        <v>1375008.3333333333</v>
      </c>
      <c r="FF344" s="410">
        <f>SUM(ET344:FE344)</f>
        <v>16500100.000000002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10">
        <v>752083.33333333337</v>
      </c>
      <c r="EU346" s="410">
        <v>752083.33333333337</v>
      </c>
      <c r="EV346" s="410">
        <v>752083.33333333337</v>
      </c>
      <c r="EW346" s="410">
        <v>752083.33333333337</v>
      </c>
      <c r="EX346" s="410">
        <v>752083.33333333337</v>
      </c>
      <c r="EY346" s="410">
        <v>752083.33333333337</v>
      </c>
      <c r="EZ346" s="410">
        <v>752083.33333333337</v>
      </c>
      <c r="FA346" s="410">
        <v>752083.33333333337</v>
      </c>
      <c r="FB346" s="410">
        <v>752083.33333333337</v>
      </c>
      <c r="FC346" s="410">
        <v>752083.33333333337</v>
      </c>
      <c r="FD346" s="410">
        <v>752083.33333333337</v>
      </c>
      <c r="FE346" s="410">
        <v>752083.33333333337</v>
      </c>
      <c r="FF346" s="410">
        <f>SUM(ET346:FE346)</f>
        <v>9024999.9999999981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10">
        <v>15295211.558333334</v>
      </c>
      <c r="EU350" s="410">
        <v>15295211.558333334</v>
      </c>
      <c r="EV350" s="410">
        <v>15295211.558333334</v>
      </c>
      <c r="EW350" s="410">
        <v>18161878.224999998</v>
      </c>
      <c r="EX350" s="410">
        <v>18161878.224999998</v>
      </c>
      <c r="EY350" s="410">
        <v>18161878.224999998</v>
      </c>
      <c r="EZ350" s="410">
        <v>15295211.558333334</v>
      </c>
      <c r="FA350" s="410">
        <v>15295211.558333334</v>
      </c>
      <c r="FB350" s="410">
        <v>15295211.558333334</v>
      </c>
      <c r="FC350" s="410">
        <v>15295211.558333334</v>
      </c>
      <c r="FD350" s="410">
        <v>15295211.558333334</v>
      </c>
      <c r="FE350" s="410">
        <v>15295211.558333334</v>
      </c>
      <c r="FF350" s="410">
        <f>SUM(ET350:FE350)</f>
        <v>192142538.69999999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10">
        <v>14810545.166666666</v>
      </c>
      <c r="EU351" s="410">
        <v>14810545.166666666</v>
      </c>
      <c r="EV351" s="410">
        <v>14810545.166666666</v>
      </c>
      <c r="EW351" s="410">
        <v>17677211.833333332</v>
      </c>
      <c r="EX351" s="410">
        <v>17677211.833333332</v>
      </c>
      <c r="EY351" s="410">
        <v>17677211.833333332</v>
      </c>
      <c r="EZ351" s="410">
        <v>14810545.166666666</v>
      </c>
      <c r="FA351" s="410">
        <v>14810545.166666666</v>
      </c>
      <c r="FB351" s="410">
        <v>14810545.166666666</v>
      </c>
      <c r="FC351" s="410">
        <v>14810545.166666666</v>
      </c>
      <c r="FD351" s="410">
        <v>14810545.166666666</v>
      </c>
      <c r="FE351" s="410">
        <v>14810545.166666666</v>
      </c>
      <c r="FF351" s="410">
        <f>SUM(ET351:FE351)</f>
        <v>186326541.99999997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10">
        <v>484666.39166666666</v>
      </c>
      <c r="EU361" s="410">
        <v>484666.39166666666</v>
      </c>
      <c r="EV361" s="410">
        <v>484666.39166666666</v>
      </c>
      <c r="EW361" s="410">
        <v>484666.39166666666</v>
      </c>
      <c r="EX361" s="410">
        <v>484666.39166666666</v>
      </c>
      <c r="EY361" s="410">
        <v>484666.39166666666</v>
      </c>
      <c r="EZ361" s="410">
        <v>484666.39166666666</v>
      </c>
      <c r="FA361" s="410">
        <v>484666.39166666666</v>
      </c>
      <c r="FB361" s="410">
        <v>484666.39166666666</v>
      </c>
      <c r="FC361" s="410">
        <v>484666.39166666666</v>
      </c>
      <c r="FD361" s="410">
        <v>484666.39166666666</v>
      </c>
      <c r="FE361" s="410">
        <v>484666.39166666666</v>
      </c>
      <c r="FF361" s="410">
        <f>SUM(ET361:FE361)</f>
        <v>5815996.7000000002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10">
        <v>21472083.333333332</v>
      </c>
      <c r="EU368" s="410">
        <v>21472083.333333332</v>
      </c>
      <c r="EV368" s="410">
        <v>21472083.333333332</v>
      </c>
      <c r="EW368" s="410">
        <v>21472083.333333332</v>
      </c>
      <c r="EX368" s="410">
        <v>21472083.333333332</v>
      </c>
      <c r="EY368" s="410">
        <v>21472083.333333332</v>
      </c>
      <c r="EZ368" s="410">
        <v>26990416.666666664</v>
      </c>
      <c r="FA368" s="410">
        <v>26990416.666666664</v>
      </c>
      <c r="FB368" s="410">
        <v>26990416.666666664</v>
      </c>
      <c r="FC368" s="410">
        <v>26990416.666666664</v>
      </c>
      <c r="FD368" s="410">
        <v>27490416.670000002</v>
      </c>
      <c r="FE368" s="410">
        <v>27490416.66</v>
      </c>
      <c r="FF368" s="410">
        <f>SUM(ET368:FE368)</f>
        <v>291774999.99666667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10">
        <v>3322124.294666667</v>
      </c>
      <c r="EU369" s="410">
        <v>3322124.294666667</v>
      </c>
      <c r="EV369" s="410">
        <v>3322124.294666667</v>
      </c>
      <c r="EW369" s="410">
        <v>3322124.294666667</v>
      </c>
      <c r="EX369" s="410">
        <f>73522124.29-EX377</f>
        <v>3522124.2900000066</v>
      </c>
      <c r="EY369" s="410">
        <v>3322124.294666667</v>
      </c>
      <c r="EZ369" s="410">
        <v>4983186.4420000007</v>
      </c>
      <c r="FA369" s="410">
        <v>4983186.4420000007</v>
      </c>
      <c r="FB369" s="410">
        <v>4983186.4420000007</v>
      </c>
      <c r="FC369" s="410">
        <v>4983186.4420000007</v>
      </c>
      <c r="FD369" s="410">
        <v>4983186.4420000007</v>
      </c>
      <c r="FE369" s="410">
        <v>4983186.4420000007</v>
      </c>
      <c r="FF369" s="410">
        <f>SUM(ET369:FE369)</f>
        <v>50031864.415333346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10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10">
        <v>239583.41666666666</v>
      </c>
      <c r="EU379" s="410">
        <v>239583.41666666666</v>
      </c>
      <c r="EV379" s="410">
        <v>239583.41666666666</v>
      </c>
      <c r="EW379" s="410">
        <v>239583.41666666666</v>
      </c>
      <c r="EX379" s="410">
        <v>239583.41666666666</v>
      </c>
      <c r="EY379" s="410">
        <v>239583.41666666666</v>
      </c>
      <c r="EZ379" s="410">
        <v>239583.41666666666</v>
      </c>
      <c r="FA379" s="410">
        <v>239583.41666666666</v>
      </c>
      <c r="FB379" s="410">
        <v>239583.41666666666</v>
      </c>
      <c r="FC379" s="410">
        <v>239583.41666666666</v>
      </c>
      <c r="FD379" s="410">
        <v>239583.41666666666</v>
      </c>
      <c r="FE379" s="410">
        <v>239583.41666666666</v>
      </c>
      <c r="FF379" s="410">
        <f>SUM(ET379:FE379)</f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6">
        <f>DV387+DV390+DV393</f>
        <v>32768615.2925</v>
      </c>
      <c r="DW386" s="396">
        <f t="shared" ref="DW386:ES386" si="106">DW387+DW390+DW393</f>
        <v>32768615.2925</v>
      </c>
      <c r="DX386" s="396">
        <f t="shared" si="106"/>
        <v>32768615.2925</v>
      </c>
      <c r="DY386" s="396">
        <f t="shared" si="106"/>
        <v>32768615.2925</v>
      </c>
      <c r="DZ386" s="396">
        <f t="shared" si="106"/>
        <v>32768615.2925</v>
      </c>
      <c r="EA386" s="396">
        <f t="shared" si="106"/>
        <v>32768615.2925</v>
      </c>
      <c r="EB386" s="396">
        <f t="shared" si="106"/>
        <v>32768615.2925</v>
      </c>
      <c r="EC386" s="396">
        <f t="shared" si="106"/>
        <v>32768615.2925</v>
      </c>
      <c r="ED386" s="396">
        <f t="shared" si="106"/>
        <v>32768615.2925</v>
      </c>
      <c r="EE386" s="396">
        <f t="shared" si="106"/>
        <v>32768615.2925</v>
      </c>
      <c r="EF386" s="396">
        <f t="shared" si="106"/>
        <v>32768615.2925</v>
      </c>
      <c r="EG386" s="396">
        <f t="shared" si="106"/>
        <v>32768615.2925</v>
      </c>
      <c r="EH386" s="396">
        <f t="shared" si="106"/>
        <v>4617467.5633333325</v>
      </c>
      <c r="EI386" s="396">
        <f t="shared" si="106"/>
        <v>5248180.4533333331</v>
      </c>
      <c r="EJ386" s="396">
        <f t="shared" si="106"/>
        <v>18465645.143333334</v>
      </c>
      <c r="EK386" s="396">
        <f t="shared" si="106"/>
        <v>67460865.603333324</v>
      </c>
      <c r="EL386" s="396">
        <f t="shared" si="106"/>
        <v>10247541.783333333</v>
      </c>
      <c r="EM386" s="396">
        <f t="shared" si="106"/>
        <v>16046343.563333331</v>
      </c>
      <c r="EN386" s="396">
        <f t="shared" si="106"/>
        <v>23103608.363333337</v>
      </c>
      <c r="EO386" s="396">
        <f t="shared" si="106"/>
        <v>16877006.883333333</v>
      </c>
      <c r="EP386" s="396">
        <f t="shared" si="106"/>
        <v>17318908.093333334</v>
      </c>
      <c r="EQ386" s="396">
        <f t="shared" si="106"/>
        <v>9686739.4033333324</v>
      </c>
      <c r="ER386" s="396">
        <f t="shared" si="106"/>
        <v>11714826.133333333</v>
      </c>
      <c r="ES386" s="396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3">
        <v>1983333.3333333333</v>
      </c>
      <c r="CS388" s="413">
        <v>1983333.3333333333</v>
      </c>
      <c r="CT388" s="413">
        <v>1983333.3333333333</v>
      </c>
      <c r="CU388" s="413">
        <v>1983333.3333333333</v>
      </c>
      <c r="CV388" s="413">
        <v>1983333.3333333333</v>
      </c>
      <c r="CW388" s="414">
        <v>1983333.3333333333</v>
      </c>
      <c r="CX388" s="415">
        <v>2500695.4391666665</v>
      </c>
      <c r="CY388" s="416">
        <v>2500695.4391666665</v>
      </c>
      <c r="CZ388" s="416">
        <v>2500695.4391666665</v>
      </c>
      <c r="DA388" s="416">
        <v>2500695.4391666665</v>
      </c>
      <c r="DB388" s="416">
        <v>2500695.4391666665</v>
      </c>
      <c r="DC388" s="416">
        <v>2500695.4391666665</v>
      </c>
      <c r="DD388" s="416">
        <v>2500695.4391666665</v>
      </c>
      <c r="DE388" s="416">
        <v>2500695.4391666665</v>
      </c>
      <c r="DF388" s="416">
        <v>2500695.4391666665</v>
      </c>
      <c r="DG388" s="416">
        <v>2500695.4391666665</v>
      </c>
      <c r="DH388" s="416">
        <v>2500695.4391666665</v>
      </c>
      <c r="DI388" s="417">
        <v>2500695.4391666665</v>
      </c>
      <c r="DJ388" s="418">
        <v>3892510.16</v>
      </c>
      <c r="DK388" s="413">
        <v>3892510.16</v>
      </c>
      <c r="DL388" s="413">
        <v>3892510.16</v>
      </c>
      <c r="DM388" s="413">
        <v>3892510.16</v>
      </c>
      <c r="DN388" s="413">
        <v>3892510.16</v>
      </c>
      <c r="DO388" s="413">
        <v>3892510.16</v>
      </c>
      <c r="DP388" s="413">
        <v>3892510.16</v>
      </c>
      <c r="DQ388" s="413">
        <v>3892510.16</v>
      </c>
      <c r="DR388" s="413">
        <v>3892510.16</v>
      </c>
      <c r="DS388" s="413">
        <v>3892510.16</v>
      </c>
      <c r="DT388" s="413">
        <v>3892510.16</v>
      </c>
      <c r="DU388" s="414">
        <v>3892510.16</v>
      </c>
      <c r="DV388" s="419">
        <v>3722931.8866666667</v>
      </c>
      <c r="DW388" s="419">
        <v>3722931.8866666667</v>
      </c>
      <c r="DX388" s="419">
        <v>3722931.8866666667</v>
      </c>
      <c r="DY388" s="419">
        <v>3722931.8866666667</v>
      </c>
      <c r="DZ388" s="419">
        <v>3722931.8866666667</v>
      </c>
      <c r="EA388" s="419">
        <v>3722931.8866666667</v>
      </c>
      <c r="EB388" s="419">
        <v>3722931.8866666667</v>
      </c>
      <c r="EC388" s="419">
        <v>3722931.8866666667</v>
      </c>
      <c r="ED388" s="419">
        <v>3722931.8866666667</v>
      </c>
      <c r="EE388" s="419">
        <v>3722931.8866666667</v>
      </c>
      <c r="EF388" s="419">
        <v>3722931.8866666667</v>
      </c>
      <c r="EG388" s="419">
        <v>3722931.8866666667</v>
      </c>
      <c r="EH388" s="419">
        <v>174340.51</v>
      </c>
      <c r="EI388" s="419">
        <v>177326.85</v>
      </c>
      <c r="EJ388" s="419">
        <v>7687779.1100000003</v>
      </c>
      <c r="EK388" s="419">
        <v>191127.48</v>
      </c>
      <c r="EL388" s="419">
        <v>949797.77</v>
      </c>
      <c r="EM388" s="419">
        <v>2019268.13</v>
      </c>
      <c r="EN388" s="419">
        <v>10660481.32</v>
      </c>
      <c r="EO388" s="419">
        <v>11526152.189999999</v>
      </c>
      <c r="EP388" s="419">
        <v>10016017.119999999</v>
      </c>
      <c r="EQ388" s="419">
        <v>1834828.67</v>
      </c>
      <c r="ER388" s="419">
        <v>2345417.37</v>
      </c>
      <c r="ES388" s="419">
        <v>4329305.63</v>
      </c>
      <c r="ET388" s="419">
        <v>116701.86</v>
      </c>
      <c r="EU388" s="420">
        <v>867332.36</v>
      </c>
      <c r="EV388" s="420">
        <v>7801367.0199999996</v>
      </c>
      <c r="EW388" s="420">
        <v>4481623.79</v>
      </c>
      <c r="EX388" s="420">
        <v>2831467.37</v>
      </c>
      <c r="EY388" s="420">
        <v>7170000.0800000001</v>
      </c>
      <c r="EZ388" s="420">
        <v>82322.3</v>
      </c>
      <c r="FA388" s="420">
        <v>10832753.109999999</v>
      </c>
      <c r="FB388" s="420">
        <v>1958366.01</v>
      </c>
      <c r="FC388" s="420">
        <v>1510132.11</v>
      </c>
      <c r="FD388" s="420">
        <v>834059.15</v>
      </c>
      <c r="FE388" s="420">
        <v>12202154.65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19">
        <v>2071825.5645770216</v>
      </c>
      <c r="EU389" s="420">
        <v>2862393.2253735214</v>
      </c>
      <c r="EV389" s="420">
        <v>12467636.918240691</v>
      </c>
      <c r="EW389" s="420">
        <v>17326274.372907523</v>
      </c>
      <c r="EX389" s="420">
        <v>15150457.606090657</v>
      </c>
      <c r="EY389" s="420">
        <v>8947929.7645770218</v>
      </c>
      <c r="EZ389" s="420">
        <v>2071825.5545770216</v>
      </c>
      <c r="FA389" s="420">
        <v>2989936.9753735219</v>
      </c>
      <c r="FB389" s="420">
        <v>16625761.232895471</v>
      </c>
      <c r="FC389" s="420">
        <v>4165314.0029075216</v>
      </c>
      <c r="FD389" s="420">
        <v>6972714.957903021</v>
      </c>
      <c r="FE389" s="420">
        <v>8947929.8245770223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10">
        <v>2681427.6666666665</v>
      </c>
      <c r="CS393" s="410">
        <v>2681427.6666666665</v>
      </c>
      <c r="CT393" s="410">
        <v>2681427.6666666665</v>
      </c>
      <c r="CU393" s="410">
        <v>2681427.6666666665</v>
      </c>
      <c r="CV393" s="410">
        <v>2681427.6666666665</v>
      </c>
      <c r="CW393" s="410">
        <v>2681427.6666666665</v>
      </c>
      <c r="CX393" s="410">
        <v>2778179.9974999996</v>
      </c>
      <c r="CY393" s="410">
        <v>2778179.9974999996</v>
      </c>
      <c r="CZ393" s="410">
        <v>2778179.9974999996</v>
      </c>
      <c r="DA393" s="410">
        <v>2778179.9974999996</v>
      </c>
      <c r="DB393" s="410">
        <v>2778179.9974999996</v>
      </c>
      <c r="DC393" s="410">
        <v>2778179.9974999996</v>
      </c>
      <c r="DD393" s="410">
        <v>2778179.9974999996</v>
      </c>
      <c r="DE393" s="410">
        <v>2778179.9974999996</v>
      </c>
      <c r="DF393" s="410">
        <v>2778179.9974999996</v>
      </c>
      <c r="DG393" s="410">
        <v>2778179.9974999996</v>
      </c>
      <c r="DH393" s="410">
        <v>2778179.9974999996</v>
      </c>
      <c r="DI393" s="410">
        <v>2778179.9974999996</v>
      </c>
      <c r="DJ393" s="410">
        <v>2817590</v>
      </c>
      <c r="DK393" s="410">
        <v>2817590</v>
      </c>
      <c r="DL393" s="410">
        <v>2817590</v>
      </c>
      <c r="DM393" s="410">
        <v>2817590</v>
      </c>
      <c r="DN393" s="410">
        <v>2817590</v>
      </c>
      <c r="DO393" s="410">
        <v>2817590</v>
      </c>
      <c r="DP393" s="410">
        <v>2817590</v>
      </c>
      <c r="DQ393" s="410">
        <v>2817590</v>
      </c>
      <c r="DR393" s="410">
        <v>2817590</v>
      </c>
      <c r="DS393" s="410">
        <v>2817590</v>
      </c>
      <c r="DT393" s="410">
        <v>2817590</v>
      </c>
      <c r="DU393" s="410">
        <v>2817590</v>
      </c>
      <c r="DV393" s="410">
        <v>3281229.6141666663</v>
      </c>
      <c r="DW393" s="410">
        <v>3281229.6141666663</v>
      </c>
      <c r="DX393" s="410">
        <v>3281229.6141666663</v>
      </c>
      <c r="DY393" s="410">
        <v>3281229.6141666663</v>
      </c>
      <c r="DZ393" s="410">
        <v>3281229.6141666663</v>
      </c>
      <c r="EA393" s="410">
        <v>3281229.6141666663</v>
      </c>
      <c r="EB393" s="410">
        <v>3281229.6141666663</v>
      </c>
      <c r="EC393" s="410">
        <v>3281229.6141666663</v>
      </c>
      <c r="ED393" s="410">
        <v>3281229.6141666663</v>
      </c>
      <c r="EE393" s="410">
        <v>3281229.6141666663</v>
      </c>
      <c r="EF393" s="410">
        <v>3281229.6141666663</v>
      </c>
      <c r="EG393" s="410">
        <v>3281229.6141666663</v>
      </c>
      <c r="EH393" s="410">
        <v>2809708.2333333329</v>
      </c>
      <c r="EI393" s="410">
        <v>2809708.2333333329</v>
      </c>
      <c r="EJ393" s="410">
        <v>2809708.2333333329</v>
      </c>
      <c r="EK393" s="410">
        <v>2809708.2333333329</v>
      </c>
      <c r="EL393" s="410">
        <v>2809708.2333333329</v>
      </c>
      <c r="EM393" s="410">
        <v>2809708.2333333329</v>
      </c>
      <c r="EN393" s="410">
        <v>2809708.2333333329</v>
      </c>
      <c r="EO393" s="410">
        <v>2809708.2333333329</v>
      </c>
      <c r="EP393" s="410">
        <v>2809708.2333333329</v>
      </c>
      <c r="EQ393" s="410">
        <v>2809708.2333333329</v>
      </c>
      <c r="ER393" s="410">
        <v>2809708.2333333329</v>
      </c>
      <c r="ES393" s="410">
        <v>2809708.2333333329</v>
      </c>
      <c r="ET393" s="410">
        <v>1807457.9166666667</v>
      </c>
      <c r="EU393" s="410">
        <v>1882457.9166666667</v>
      </c>
      <c r="EV393" s="410">
        <v>1937457.9166666667</v>
      </c>
      <c r="EW393" s="410">
        <v>1912457.9166666667</v>
      </c>
      <c r="EX393" s="410">
        <v>1967457.9166666667</v>
      </c>
      <c r="EY393" s="410">
        <v>1907457.9166666667</v>
      </c>
      <c r="EZ393" s="410">
        <v>3852457.9166666665</v>
      </c>
      <c r="FA393" s="410">
        <v>3337457.9166666665</v>
      </c>
      <c r="FB393" s="410">
        <v>2757457.9166666665</v>
      </c>
      <c r="FC393" s="410">
        <v>2852457.9166666665</v>
      </c>
      <c r="FD393" s="410">
        <v>2847457.9166666665</v>
      </c>
      <c r="FE393" s="410">
        <v>3402457.9166666665</v>
      </c>
      <c r="FF393" s="410">
        <f>SUM(ET393:FE393)</f>
        <v>30464495.000000004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10">
        <f>+ET395+ET396</f>
        <v>830846.24800000002</v>
      </c>
      <c r="EU394" s="410">
        <f t="shared" ref="EU394:FE394" si="117">+EU395+EU396</f>
        <v>830846.24800000002</v>
      </c>
      <c r="EV394" s="410">
        <f t="shared" si="117"/>
        <v>830846.24800000002</v>
      </c>
      <c r="EW394" s="410">
        <f t="shared" si="117"/>
        <v>949846.13199999998</v>
      </c>
      <c r="EX394" s="410">
        <f t="shared" si="117"/>
        <v>1306845.784</v>
      </c>
      <c r="EY394" s="410">
        <f t="shared" si="117"/>
        <v>830846.24800000002</v>
      </c>
      <c r="EZ394" s="410">
        <f t="shared" si="117"/>
        <v>1246269.3720000002</v>
      </c>
      <c r="FA394" s="410">
        <f t="shared" si="117"/>
        <v>1246269.3720000002</v>
      </c>
      <c r="FB394" s="410">
        <f t="shared" si="117"/>
        <v>1246269.3720000002</v>
      </c>
      <c r="FC394" s="410">
        <f t="shared" si="117"/>
        <v>1246269.3720000002</v>
      </c>
      <c r="FD394" s="410">
        <f t="shared" si="117"/>
        <v>1246269.3720000002</v>
      </c>
      <c r="FE394" s="410">
        <f t="shared" si="117"/>
        <v>1246269.3720000002</v>
      </c>
      <c r="FF394" s="410">
        <f>SUM(ET394:FE394)</f>
        <v>13057693.139999999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10">
        <v>830846.24800000002</v>
      </c>
      <c r="EU395" s="410">
        <v>830846.24800000002</v>
      </c>
      <c r="EV395" s="410">
        <v>830846.24800000002</v>
      </c>
      <c r="EW395" s="410">
        <v>830846.24800000002</v>
      </c>
      <c r="EX395" s="410">
        <v>830846.24800000002</v>
      </c>
      <c r="EY395" s="410">
        <v>830846.24800000002</v>
      </c>
      <c r="EZ395" s="410">
        <v>1246269.3720000002</v>
      </c>
      <c r="FA395" s="410">
        <v>1246269.3720000002</v>
      </c>
      <c r="FB395" s="410">
        <v>1246269.3720000002</v>
      </c>
      <c r="FC395" s="410">
        <v>1246269.3720000002</v>
      </c>
      <c r="FD395" s="410">
        <v>1246269.3720000002</v>
      </c>
      <c r="FE395" s="410">
        <v>1246269.3720000002</v>
      </c>
      <c r="FF395" s="410">
        <f>SUM(ET395:FE395)</f>
        <v>12462693.719999999</v>
      </c>
    </row>
    <row r="396" spans="1:162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10">
        <v>0</v>
      </c>
      <c r="EU396" s="410">
        <v>0</v>
      </c>
      <c r="EV396" s="410">
        <v>0</v>
      </c>
      <c r="EW396" s="410">
        <v>118999.88400000001</v>
      </c>
      <c r="EX396" s="410">
        <v>475999.53600000002</v>
      </c>
      <c r="EY396" s="410">
        <v>0</v>
      </c>
      <c r="EZ396" s="410">
        <v>0</v>
      </c>
      <c r="FA396" s="410">
        <v>0</v>
      </c>
      <c r="FB396" s="410">
        <v>0</v>
      </c>
      <c r="FC396" s="410">
        <v>0</v>
      </c>
      <c r="FD396" s="410">
        <v>0</v>
      </c>
      <c r="FE396" s="410">
        <v>0</v>
      </c>
      <c r="FF396" s="410">
        <f>SUM(ET396:FE396)</f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12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G16" sqref="G16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2</v>
      </c>
      <c r="C2" s="56" t="s">
        <v>0</v>
      </c>
    </row>
    <row r="3" spans="2:7" ht="15.75" thickBot="1">
      <c r="B3" s="305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5">
        <v>2018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754</v>
      </c>
      <c r="F11" s="12" t="s">
        <v>755</v>
      </c>
      <c r="G11" s="52" t="str">
        <f t="shared" si="0"/>
        <v>Montly Data 2017</v>
      </c>
    </row>
    <row r="12" spans="2:7">
      <c r="D12" s="41"/>
      <c r="E12" s="11" t="s">
        <v>732</v>
      </c>
      <c r="F12" s="12" t="s">
        <v>733</v>
      </c>
      <c r="G12" s="52" t="str">
        <f t="shared" si="0"/>
        <v>Montly Data 2016</v>
      </c>
    </row>
    <row r="13" spans="2:7">
      <c r="E13" s="11" t="s">
        <v>703</v>
      </c>
      <c r="F13" s="12" t="s">
        <v>704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756</v>
      </c>
      <c r="F16" s="12" t="s">
        <v>757</v>
      </c>
      <c r="G16" s="52" t="str">
        <f t="shared" si="0"/>
        <v>Montly Data 2012</v>
      </c>
    </row>
    <row r="17" spans="2:7">
      <c r="E17" s="11" t="s">
        <v>758</v>
      </c>
      <c r="F17" s="12" t="s">
        <v>759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695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738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776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735</v>
      </c>
      <c r="F94" s="22" t="s">
        <v>737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735</v>
      </c>
      <c r="F146" s="22" t="s">
        <v>736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554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557</v>
      </c>
      <c r="F217" s="96" t="s">
        <v>558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559</v>
      </c>
      <c r="F218" s="96" t="s">
        <v>560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555</v>
      </c>
      <c r="F220" s="96" t="s">
        <v>561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556</v>
      </c>
      <c r="F221" s="96" t="s">
        <v>562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563</v>
      </c>
      <c r="F223" s="96" t="s">
        <v>564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699</v>
      </c>
      <c r="F225" s="96" t="s">
        <v>700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August</v>
      </c>
    </row>
    <row r="243" spans="4:7">
      <c r="D243" s="49"/>
      <c r="E243" s="9"/>
      <c r="F243" s="10"/>
      <c r="G243" s="52" t="str">
        <f>+CONCATENATE("Jan - ",LEFT(G242,3))</f>
        <v>Jan - Aug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568</v>
      </c>
      <c r="F249" s="10" t="s">
        <v>565</v>
      </c>
      <c r="G249" s="52" t="str">
        <f t="shared" si="3"/>
        <v>Budget Execution</v>
      </c>
    </row>
    <row r="250" spans="4:7">
      <c r="D250" s="46"/>
      <c r="E250" s="9" t="s">
        <v>566</v>
      </c>
      <c r="F250" s="10" t="s">
        <v>567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August</v>
      </c>
      <c r="F251" s="10" t="str">
        <f>+CONCATENATE("Analytics for period ",G242)</f>
        <v>Analytics for period August</v>
      </c>
      <c r="G251" s="52" t="str">
        <f>+IF(ISBLANK(IF($B$2=1,E251,F251)),"",IF($B$2=1,E251,F251))</f>
        <v>Analytics for period August</v>
      </c>
    </row>
    <row r="252" spans="4:7">
      <c r="D252" s="46"/>
      <c r="E252" s="9" t="str">
        <f>+CONCATENATE("Analitika za period ",G243)</f>
        <v>Analitika za period Jan - Aug</v>
      </c>
      <c r="F252" s="10" t="str">
        <f>+CONCATENATE("Analytics for period ",G243)</f>
        <v>Analytics for period Jan - Aug</v>
      </c>
      <c r="G252" s="52" t="str">
        <f>+IF(ISBLANK(IF($B$2=1,E252,F252)),"",IF($B$2=1,E252,F252))</f>
        <v>Analytics for period Jan - Aug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691</v>
      </c>
      <c r="F258" s="10" t="s">
        <v>692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696</v>
      </c>
      <c r="F260" s="10" t="s">
        <v>697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August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August</v>
      </c>
    </row>
    <row r="269" spans="4:7">
      <c r="E269" s="9" t="s">
        <v>741</v>
      </c>
      <c r="F269" s="10" t="s">
        <v>406</v>
      </c>
      <c r="G269" s="52" t="str">
        <f>+CONCATENATE(IF(ISBLANK(IF($B$2=1,E269,F269)),"",IF($B$2=1,E269,F269))," ",$G$242)</f>
        <v>Deficit for August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August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August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August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1" t="s">
        <v>701</v>
      </c>
      <c r="F279" s="60" t="s">
        <v>702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J34" sqref="J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Montenegro</v>
      </c>
      <c r="I2" s="151"/>
    </row>
    <row r="3" spans="3:11" s="148" customFormat="1">
      <c r="E3" s="151" t="str">
        <f>+Master!G7</f>
        <v>Ministry of Finance</v>
      </c>
    </row>
    <row r="4" spans="3:11" s="148" customFormat="1">
      <c r="E4" s="151" t="str">
        <f>+Master!G8</f>
        <v>Direcorate for Economic Policy and Developement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Revenues for August</v>
      </c>
      <c r="E11" s="157"/>
      <c r="F11" s="157"/>
      <c r="G11" s="157"/>
      <c r="H11" s="318" t="str">
        <f>+Master!G271</f>
        <v>Revenues for period January - August</v>
      </c>
      <c r="I11" s="319"/>
      <c r="J11" s="307"/>
      <c r="K11" s="158"/>
    </row>
    <row r="12" spans="3:11">
      <c r="C12" s="156"/>
      <c r="D12" s="160">
        <f>+'Analytics - 2018'!N10</f>
        <v>161220121.90000004</v>
      </c>
      <c r="E12" s="161">
        <f>+D12/'2018'!T7</f>
        <v>3.6385411970480043E-2</v>
      </c>
      <c r="F12" s="157"/>
      <c r="G12" s="157"/>
      <c r="H12" s="320">
        <f>+'Analytics - 2018'!G10</f>
        <v>1085700817.4100001</v>
      </c>
      <c r="I12" s="321">
        <f>+H12/'2018'!T7</f>
        <v>0.24502941104741702</v>
      </c>
      <c r="J12" s="307"/>
      <c r="K12" s="158"/>
    </row>
    <row r="13" spans="3:11">
      <c r="C13" s="156"/>
      <c r="D13" s="162" t="s">
        <v>428</v>
      </c>
      <c r="E13" s="162" t="str">
        <f>+Master!G247</f>
        <v>% GDP</v>
      </c>
      <c r="F13" s="157"/>
      <c r="G13" s="157"/>
      <c r="H13" s="322" t="str">
        <f>+D13</f>
        <v>mil. €</v>
      </c>
      <c r="I13" s="322" t="str">
        <f>+E13</f>
        <v>% GDP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Expenditures for August</v>
      </c>
      <c r="E15" s="157"/>
      <c r="F15" s="157"/>
      <c r="G15" s="157"/>
      <c r="H15" s="318" t="str">
        <f>+Master!G272</f>
        <v>Expenditures for period January - August</v>
      </c>
      <c r="I15" s="319"/>
      <c r="J15" s="307"/>
      <c r="K15" s="158"/>
    </row>
    <row r="16" spans="3:11">
      <c r="C16" s="156"/>
      <c r="D16" s="160">
        <f>+'Analytics - 2018'!N29</f>
        <v>127156226.25999998</v>
      </c>
      <c r="E16" s="161">
        <f>+D16/'2018'!T7</f>
        <v>2.869760686542237E-2</v>
      </c>
      <c r="F16" s="157"/>
      <c r="G16" s="157"/>
      <c r="H16" s="320">
        <f>+'Analytics - 2018'!G29</f>
        <v>1131966747.52</v>
      </c>
      <c r="I16" s="321">
        <f>+H16/'2018'!T7</f>
        <v>0.255471066266447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GDP</v>
      </c>
      <c r="F17" s="157"/>
      <c r="G17" s="157"/>
      <c r="H17" s="322" t="str">
        <f>+D13</f>
        <v>mil. €</v>
      </c>
      <c r="I17" s="322" t="str">
        <f>+E13</f>
        <v>% GDP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+Master!G269</f>
        <v>Deficit for August</v>
      </c>
      <c r="E19" s="157"/>
      <c r="F19" s="157"/>
      <c r="G19" s="157"/>
      <c r="H19" s="318" t="str">
        <f>+Master!G273</f>
        <v>Deficit for period January - August</v>
      </c>
      <c r="I19" s="319"/>
      <c r="J19" s="307"/>
      <c r="K19" s="158"/>
    </row>
    <row r="20" spans="3:11">
      <c r="C20" s="156"/>
      <c r="D20" s="160">
        <f>+'Analytics - 2018'!N55</f>
        <v>34063895.64000006</v>
      </c>
      <c r="E20" s="161">
        <f>+D20/'2018'!T7</f>
        <v>7.6878051050576768E-3</v>
      </c>
      <c r="F20" s="157"/>
      <c r="G20" s="157"/>
      <c r="H20" s="320">
        <f>+'Analytics - 2018'!G55</f>
        <v>-46265930.109999985</v>
      </c>
      <c r="I20" s="321">
        <f>+H20/'2018'!T7</f>
        <v>-1.044165521902999E-2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GDP</v>
      </c>
      <c r="F21" s="157"/>
      <c r="G21" s="157"/>
      <c r="H21" s="308" t="str">
        <f>+D13</f>
        <v>mil. €</v>
      </c>
      <c r="I21" s="308" t="str">
        <f>+E13</f>
        <v>% GDP</v>
      </c>
      <c r="J21" s="307"/>
      <c r="K21" s="158"/>
    </row>
    <row r="22" spans="3:11">
      <c r="C22" s="156"/>
      <c r="D22" s="501"/>
      <c r="E22" s="502"/>
      <c r="F22" s="502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70"/>
  <sheetViews>
    <sheetView zoomScaleNormal="100" workbookViewId="0">
      <pane ySplit="5" topLeftCell="A6" activePane="bottomLeft" state="frozen"/>
      <selection activeCell="DK219" sqref="DK219"/>
      <selection pane="bottomLeft" activeCell="B31" sqref="B31:F31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B3" s="188"/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2018-08</v>
      </c>
      <c r="O6" s="168" t="str">
        <f>+CONCATENATE(N6,"p")</f>
        <v>2018-08p</v>
      </c>
      <c r="P6" s="152"/>
      <c r="Q6" s="152"/>
      <c r="R6" s="168" t="str">
        <f>+IF(Master!B3-10&gt;=0,CONCATENATE(Master!B4-1,"-",Master!B3),CONCATENATE(Master!B4-1,"-0",Master!B3))</f>
        <v>2017-08</v>
      </c>
      <c r="S6" s="152"/>
      <c r="T6" s="152"/>
    </row>
    <row r="7" spans="1:20">
      <c r="A7" s="169"/>
      <c r="B7" s="455" t="str">
        <f>+Master!G252</f>
        <v>Analytics for period Jan - Aug</v>
      </c>
      <c r="C7" s="456"/>
      <c r="D7" s="456"/>
      <c r="E7" s="456"/>
      <c r="F7" s="456"/>
      <c r="G7" s="464" t="str">
        <f>+Master!G243</f>
        <v>Jan - Aug</v>
      </c>
      <c r="H7" s="465"/>
      <c r="I7" s="465"/>
      <c r="J7" s="465"/>
      <c r="K7" s="465"/>
      <c r="L7" s="465"/>
      <c r="M7" s="466"/>
      <c r="N7" s="467" t="str">
        <f>+Master!G242</f>
        <v>August</v>
      </c>
      <c r="O7" s="465"/>
      <c r="P7" s="465"/>
      <c r="Q7" s="465"/>
      <c r="R7" s="465"/>
      <c r="S7" s="465"/>
      <c r="T7" s="468"/>
    </row>
    <row r="8" spans="1:20">
      <c r="A8" s="169"/>
      <c r="B8" s="457"/>
      <c r="C8" s="458"/>
      <c r="D8" s="458"/>
      <c r="E8" s="458"/>
      <c r="F8" s="459"/>
      <c r="G8" s="170" t="str">
        <f>+Master!G21</f>
        <v>Execution</v>
      </c>
      <c r="H8" s="170" t="str">
        <f>+Master!G20</f>
        <v>Plan</v>
      </c>
      <c r="I8" s="451" t="str">
        <f>+Master!G258</f>
        <v>Deviation</v>
      </c>
      <c r="J8" s="451"/>
      <c r="K8" s="170" t="str">
        <f>+CONCATENATE(Master!G243," ",Master!B4-1)</f>
        <v>Jan - Aug 2017</v>
      </c>
      <c r="L8" s="451" t="str">
        <f>+I8</f>
        <v>Deviation</v>
      </c>
      <c r="M8" s="463"/>
      <c r="N8" s="171" t="str">
        <f>+G8</f>
        <v>Execution</v>
      </c>
      <c r="O8" s="170" t="str">
        <f>+H8</f>
        <v>Plan</v>
      </c>
      <c r="P8" s="451" t="str">
        <f>+I8</f>
        <v>Deviation</v>
      </c>
      <c r="Q8" s="451"/>
      <c r="R8" s="170" t="str">
        <f>+CONCATENATE(Master!G242," ",Master!B4-1)</f>
        <v>August 2017</v>
      </c>
      <c r="S8" s="451" t="str">
        <f>+P8</f>
        <v>Deviation</v>
      </c>
      <c r="T8" s="452"/>
    </row>
    <row r="9" spans="1:20" ht="15.7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>+SUMPRODUCT(('2018'!$G10:$R10)*('2018'!$G$5:$R$5&lt;=Master!$B$3)*($A10='2018'!$A$10:$A$66))</f>
        <v>1085700817.4100001</v>
      </c>
      <c r="H10" s="176">
        <f>+SUMPRODUCT(('2018'!$G105:$R105)*('2018'!$G$5:$R$5&lt;=Master!$B$3))</f>
        <v>1084446343.6592088</v>
      </c>
      <c r="I10" s="177">
        <f>+G10-H10</f>
        <v>1254473.7507913113</v>
      </c>
      <c r="J10" s="178">
        <f>+IF(ISNUMBER(G10/H10-1),G10/H10-1,"…")</f>
        <v>1.1567872934665768E-3</v>
      </c>
      <c r="K10" s="176">
        <f>+SUMPRODUCT(('2017'!$G10:$R10)*('2017'!$G$5:$R$5&lt;=Master!$B$3))</f>
        <v>977342795.34000003</v>
      </c>
      <c r="L10" s="177">
        <f>+G10-K10</f>
        <v>108358022.07000005</v>
      </c>
      <c r="M10" s="179">
        <f>+IF(ISNUMBER(G10/K10-1),G10/K10-1,"…")</f>
        <v>0.11087002696152704</v>
      </c>
      <c r="N10" s="176">
        <f>'2018'!N10</f>
        <v>161220121.90000004</v>
      </c>
      <c r="O10" s="176">
        <f>+INDEX('2018'!$1:$1048576,MATCH(CONCATENATE('Analytics - 2018'!$A10,"p"),'2018'!$A:$A,0),MATCH('Analytics - 2018'!$O$6,'2018'!$101:$101,0))</f>
        <v>163617557.5108614</v>
      </c>
      <c r="P10" s="177">
        <f>+N10-O10</f>
        <v>-2397435.610861361</v>
      </c>
      <c r="Q10" s="178">
        <f>+IF(ISNUMBER(N10/O10-1),N10/O10-1,"…")</f>
        <v>-1.46526793782642E-2</v>
      </c>
      <c r="R10" s="176">
        <f>'2017'!N10</f>
        <v>149426896.58000001</v>
      </c>
      <c r="S10" s="177">
        <f>+N10-R10</f>
        <v>11793225.320000023</v>
      </c>
      <c r="T10" s="179">
        <f>+IF(ISNUMBER(N10/R10-1),N10/R10-1,"…")</f>
        <v>7.8923042570760771E-2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94">
        <f>+SUMPRODUCT(('2018'!$G11:$R11)*('2018'!$G$5:$R$5&lt;=Master!$B$3)*($A11='2018'!$A$10:$A$66))</f>
        <v>703178644.24000001</v>
      </c>
      <c r="H11" s="341">
        <f>+SUMPRODUCT(('2018'!$G106:$R106)*('2018'!$G$5:$R$5&lt;=Master!$B$3))</f>
        <v>699967267.86269081</v>
      </c>
      <c r="I11" s="183">
        <f t="shared" ref="I11:I67" si="0">+G11-H11</f>
        <v>3211376.3773092031</v>
      </c>
      <c r="J11" s="184">
        <f t="shared" ref="J11:J66" si="1">+IF(ISNUMBER(G11/H11-1),G11/H11-1,"…")</f>
        <v>4.5878950698865495E-3</v>
      </c>
      <c r="K11" s="182">
        <f>+SUMPRODUCT(('2017'!$G11:$R11)*('2017'!$G$5:$R$5&lt;=Master!$B$3))</f>
        <v>627814494.45000005</v>
      </c>
      <c r="L11" s="183">
        <f>+G11-K11</f>
        <v>75364149.789999962</v>
      </c>
      <c r="M11" s="185">
        <f t="shared" ref="M11:M66" si="2">+IF(ISNUMBER(G11/K11-1),G11/K11-1,"…")</f>
        <v>0.12004206729254174</v>
      </c>
      <c r="N11" s="194">
        <f>'2018'!N11</f>
        <v>107951400.74000001</v>
      </c>
      <c r="O11" s="341">
        <f>+INDEX('2018'!$1:$1048576,MATCH(CONCATENATE('Analytics - 2018'!$A11,"p"),'2018'!$A:$A,0),MATCH('Analytics - 2018'!$O$6,'2018'!$101:$101,0))</f>
        <v>110357770.3498607</v>
      </c>
      <c r="P11" s="183">
        <f t="shared" ref="P11:P60" si="3">+N11-O11</f>
        <v>-2406369.6098606884</v>
      </c>
      <c r="Q11" s="184">
        <f t="shared" ref="Q11:Q60" si="4">+IF(ISNUMBER(N11/O11-1),N11/O11-1,"…")</f>
        <v>-2.1805166978563606E-2</v>
      </c>
      <c r="R11" s="194">
        <f>'2017'!N11</f>
        <v>99153787.180000007</v>
      </c>
      <c r="S11" s="183">
        <f t="shared" ref="S11:S59" si="5">+N11-R11</f>
        <v>8797613.5600000024</v>
      </c>
      <c r="T11" s="185">
        <f t="shared" ref="T11:T59" si="6">+IF(ISNUMBER(N11/R11-1),N11/R11-1,"…")</f>
        <v>8.8726954463465457E-2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+SUMPRODUCT(('2018'!$G12:$R12)*('2018'!$G$5:$R$5&lt;=Master!$B$3)*($A12='2018'!$A$10:$A$66))</f>
        <v>75646863.760000005</v>
      </c>
      <c r="H12" s="188">
        <f>+SUMPRODUCT(('2018'!$G107:$R107)*('2018'!$G$5:$R$5&lt;=Master!$B$3))</f>
        <v>75910185.22560139</v>
      </c>
      <c r="I12" s="189">
        <f t="shared" si="0"/>
        <v>-263321.46560138464</v>
      </c>
      <c r="J12" s="190">
        <f t="shared" si="1"/>
        <v>-3.4688555273419963E-3</v>
      </c>
      <c r="K12" s="188">
        <f>+SUMPRODUCT(('2017'!$G12:$R12)*('2017'!$G$5:$R$5&lt;=Master!$B$3))</f>
        <v>70029199.870000005</v>
      </c>
      <c r="L12" s="189">
        <f>+G12-K12</f>
        <v>5617663.8900000006</v>
      </c>
      <c r="M12" s="191">
        <f t="shared" si="2"/>
        <v>8.0218878702433383E-2</v>
      </c>
      <c r="N12" s="188">
        <f>'2018'!N12</f>
        <v>11227078</v>
      </c>
      <c r="O12" s="188">
        <f>+INDEX('2018'!$1:$1048576,MATCH(CONCATENATE('Analytics - 2018'!$A12,"p"),'2018'!$A:$A,0),MATCH('Analytics - 2018'!$O$6,'2018'!$101:$101,0))</f>
        <v>11349599.062734554</v>
      </c>
      <c r="P12" s="189">
        <f t="shared" si="3"/>
        <v>-122521.06273455359</v>
      </c>
      <c r="Q12" s="190">
        <f t="shared" si="4"/>
        <v>-1.0795188628014318E-2</v>
      </c>
      <c r="R12" s="188">
        <f>'2017'!N12</f>
        <v>10476522.35</v>
      </c>
      <c r="S12" s="189">
        <f t="shared" si="5"/>
        <v>750555.65000000037</v>
      </c>
      <c r="T12" s="191">
        <f t="shared" si="6"/>
        <v>7.1641678882115034E-2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+SUMPRODUCT(('2018'!$G13:$R13)*('2018'!$G$5:$R$5&lt;=Master!$B$3)*($A13='2018'!$A$10:$A$66))</f>
        <v>57340206.93999999</v>
      </c>
      <c r="H13" s="188">
        <f>+SUMPRODUCT(('2018'!$G108:$R108)*('2018'!$G$5:$R$5&lt;=Master!$B$3))</f>
        <v>55529222.992772639</v>
      </c>
      <c r="I13" s="189">
        <f t="shared" si="0"/>
        <v>1810983.9472273514</v>
      </c>
      <c r="J13" s="190">
        <f t="shared" si="1"/>
        <v>3.2613169239970485E-2</v>
      </c>
      <c r="K13" s="188">
        <f>+SUMPRODUCT(('2017'!$G13:$R13)*('2017'!$G$5:$R$5&lt;=Master!$B$3))</f>
        <v>44104302.149999999</v>
      </c>
      <c r="L13" s="189">
        <f t="shared" ref="L13:L67" si="7">+G13-K13</f>
        <v>13235904.789999992</v>
      </c>
      <c r="M13" s="191">
        <f t="shared" si="2"/>
        <v>0.30010461893228246</v>
      </c>
      <c r="N13" s="188">
        <f>'2018'!N13</f>
        <v>3499255.87</v>
      </c>
      <c r="O13" s="188">
        <f>+INDEX('2018'!$1:$1048576,MATCH(CONCATENATE('Analytics - 2018'!$A13,"p"),'2018'!$A:$A,0),MATCH('Analytics - 2018'!$O$6,'2018'!$101:$101,0))</f>
        <v>3013650.2072513374</v>
      </c>
      <c r="P13" s="189">
        <f t="shared" si="3"/>
        <v>485605.66274866275</v>
      </c>
      <c r="Q13" s="190">
        <f t="shared" si="4"/>
        <v>0.16113537715167325</v>
      </c>
      <c r="R13" s="188">
        <f>'2017'!N13</f>
        <v>2511333.39</v>
      </c>
      <c r="S13" s="189">
        <f t="shared" si="5"/>
        <v>987922.48</v>
      </c>
      <c r="T13" s="191">
        <f t="shared" si="6"/>
        <v>0.39338563487183986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+SUMPRODUCT(('2018'!$G14:$R14)*('2018'!$G$5:$R$5&lt;=Master!$B$3)*($A14='2018'!$A$10:$A$66))</f>
        <v>1129613.1099999999</v>
      </c>
      <c r="H14" s="188">
        <f>+SUMPRODUCT(('2018'!$G109:$R109)*('2018'!$G$5:$R$5&lt;=Master!$B$3))</f>
        <v>1141237.9182960948</v>
      </c>
      <c r="I14" s="189">
        <f t="shared" si="0"/>
        <v>-11624.808296094881</v>
      </c>
      <c r="J14" s="190">
        <f t="shared" si="1"/>
        <v>-1.0186139200011102E-2</v>
      </c>
      <c r="K14" s="188">
        <f>+SUMPRODUCT(('2017'!$G14:$R14)*('2017'!$G$5:$R$5&lt;=Master!$B$3))</f>
        <v>917262.22</v>
      </c>
      <c r="L14" s="189">
        <f t="shared" si="7"/>
        <v>212350.8899999999</v>
      </c>
      <c r="M14" s="191">
        <f t="shared" si="2"/>
        <v>0.23150510875723174</v>
      </c>
      <c r="N14" s="188">
        <f>'2018'!N14</f>
        <v>218611.11</v>
      </c>
      <c r="O14" s="188">
        <f>+INDEX('2018'!$1:$1048576,MATCH(CONCATENATE('Analytics - 2018'!$A14,"p"),'2018'!$A:$A,0),MATCH('Analytics - 2018'!$O$6,'2018'!$101:$101,0))</f>
        <v>179232.92735336185</v>
      </c>
      <c r="P14" s="189">
        <f t="shared" si="3"/>
        <v>39378.182646638132</v>
      </c>
      <c r="Q14" s="190">
        <f t="shared" si="4"/>
        <v>0.21970395299633272</v>
      </c>
      <c r="R14" s="188">
        <f>'2017'!N14</f>
        <v>152546.72</v>
      </c>
      <c r="S14" s="189">
        <f t="shared" si="5"/>
        <v>66064.389999999985</v>
      </c>
      <c r="T14" s="191">
        <f t="shared" si="6"/>
        <v>0.43307643717282152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+SUMPRODUCT(('2018'!$G15:$R15)*('2018'!$G$5:$R$5&lt;=Master!$B$3)*($A15='2018'!$A$10:$A$66))</f>
        <v>404066394.24000001</v>
      </c>
      <c r="H15" s="188">
        <f>+SUMPRODUCT(('2018'!$G110:$R110)*('2018'!$G$5:$R$5&lt;=Master!$B$3))</f>
        <v>399192811.17986727</v>
      </c>
      <c r="I15" s="189">
        <f t="shared" si="0"/>
        <v>4873583.0601327419</v>
      </c>
      <c r="J15" s="190">
        <f t="shared" si="1"/>
        <v>1.2208594252306915E-2</v>
      </c>
      <c r="K15" s="188">
        <f>+SUMPRODUCT(('2017'!$G15:$R15)*('2017'!$G$5:$R$5&lt;=Master!$B$3))</f>
        <v>350073390.22000003</v>
      </c>
      <c r="L15" s="189">
        <f t="shared" si="7"/>
        <v>53993004.019999981</v>
      </c>
      <c r="M15" s="191">
        <f t="shared" si="2"/>
        <v>0.15423338513695262</v>
      </c>
      <c r="N15" s="188">
        <f>'2018'!N15</f>
        <v>64152277.310000002</v>
      </c>
      <c r="O15" s="188">
        <f>+INDEX('2018'!$1:$1048576,MATCH(CONCATENATE('Analytics - 2018'!$A15,"p"),'2018'!$A:$A,0),MATCH('Analytics - 2018'!$O$6,'2018'!$101:$101,0))</f>
        <v>64446747.698135167</v>
      </c>
      <c r="P15" s="189">
        <f t="shared" si="3"/>
        <v>-294470.38813516498</v>
      </c>
      <c r="Q15" s="190">
        <f t="shared" si="4"/>
        <v>-4.5692047877178288E-3</v>
      </c>
      <c r="R15" s="188">
        <f>'2017'!N15</f>
        <v>56845360.840000004</v>
      </c>
      <c r="S15" s="189">
        <f t="shared" si="5"/>
        <v>7306916.4699999988</v>
      </c>
      <c r="T15" s="191">
        <f t="shared" si="6"/>
        <v>0.12854024254620255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+SUMPRODUCT(('2018'!$G16:$R16)*('2018'!$G$5:$R$5&lt;=Master!$B$3)*($A16='2018'!$A$10:$A$66))</f>
        <v>140992258.06</v>
      </c>
      <c r="H16" s="188">
        <f>+SUMPRODUCT(('2018'!$G111:$R111)*('2018'!$G$5:$R$5&lt;=Master!$B$3))</f>
        <v>144092186.70632964</v>
      </c>
      <c r="I16" s="189">
        <f t="shared" si="0"/>
        <v>-3099928.6463296413</v>
      </c>
      <c r="J16" s="190">
        <f t="shared" si="1"/>
        <v>-2.1513509630105898E-2</v>
      </c>
      <c r="K16" s="188">
        <f>+SUMPRODUCT(('2017'!$G16:$R16)*('2017'!$G$5:$R$5&lt;=Master!$B$3))</f>
        <v>139660746.00999999</v>
      </c>
      <c r="L16" s="189">
        <f t="shared" si="7"/>
        <v>1331512.0500000119</v>
      </c>
      <c r="M16" s="191">
        <f t="shared" si="2"/>
        <v>9.5339033195818157E-3</v>
      </c>
      <c r="N16" s="188">
        <f>'2018'!N16</f>
        <v>25150486.629999999</v>
      </c>
      <c r="O16" s="188">
        <f>+INDEX('2018'!$1:$1048576,MATCH(CONCATENATE('Analytics - 2018'!$A16,"p"),'2018'!$A:$A,0),MATCH('Analytics - 2018'!$O$6,'2018'!$101:$101,0))</f>
        <v>27485729.223607898</v>
      </c>
      <c r="P16" s="189">
        <f t="shared" si="3"/>
        <v>-2335242.5936078988</v>
      </c>
      <c r="Q16" s="190">
        <f t="shared" si="4"/>
        <v>-8.4962002448969898E-2</v>
      </c>
      <c r="R16" s="188">
        <f>'2017'!N16</f>
        <v>25506175.510000002</v>
      </c>
      <c r="S16" s="189">
        <f t="shared" si="5"/>
        <v>-355688.88000000268</v>
      </c>
      <c r="T16" s="191">
        <f t="shared" si="6"/>
        <v>-1.3945206323094261E-2</v>
      </c>
    </row>
    <row r="17" spans="1:20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+SUMPRODUCT(('2018'!$G17:$R17)*('2018'!$G$5:$R$5&lt;=Master!$B$3)*($A17='2018'!$A$10:$A$66))</f>
        <v>17907325.41</v>
      </c>
      <c r="H17" s="188">
        <f>+SUMPRODUCT(('2018'!$G112:$R112)*('2018'!$G$5:$R$5&lt;=Master!$B$3))</f>
        <v>17915426.857925307</v>
      </c>
      <c r="I17" s="189">
        <f t="shared" si="0"/>
        <v>-8101.4479253068566</v>
      </c>
      <c r="J17" s="190">
        <f t="shared" si="1"/>
        <v>-4.5220512966581694E-4</v>
      </c>
      <c r="K17" s="188">
        <f>+SUMPRODUCT(('2017'!$G17:$R17)*('2017'!$G$5:$R$5&lt;=Master!$B$3))</f>
        <v>16930610.23</v>
      </c>
      <c r="L17" s="189">
        <f t="shared" si="7"/>
        <v>976715.1799999997</v>
      </c>
      <c r="M17" s="191">
        <f t="shared" si="2"/>
        <v>5.7689307516472166E-2</v>
      </c>
      <c r="N17" s="188">
        <f>'2018'!N17</f>
        <v>2858882.98</v>
      </c>
      <c r="O17" s="188">
        <f>+INDEX('2018'!$1:$1048576,MATCH(CONCATENATE('Analytics - 2018'!$A17,"p"),'2018'!$A:$A,0),MATCH('Analytics - 2018'!$O$6,'2018'!$101:$101,0))</f>
        <v>3013417.3907755367</v>
      </c>
      <c r="P17" s="189">
        <f t="shared" si="3"/>
        <v>-154534.41077553667</v>
      </c>
      <c r="Q17" s="190">
        <f t="shared" si="4"/>
        <v>-5.1282112875762453E-2</v>
      </c>
      <c r="R17" s="188">
        <f>'2017'!N17</f>
        <v>2861682.41</v>
      </c>
      <c r="S17" s="189">
        <f t="shared" si="5"/>
        <v>-2799.4300000001676</v>
      </c>
      <c r="T17" s="191">
        <f t="shared" si="6"/>
        <v>-9.7824621985220794E-4</v>
      </c>
    </row>
    <row r="18" spans="1:20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+SUMPRODUCT(('2018'!$G18:$R18)*('2018'!$G$5:$R$5&lt;=Master!$B$3)*($A18='2018'!$A$10:$A$66))</f>
        <v>6095982.7199999997</v>
      </c>
      <c r="H18" s="188">
        <f>+SUMPRODUCT(('2018'!$G113:$R113)*('2018'!$G$5:$R$5&lt;=Master!$B$3))</f>
        <v>6186196.981898535</v>
      </c>
      <c r="I18" s="189">
        <f t="shared" si="0"/>
        <v>-90214.261898535304</v>
      </c>
      <c r="J18" s="190">
        <f t="shared" si="1"/>
        <v>-1.4583153779698876E-2</v>
      </c>
      <c r="K18" s="188">
        <f>+SUMPRODUCT(('2017'!$G18:$R18)*('2017'!$G$5:$R$5&lt;=Master!$B$3))</f>
        <v>6098983.75</v>
      </c>
      <c r="L18" s="189">
        <f t="shared" si="7"/>
        <v>-3001.0300000002608</v>
      </c>
      <c r="M18" s="191">
        <f t="shared" si="2"/>
        <v>-4.920541065550621E-4</v>
      </c>
      <c r="N18" s="188">
        <f>'2018'!N18</f>
        <v>844808.84</v>
      </c>
      <c r="O18" s="188">
        <f>+INDEX('2018'!$1:$1048576,MATCH(CONCATENATE('Analytics - 2018'!$A18,"p"),'2018'!$A:$A,0),MATCH('Analytics - 2018'!$O$6,'2018'!$101:$101,0))</f>
        <v>869393.84000284644</v>
      </c>
      <c r="P18" s="189">
        <f t="shared" si="3"/>
        <v>-24585.000002846471</v>
      </c>
      <c r="Q18" s="190">
        <f t="shared" si="4"/>
        <v>-2.8278323208232092E-2</v>
      </c>
      <c r="R18" s="188">
        <f>'2017'!N18</f>
        <v>800165.96</v>
      </c>
      <c r="S18" s="189">
        <f t="shared" si="5"/>
        <v>44642.880000000005</v>
      </c>
      <c r="T18" s="191">
        <f t="shared" si="6"/>
        <v>5.5792025944217949E-2</v>
      </c>
    </row>
    <row r="19" spans="1:20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+SUMPRODUCT(('2018'!$G19:$R19)*('2018'!$G$5:$R$5&lt;=Master!$B$3)*($A19='2018'!$A$10:$A$66))</f>
        <v>309366966.58999997</v>
      </c>
      <c r="H19" s="194">
        <f>+SUMPRODUCT(('2018'!$G114:$R114)*('2018'!$G$5:$R$5&lt;=Master!$B$3))</f>
        <v>310145786.00050139</v>
      </c>
      <c r="I19" s="195">
        <f t="shared" si="0"/>
        <v>-778819.4105014205</v>
      </c>
      <c r="J19" s="196">
        <f t="shared" si="1"/>
        <v>-2.5111397467130203E-3</v>
      </c>
      <c r="K19" s="194">
        <f>+SUMPRODUCT(('2017'!$G19:$R19)*('2017'!$G$5:$R$5&lt;=Master!$B$3))</f>
        <v>290792377.83999997</v>
      </c>
      <c r="L19" s="195">
        <f t="shared" si="7"/>
        <v>18574588.75</v>
      </c>
      <c r="M19" s="197">
        <f t="shared" si="2"/>
        <v>6.3875775864455919E-2</v>
      </c>
      <c r="N19" s="194">
        <f>'2018'!N19</f>
        <v>45633852.549999997</v>
      </c>
      <c r="O19" s="194">
        <f>+INDEX('2018'!$1:$1048576,MATCH(CONCATENATE('Analytics - 2018'!$A19,"p"),'2018'!$A:$A,0),MATCH('Analytics - 2018'!$O$6,'2018'!$101:$101,0))</f>
        <v>45724084.253699668</v>
      </c>
      <c r="P19" s="195">
        <f t="shared" si="3"/>
        <v>-90231.703699670732</v>
      </c>
      <c r="Q19" s="196">
        <f t="shared" si="4"/>
        <v>-1.9733955348131271E-3</v>
      </c>
      <c r="R19" s="194">
        <f>'2017'!N19</f>
        <v>43764113.43</v>
      </c>
      <c r="S19" s="195">
        <f t="shared" si="5"/>
        <v>1869739.1199999973</v>
      </c>
      <c r="T19" s="197">
        <f t="shared" si="6"/>
        <v>4.2723112007983843E-2</v>
      </c>
    </row>
    <row r="20" spans="1:20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+SUMPRODUCT(('2018'!$G20:$R20)*('2018'!$G$5:$R$5&lt;=Master!$B$3)*($A20='2018'!$A$10:$A$66))</f>
        <v>186150330.21000001</v>
      </c>
      <c r="H20" s="188">
        <f>+SUMPRODUCT(('2018'!$G115:$R115)*('2018'!$G$5:$R$5&lt;=Master!$B$3))</f>
        <v>186018900.37578624</v>
      </c>
      <c r="I20" s="189">
        <f t="shared" si="0"/>
        <v>131429.83421376348</v>
      </c>
      <c r="J20" s="190">
        <f t="shared" si="1"/>
        <v>7.0654021687177604E-4</v>
      </c>
      <c r="K20" s="188">
        <f>+SUMPRODUCT(('2017'!$G20:$R20)*('2017'!$G$5:$R$5&lt;=Master!$B$3))</f>
        <v>175470278.72</v>
      </c>
      <c r="L20" s="189">
        <f t="shared" si="7"/>
        <v>10680051.49000001</v>
      </c>
      <c r="M20" s="191">
        <f t="shared" si="2"/>
        <v>6.0865301907010005E-2</v>
      </c>
      <c r="N20" s="188">
        <f>'2018'!N20</f>
        <v>27031179.09</v>
      </c>
      <c r="O20" s="188">
        <f>+INDEX('2018'!$1:$1048576,MATCH(CONCATENATE('Analytics - 2018'!$A20,"p"),'2018'!$A:$A,0),MATCH('Analytics - 2018'!$O$6,'2018'!$101:$101,0))</f>
        <v>26766339.061796233</v>
      </c>
      <c r="P20" s="189">
        <f t="shared" si="3"/>
        <v>264840.02820376679</v>
      </c>
      <c r="Q20" s="190">
        <f t="shared" si="4"/>
        <v>9.8945181704648277E-3</v>
      </c>
      <c r="R20" s="188">
        <f>'2017'!N20</f>
        <v>26577706.039999999</v>
      </c>
      <c r="S20" s="189">
        <f t="shared" si="5"/>
        <v>453473.05000000075</v>
      </c>
      <c r="T20" s="191">
        <f t="shared" si="6"/>
        <v>1.706215913884801E-2</v>
      </c>
    </row>
    <row r="21" spans="1:20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+SUMPRODUCT(('2018'!$G21:$R21)*('2018'!$G$5:$R$5&lt;=Master!$B$3)*($A21='2018'!$A$10:$A$66))</f>
        <v>107783333.59</v>
      </c>
      <c r="H21" s="188">
        <f>+SUMPRODUCT(('2018'!$G116:$R116)*('2018'!$G$5:$R$5&lt;=Master!$B$3))</f>
        <v>107803460.47503465</v>
      </c>
      <c r="I21" s="189">
        <f t="shared" si="0"/>
        <v>-20126.885034650564</v>
      </c>
      <c r="J21" s="190">
        <f t="shared" si="1"/>
        <v>-1.866998048667412E-4</v>
      </c>
      <c r="K21" s="188">
        <f>+SUMPRODUCT(('2017'!$G21:$R21)*('2017'!$G$5:$R$5&lt;=Master!$B$3))</f>
        <v>100046337.89999999</v>
      </c>
      <c r="L21" s="189">
        <f t="shared" si="7"/>
        <v>7736995.6900000125</v>
      </c>
      <c r="M21" s="191">
        <f t="shared" si="2"/>
        <v>7.7334121891931895E-2</v>
      </c>
      <c r="N21" s="188">
        <f>'2018'!N21</f>
        <v>16257992.279999999</v>
      </c>
      <c r="O21" s="188">
        <f>+INDEX('2018'!$1:$1048576,MATCH(CONCATENATE('Analytics - 2018'!$A21,"p"),'2018'!$A:$A,0),MATCH('Analytics - 2018'!$O$6,'2018'!$101:$101,0))</f>
        <v>16180831.542594498</v>
      </c>
      <c r="P21" s="189">
        <f t="shared" si="3"/>
        <v>77160.737405501306</v>
      </c>
      <c r="Q21" s="190">
        <f t="shared" si="4"/>
        <v>4.7686509313431547E-3</v>
      </c>
      <c r="R21" s="188">
        <f>'2017'!N21</f>
        <v>14906718.880000001</v>
      </c>
      <c r="S21" s="189">
        <f t="shared" si="5"/>
        <v>1351273.3999999985</v>
      </c>
      <c r="T21" s="191">
        <f t="shared" si="6"/>
        <v>9.0648613613621531E-2</v>
      </c>
    </row>
    <row r="22" spans="1:20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+SUMPRODUCT(('2018'!$G22:$R22)*('2018'!$G$5:$R$5&lt;=Master!$B$3)*($A22='2018'!$A$10:$A$66))</f>
        <v>7982722.3600000003</v>
      </c>
      <c r="H22" s="188">
        <f>+SUMPRODUCT(('2018'!$G117:$R117)*('2018'!$G$5:$R$5&lt;=Master!$B$3))</f>
        <v>8733488.179488223</v>
      </c>
      <c r="I22" s="189">
        <f t="shared" si="0"/>
        <v>-750765.81948822271</v>
      </c>
      <c r="J22" s="190">
        <f t="shared" si="1"/>
        <v>-8.5964027666688536E-2</v>
      </c>
      <c r="K22" s="188">
        <f>+SUMPRODUCT(('2017'!$G22:$R22)*('2017'!$G$5:$R$5&lt;=Master!$B$3))</f>
        <v>7972116.6899999995</v>
      </c>
      <c r="L22" s="189">
        <f t="shared" si="7"/>
        <v>10605.670000000857</v>
      </c>
      <c r="M22" s="191">
        <f t="shared" si="2"/>
        <v>1.3303455546886944E-3</v>
      </c>
      <c r="N22" s="188">
        <f>'2018'!N22</f>
        <v>1194470.45</v>
      </c>
      <c r="O22" s="188">
        <f>+INDEX('2018'!$1:$1048576,MATCH(CONCATENATE('Analytics - 2018'!$A22,"p"),'2018'!$A:$A,0),MATCH('Analytics - 2018'!$O$6,'2018'!$101:$101,0))</f>
        <v>1557858.7518803985</v>
      </c>
      <c r="P22" s="189">
        <f t="shared" si="3"/>
        <v>-363388.30188039853</v>
      </c>
      <c r="Q22" s="190">
        <f t="shared" si="4"/>
        <v>-0.23326139256320522</v>
      </c>
      <c r="R22" s="188">
        <f>'2017'!N22</f>
        <v>1182973.0900000001</v>
      </c>
      <c r="S22" s="189">
        <f t="shared" si="5"/>
        <v>11497.35999999987</v>
      </c>
      <c r="T22" s="191">
        <f t="shared" si="6"/>
        <v>9.7190376494531439E-3</v>
      </c>
    </row>
    <row r="23" spans="1:20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+SUMPRODUCT(('2018'!$G23:$R23)*('2018'!$G$5:$R$5&lt;=Master!$B$3)*($A23='2018'!$A$10:$A$66))</f>
        <v>7450580.4299999997</v>
      </c>
      <c r="H23" s="188">
        <f>+SUMPRODUCT(('2018'!$G118:$R118)*('2018'!$G$5:$R$5&lt;=Master!$B$3))</f>
        <v>7589936.9701922704</v>
      </c>
      <c r="I23" s="189">
        <f t="shared" si="0"/>
        <v>-139356.54019227065</v>
      </c>
      <c r="J23" s="190">
        <f t="shared" si="1"/>
        <v>-1.8360697953034522E-2</v>
      </c>
      <c r="K23" s="188">
        <f>+SUMPRODUCT(('2017'!$G23:$R23)*('2017'!$G$5:$R$5&lt;=Master!$B$3))</f>
        <v>7303644.5299999993</v>
      </c>
      <c r="L23" s="189">
        <f t="shared" si="7"/>
        <v>146935.90000000037</v>
      </c>
      <c r="M23" s="191">
        <f t="shared" si="2"/>
        <v>2.0118161473556828E-2</v>
      </c>
      <c r="N23" s="188">
        <f>'2018'!N23</f>
        <v>1150210.73</v>
      </c>
      <c r="O23" s="188">
        <f>+INDEX('2018'!$1:$1048576,MATCH(CONCATENATE('Analytics - 2018'!$A23,"p"),'2018'!$A:$A,0),MATCH('Analytics - 2018'!$O$6,'2018'!$101:$101,0))</f>
        <v>1219054.8974285366</v>
      </c>
      <c r="P23" s="189">
        <f t="shared" si="3"/>
        <v>-68844.167428536573</v>
      </c>
      <c r="Q23" s="190">
        <f t="shared" si="4"/>
        <v>-5.6473393916677495E-2</v>
      </c>
      <c r="R23" s="188">
        <f>'2017'!N23</f>
        <v>1096715.42</v>
      </c>
      <c r="S23" s="189">
        <f t="shared" si="5"/>
        <v>53495.310000000056</v>
      </c>
      <c r="T23" s="191">
        <f t="shared" si="6"/>
        <v>4.8777749473058352E-2</v>
      </c>
    </row>
    <row r="24" spans="1:20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194">
        <f>+SUMPRODUCT(('2018'!$G24:$R24)*('2018'!$G$5:$R$5&lt;=Master!$B$3)*($A24='2018'!$A$10:$A$66))</f>
        <v>10909315.359999999</v>
      </c>
      <c r="H24" s="200">
        <f>+SUMPRODUCT(('2018'!$G119:$R119)*('2018'!$G$5:$R$5&lt;=Master!$B$3))</f>
        <v>11076188.086164301</v>
      </c>
      <c r="I24" s="201">
        <f t="shared" si="0"/>
        <v>-166872.72616430186</v>
      </c>
      <c r="J24" s="202">
        <f t="shared" si="1"/>
        <v>-1.5065898562407809E-2</v>
      </c>
      <c r="K24" s="200">
        <f>+SUMPRODUCT(('2017'!$G24:$R24)*('2017'!$G$5:$R$5&lt;=Master!$B$3))</f>
        <v>8786479.2100000009</v>
      </c>
      <c r="L24" s="201">
        <f t="shared" si="7"/>
        <v>2122836.1499999985</v>
      </c>
      <c r="M24" s="203">
        <f t="shared" si="2"/>
        <v>0.24160259180764609</v>
      </c>
      <c r="N24" s="194">
        <f>'2018'!N24</f>
        <v>1838018.93</v>
      </c>
      <c r="O24" s="200">
        <f>+INDEX('2018'!$1:$1048576,MATCH(CONCATENATE('Analytics - 2018'!$A24,"p"),'2018'!$A:$A,0),MATCH('Analytics - 2018'!$O$6,'2018'!$101:$101,0))</f>
        <v>2094009.8411112905</v>
      </c>
      <c r="P24" s="201">
        <f t="shared" si="3"/>
        <v>-255990.91111129057</v>
      </c>
      <c r="Q24" s="202">
        <f t="shared" si="4"/>
        <v>-0.12224914424252953</v>
      </c>
      <c r="R24" s="194">
        <f>'2017'!N24</f>
        <v>1598254.37</v>
      </c>
      <c r="S24" s="201">
        <f t="shared" si="5"/>
        <v>239764.55999999982</v>
      </c>
      <c r="T24" s="203">
        <f t="shared" si="6"/>
        <v>0.15001652083704275</v>
      </c>
    </row>
    <row r="25" spans="1:20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194">
        <f>+SUMPRODUCT(('2018'!$G25:$R25)*('2018'!$G$5:$R$5&lt;=Master!$B$3)*($A25='2018'!$A$10:$A$66))</f>
        <v>17418621.59</v>
      </c>
      <c r="H25" s="200">
        <f>+SUMPRODUCT(('2018'!$G120:$R120)*('2018'!$G$5:$R$5&lt;=Master!$B$3))</f>
        <v>17090096.482972577</v>
      </c>
      <c r="I25" s="201">
        <f t="shared" si="0"/>
        <v>328525.10702742264</v>
      </c>
      <c r="J25" s="202">
        <f t="shared" si="1"/>
        <v>1.92231276958994E-2</v>
      </c>
      <c r="K25" s="200">
        <f>+SUMPRODUCT(('2017'!$G25:$R25)*('2017'!$G$5:$R$5&lt;=Master!$B$3))</f>
        <v>12079859.129999999</v>
      </c>
      <c r="L25" s="201">
        <f t="shared" si="7"/>
        <v>5338762.4600000009</v>
      </c>
      <c r="M25" s="203">
        <f t="shared" si="2"/>
        <v>0.4419556886008158</v>
      </c>
      <c r="N25" s="194">
        <f>'2018'!N25</f>
        <v>1937135.94</v>
      </c>
      <c r="O25" s="200">
        <f>+INDEX('2018'!$1:$1048576,MATCH(CONCATENATE('Analytics - 2018'!$A25,"p"),'2018'!$A:$A,0),MATCH('Analytics - 2018'!$O$6,'2018'!$101:$101,0))</f>
        <v>1878964.846878767</v>
      </c>
      <c r="P25" s="201">
        <f t="shared" si="3"/>
        <v>58171.093121232931</v>
      </c>
      <c r="Q25" s="202">
        <f t="shared" si="4"/>
        <v>3.0959117312845619E-2</v>
      </c>
      <c r="R25" s="194">
        <f>'2017'!N25</f>
        <v>1608311.46</v>
      </c>
      <c r="S25" s="201">
        <f t="shared" si="5"/>
        <v>328824.48</v>
      </c>
      <c r="T25" s="203">
        <f t="shared" si="6"/>
        <v>0.20445323444999897</v>
      </c>
    </row>
    <row r="26" spans="1:20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194">
        <f>+SUMPRODUCT(('2018'!$G26:$R26)*('2018'!$G$5:$R$5&lt;=Master!$B$3)*($A26='2018'!$A$10:$A$66))</f>
        <v>23839217.360000003</v>
      </c>
      <c r="H26" s="200">
        <f>+SUMPRODUCT(('2018'!$G121:$R121)*('2018'!$G$5:$R$5&lt;=Master!$B$3))</f>
        <v>22922797.882263605</v>
      </c>
      <c r="I26" s="201">
        <f t="shared" si="0"/>
        <v>916419.47773639858</v>
      </c>
      <c r="J26" s="202">
        <f t="shared" si="1"/>
        <v>3.9978517563315163E-2</v>
      </c>
      <c r="K26" s="200">
        <f>+SUMPRODUCT(('2017'!$G26:$R26)*('2017'!$G$5:$R$5&lt;=Master!$B$3))</f>
        <v>23950363.199999999</v>
      </c>
      <c r="L26" s="201">
        <f t="shared" si="7"/>
        <v>-111145.83999999613</v>
      </c>
      <c r="M26" s="203">
        <f t="shared" si="2"/>
        <v>-4.6406745096874147E-3</v>
      </c>
      <c r="N26" s="194">
        <f>'2018'!N26</f>
        <v>3453874.44</v>
      </c>
      <c r="O26" s="200">
        <f>+INDEX('2018'!$1:$1048576,MATCH(CONCATENATE('Analytics - 2018'!$A26,"p"),'2018'!$A:$A,0),MATCH('Analytics - 2018'!$O$6,'2018'!$101:$101,0))</f>
        <v>2856432.7673175023</v>
      </c>
      <c r="P26" s="201">
        <f t="shared" si="3"/>
        <v>597441.67268249765</v>
      </c>
      <c r="Q26" s="202">
        <f t="shared" si="4"/>
        <v>0.20915656742152544</v>
      </c>
      <c r="R26" s="194">
        <f>'2017'!N26</f>
        <v>2465692.11</v>
      </c>
      <c r="S26" s="201">
        <f t="shared" si="5"/>
        <v>988182.33000000007</v>
      </c>
      <c r="T26" s="203">
        <f t="shared" si="6"/>
        <v>0.40077279965015578</v>
      </c>
    </row>
    <row r="27" spans="1:20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194">
        <f>+SUMPRODUCT(('2018'!$G27:$R27)*('2018'!$G$5:$R$5&lt;=Master!$B$3)*($A27='2018'!$A$10:$A$66))</f>
        <v>4670661.96</v>
      </c>
      <c r="H27" s="200">
        <f>+SUMPRODUCT(('2018'!$G122:$R122)*('2018'!$G$5:$R$5&lt;=Master!$B$3))</f>
        <v>4960142.4280260699</v>
      </c>
      <c r="I27" s="201">
        <f t="shared" si="0"/>
        <v>-289480.46802606992</v>
      </c>
      <c r="J27" s="202">
        <f t="shared" si="1"/>
        <v>-5.8361321721414949E-2</v>
      </c>
      <c r="K27" s="200">
        <f>+SUMPRODUCT(('2017'!$G27:$R27)*('2017'!$G$5:$R$5&lt;=Master!$B$3))</f>
        <v>3347443.09</v>
      </c>
      <c r="L27" s="201">
        <f t="shared" si="7"/>
        <v>1323218.8700000001</v>
      </c>
      <c r="M27" s="203">
        <f t="shared" si="2"/>
        <v>0.39529241705495277</v>
      </c>
      <c r="N27" s="194">
        <f>'2018'!N27</f>
        <v>146792.74</v>
      </c>
      <c r="O27" s="200">
        <f>+INDEX('2018'!$1:$1048576,MATCH(CONCATENATE('Analytics - 2018'!$A27,"p"),'2018'!$A:$A,0),MATCH('Analytics - 2018'!$O$6,'2018'!$101:$101,0))</f>
        <v>135623.91601735391</v>
      </c>
      <c r="P27" s="201">
        <f t="shared" si="3"/>
        <v>11168.823982646078</v>
      </c>
      <c r="Q27" s="202">
        <f t="shared" si="4"/>
        <v>8.2351434102647225E-2</v>
      </c>
      <c r="R27" s="194">
        <f>'2017'!N27</f>
        <v>142813.88</v>
      </c>
      <c r="S27" s="201">
        <f t="shared" si="5"/>
        <v>3978.859999999986</v>
      </c>
      <c r="T27" s="203">
        <f t="shared" si="6"/>
        <v>2.7860457260876714E-2</v>
      </c>
    </row>
    <row r="28" spans="1:20" ht="15.7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194">
        <f>+SUMPRODUCT(('2018'!$G28:$R28)*('2018'!$G$5:$R$5&lt;=Master!$B$3)*($A28='2018'!$A$10:$A$66))</f>
        <v>16317390.310000002</v>
      </c>
      <c r="H28" s="200">
        <f>+SUMPRODUCT(('2018'!$G123:$R123)*('2018'!$G$5:$R$5&lt;=Master!$B$3))</f>
        <v>18284064.91658999</v>
      </c>
      <c r="I28" s="201">
        <f t="shared" si="0"/>
        <v>-1966674.6065899879</v>
      </c>
      <c r="J28" s="202">
        <f t="shared" si="1"/>
        <v>-0.10756221964654766</v>
      </c>
      <c r="K28" s="200">
        <f>+SUMPRODUCT(('2017'!$G28:$R28)*('2017'!$G$5:$R$5&lt;=Master!$B$3))</f>
        <v>10571778.420000002</v>
      </c>
      <c r="L28" s="201">
        <f t="shared" si="7"/>
        <v>5745611.8900000006</v>
      </c>
      <c r="M28" s="203">
        <f t="shared" si="2"/>
        <v>0.54348584142950651</v>
      </c>
      <c r="N28" s="194">
        <f>'2018'!N28</f>
        <v>259046.56</v>
      </c>
      <c r="O28" s="200">
        <f>+INDEX('2018'!$1:$1048576,MATCH(CONCATENATE('Analytics - 2018'!$A28,"p"),'2018'!$A:$A,0),MATCH('Analytics - 2018'!$O$6,'2018'!$101:$101,0))</f>
        <v>570671.53597611003</v>
      </c>
      <c r="P28" s="201">
        <f t="shared" si="3"/>
        <v>-311624.97597611003</v>
      </c>
      <c r="Q28" s="202">
        <f t="shared" si="4"/>
        <v>-0.54606714428657877</v>
      </c>
      <c r="R28" s="194">
        <f>'2017'!N28</f>
        <v>693924.15</v>
      </c>
      <c r="S28" s="201">
        <f t="shared" si="5"/>
        <v>-434877.59</v>
      </c>
      <c r="T28" s="203">
        <f t="shared" si="6"/>
        <v>-0.62669326323345276</v>
      </c>
    </row>
    <row r="29" spans="1:20" ht="15.7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+SUMPRODUCT(('2018'!$G29:$R29)*('2018'!$G$5:$R$5&lt;=Master!$B$3)*($A29='2018'!$A$10:$A$66))</f>
        <v>1131966747.52</v>
      </c>
      <c r="H29" s="176">
        <f>+SUMPRODUCT(('2018'!$G124:$R124)*('2018'!$G$5:$R$5&lt;=Master!$B$3))</f>
        <v>1200960279.7368889</v>
      </c>
      <c r="I29" s="177">
        <f t="shared" si="0"/>
        <v>-68993532.216888905</v>
      </c>
      <c r="J29" s="178">
        <f t="shared" si="1"/>
        <v>-5.7448637878352082E-2</v>
      </c>
      <c r="K29" s="176">
        <f>+SUMPRODUCT(('2017'!$G29:$R29)*('2017'!$G$5:$R$5&lt;=Master!$B$3))</f>
        <v>1081188550.8699999</v>
      </c>
      <c r="L29" s="177">
        <f t="shared" si="7"/>
        <v>50778196.650000095</v>
      </c>
      <c r="M29" s="179">
        <f t="shared" si="2"/>
        <v>4.6965163115296082E-2</v>
      </c>
      <c r="N29" s="176">
        <f>'2018'!N29</f>
        <v>127156226.25999998</v>
      </c>
      <c r="O29" s="176">
        <f>+INDEX('2018'!$1:$1048576,MATCH(CONCATENATE('Analytics - 2018'!$A29,"p"),'2018'!$A:$A,0),MATCH('Analytics - 2018'!$O$6,'2018'!$101:$101,0))</f>
        <v>158107547.35211113</v>
      </c>
      <c r="P29" s="177">
        <f t="shared" si="3"/>
        <v>-30951321.092111155</v>
      </c>
      <c r="Q29" s="178">
        <f t="shared" si="4"/>
        <v>-0.19576118667618991</v>
      </c>
      <c r="R29" s="176">
        <f>'2017'!N29</f>
        <v>148374217.36000001</v>
      </c>
      <c r="S29" s="177">
        <f t="shared" si="5"/>
        <v>-21217991.100000039</v>
      </c>
      <c r="T29" s="179">
        <f t="shared" si="6"/>
        <v>-0.14300322170204871</v>
      </c>
    </row>
    <row r="30" spans="1:20" ht="15.7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342">
        <f>+SUMPRODUCT(('2018'!$G30:$R30)*('2018'!$G$5:$R$5&lt;=Master!$B$3)*($A30='2018'!$A$10:$A$66))</f>
        <v>1025770600.1900001</v>
      </c>
      <c r="H30" s="342">
        <f>+SUMPRODUCT(('2018'!$G125:$R125)*('2018'!$G$5:$R$5&lt;=Master!$B$3))</f>
        <v>1018146946.4035556</v>
      </c>
      <c r="I30" s="207">
        <f t="shared" si="0"/>
        <v>7623653.7864444256</v>
      </c>
      <c r="J30" s="208">
        <f t="shared" si="1"/>
        <v>7.4877735609517604E-3</v>
      </c>
      <c r="K30" s="389">
        <f>+SUMPRODUCT(('2017'!$G30:$R30)*('2017'!$G$5:$R$5&lt;=Master!$B$3))</f>
        <v>1000060092.4399998</v>
      </c>
      <c r="L30" s="207">
        <f t="shared" si="7"/>
        <v>25710507.750000238</v>
      </c>
      <c r="M30" s="209">
        <f t="shared" si="2"/>
        <v>2.5708962835693683E-2</v>
      </c>
      <c r="N30" s="342">
        <f>'2018'!N30</f>
        <v>120089155.68999997</v>
      </c>
      <c r="O30" s="342">
        <f>+INDEX('2018'!$1:$1048576,MATCH(CONCATENATE('Analytics - 2018'!$A30,"p"),'2018'!$A:$A,0),MATCH('Analytics - 2018'!$O$6,'2018'!$101:$101,0))</f>
        <v>131117130.68544447</v>
      </c>
      <c r="P30" s="207">
        <f t="shared" si="3"/>
        <v>-11027974.995444506</v>
      </c>
      <c r="Q30" s="208">
        <f t="shared" si="4"/>
        <v>-8.4107812135555959E-2</v>
      </c>
      <c r="R30" s="342">
        <f>'2017'!N30</f>
        <v>119078138.24000001</v>
      </c>
      <c r="S30" s="207">
        <f t="shared" si="5"/>
        <v>1011017.4499999583</v>
      </c>
      <c r="T30" s="209">
        <f t="shared" si="6"/>
        <v>8.4903699784277809E-3</v>
      </c>
    </row>
    <row r="31" spans="1:20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391">
        <f>+SUMPRODUCT(('2018'!$G31:$R31)*('2018'!$G$5:$R$5&lt;=Master!$B$3)*($A31='2018'!$A$10:$A$66))</f>
        <v>514938814.92000002</v>
      </c>
      <c r="H31" s="391">
        <f>+SUMPRODUCT(('2018'!$G126:$R126)*('2018'!$G$5:$R$5&lt;=Master!$B$3))</f>
        <v>509590177.6515556</v>
      </c>
      <c r="I31" s="213">
        <f t="shared" si="0"/>
        <v>5348637.2684444189</v>
      </c>
      <c r="J31" s="214">
        <f t="shared" si="1"/>
        <v>1.0495958326931731E-2</v>
      </c>
      <c r="K31" s="390">
        <f>+SUMPRODUCT(('2017'!$G31:$R31)*('2017'!$G$5:$R$5&lt;=Master!$B$3))</f>
        <v>500647361.16999996</v>
      </c>
      <c r="L31" s="213">
        <f t="shared" si="7"/>
        <v>14291453.75000006</v>
      </c>
      <c r="M31" s="215">
        <f t="shared" si="2"/>
        <v>2.8545948422860512E-2</v>
      </c>
      <c r="N31" s="391">
        <f>'2018'!N31</f>
        <v>54529074.519999988</v>
      </c>
      <c r="O31" s="391">
        <f>+INDEX('2018'!$1:$1048576,MATCH(CONCATENATE('Analytics - 2018'!$A31,"p"),'2018'!$A:$A,0),MATCH('Analytics - 2018'!$O$6,'2018'!$101:$101,0))</f>
        <v>68385342.175944448</v>
      </c>
      <c r="P31" s="213">
        <f t="shared" si="3"/>
        <v>-13856267.655944459</v>
      </c>
      <c r="Q31" s="214">
        <f t="shared" si="4"/>
        <v>-0.20262043319596934</v>
      </c>
      <c r="R31" s="391">
        <f>'2017'!N31</f>
        <v>55546071.519999996</v>
      </c>
      <c r="S31" s="213">
        <f t="shared" si="5"/>
        <v>-1016997.0000000075</v>
      </c>
      <c r="T31" s="215">
        <f t="shared" si="6"/>
        <v>-1.8309071589947212E-2</v>
      </c>
    </row>
    <row r="32" spans="1:20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f>+SUMPRODUCT(('2018'!$G32:$R32)*('2018'!$G$5:$R$5&lt;=Master!$B$3)*($A32='2018'!$A$10:$A$66))</f>
        <v>301952303.43000001</v>
      </c>
      <c r="H32" s="188">
        <f>+SUMPRODUCT(('2018'!$G127:$R127)*('2018'!$G$5:$R$5&lt;=Master!$B$3))</f>
        <v>292651840.07333332</v>
      </c>
      <c r="I32" s="189">
        <f t="shared" si="0"/>
        <v>9300463.3566666842</v>
      </c>
      <c r="J32" s="190">
        <f t="shared" si="1"/>
        <v>3.1779958582649481E-2</v>
      </c>
      <c r="K32" s="188">
        <f>+SUMPRODUCT(('2017'!$G32:$R32)*('2017'!$G$5:$R$5&lt;=Master!$B$3))</f>
        <v>292593521</v>
      </c>
      <c r="L32" s="189">
        <f t="shared" si="7"/>
        <v>9358782.4300000072</v>
      </c>
      <c r="M32" s="191">
        <f t="shared" si="2"/>
        <v>3.1985610610974602E-2</v>
      </c>
      <c r="N32" s="188">
        <f>'2018'!N32</f>
        <v>36767851.93</v>
      </c>
      <c r="O32" s="188">
        <f>+INDEX('2018'!$1:$1048576,MATCH(CONCATENATE('Analytics - 2018'!$A32,"p"),'2018'!$A:$A,0),MATCH('Analytics - 2018'!$O$6,'2018'!$101:$101,0))</f>
        <v>36581480.009166665</v>
      </c>
      <c r="P32" s="189">
        <f t="shared" si="3"/>
        <v>186371.92083333433</v>
      </c>
      <c r="Q32" s="190">
        <f t="shared" si="4"/>
        <v>5.0947069606432915E-3</v>
      </c>
      <c r="R32" s="188">
        <f>'2017'!N32</f>
        <v>35575955.729999997</v>
      </c>
      <c r="S32" s="189">
        <f t="shared" si="5"/>
        <v>1191896.200000003</v>
      </c>
      <c r="T32" s="191">
        <f t="shared" si="6"/>
        <v>3.350285819573684E-2</v>
      </c>
    </row>
    <row r="33" spans="1:20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+SUMPRODUCT(('2018'!$G33:$R33)*('2018'!$G$5:$R$5&lt;=Master!$B$3)*($A33='2018'!$A$10:$A$66))</f>
        <v>6787753.9199999999</v>
      </c>
      <c r="H33" s="188">
        <f>+SUMPRODUCT(('2018'!$G128:$R128)*('2018'!$G$5:$R$5&lt;=Master!$B$3))</f>
        <v>8460571.231111113</v>
      </c>
      <c r="I33" s="189">
        <f t="shared" si="0"/>
        <v>-1672817.3111111131</v>
      </c>
      <c r="J33" s="190">
        <f t="shared" si="1"/>
        <v>-0.19771919240628211</v>
      </c>
      <c r="K33" s="188">
        <f>+SUMPRODUCT(('2017'!$G33:$R33)*('2017'!$G$5:$R$5&lt;=Master!$B$3))</f>
        <v>6092519</v>
      </c>
      <c r="L33" s="189">
        <f t="shared" si="7"/>
        <v>695234.91999999993</v>
      </c>
      <c r="M33" s="191">
        <f t="shared" si="2"/>
        <v>0.11411288499879935</v>
      </c>
      <c r="N33" s="188">
        <f>'2018'!N33</f>
        <v>804909.73</v>
      </c>
      <c r="O33" s="188">
        <f>+INDEX('2018'!$1:$1048576,MATCH(CONCATENATE('Analytics - 2018'!$A33,"p"),'2018'!$A:$A,0),MATCH('Analytics - 2018'!$O$6,'2018'!$101:$101,0))</f>
        <v>1064654.7372222226</v>
      </c>
      <c r="P33" s="189">
        <f t="shared" si="3"/>
        <v>-259745.00722222263</v>
      </c>
      <c r="Q33" s="190">
        <f t="shared" si="4"/>
        <v>-0.24397111865572507</v>
      </c>
      <c r="R33" s="188">
        <f>'2017'!N33</f>
        <v>982340.29</v>
      </c>
      <c r="S33" s="189">
        <f t="shared" si="5"/>
        <v>-177430.56000000006</v>
      </c>
      <c r="T33" s="191">
        <f t="shared" si="6"/>
        <v>-0.18062026143710352</v>
      </c>
    </row>
    <row r="34" spans="1:20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+SUMPRODUCT(('2018'!$G34:$R34)*('2018'!$G$5:$R$5&lt;=Master!$B$3)*($A34='2018'!$A$10:$A$66))</f>
        <v>19914542.75</v>
      </c>
      <c r="H34" s="188">
        <f>+SUMPRODUCT(('2018'!$G129:$R129)*('2018'!$G$5:$R$5&lt;=Master!$B$3))</f>
        <v>21864359.892000001</v>
      </c>
      <c r="I34" s="189">
        <f t="shared" si="0"/>
        <v>-1949817.1420000009</v>
      </c>
      <c r="J34" s="190">
        <f t="shared" si="1"/>
        <v>-8.9177874478430286E-2</v>
      </c>
      <c r="K34" s="188">
        <f>+SUMPRODUCT(('2017'!$G34:$R34)*('2017'!$G$5:$R$5&lt;=Master!$B$3))</f>
        <v>16113449.119999999</v>
      </c>
      <c r="L34" s="189">
        <f t="shared" si="7"/>
        <v>3801093.6300000008</v>
      </c>
      <c r="M34" s="191">
        <f t="shared" si="2"/>
        <v>0.2358957167824538</v>
      </c>
      <c r="N34" s="188">
        <f>'2018'!N34</f>
        <v>2385883.61</v>
      </c>
      <c r="O34" s="188">
        <f>+INDEX('2018'!$1:$1048576,MATCH(CONCATENATE('Analytics - 2018'!$A34,"p"),'2018'!$A:$A,0),MATCH('Analytics - 2018'!$O$6,'2018'!$101:$101,0))</f>
        <v>3644059.9819999994</v>
      </c>
      <c r="P34" s="189">
        <f t="shared" si="3"/>
        <v>-1258176.3719999995</v>
      </c>
      <c r="Q34" s="190">
        <f t="shared" si="4"/>
        <v>-0.34526774482714861</v>
      </c>
      <c r="R34" s="188">
        <f>'2017'!N34</f>
        <v>2421002.2400000002</v>
      </c>
      <c r="S34" s="189">
        <f t="shared" si="5"/>
        <v>-35118.630000000354</v>
      </c>
      <c r="T34" s="191">
        <f t="shared" si="6"/>
        <v>-1.4505823009895447E-2</v>
      </c>
    </row>
    <row r="35" spans="1:20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+SUMPRODUCT(('2018'!$G35:$R35)*('2018'!$G$5:$R$5&lt;=Master!$B$3)*($A35='2018'!$A$10:$A$66))</f>
        <v>41391570.340000004</v>
      </c>
      <c r="H35" s="188">
        <f>+SUMPRODUCT(('2018'!$G130:$R130)*('2018'!$G$5:$R$5&lt;=Master!$B$3))</f>
        <v>36433340.859555542</v>
      </c>
      <c r="I35" s="189">
        <f t="shared" si="0"/>
        <v>4958229.4804444611</v>
      </c>
      <c r="J35" s="190">
        <f t="shared" si="1"/>
        <v>0.13609044253058245</v>
      </c>
      <c r="K35" s="188">
        <f>+SUMPRODUCT(('2017'!$G35:$R35)*('2017'!$G$5:$R$5&lt;=Master!$B$3))</f>
        <v>35534203.659999996</v>
      </c>
      <c r="L35" s="189">
        <f t="shared" si="7"/>
        <v>5857366.6800000072</v>
      </c>
      <c r="M35" s="191">
        <f t="shared" si="2"/>
        <v>0.16483742638627086</v>
      </c>
      <c r="N35" s="188">
        <f>'2018'!N35</f>
        <v>3609827.41</v>
      </c>
      <c r="O35" s="188">
        <f>+INDEX('2018'!$1:$1048576,MATCH(CONCATENATE('Analytics - 2018'!$A35,"p"),'2018'!$A:$A,0),MATCH('Analytics - 2018'!$O$6,'2018'!$101:$101,0))</f>
        <v>6090741.9951111097</v>
      </c>
      <c r="P35" s="189">
        <f t="shared" si="3"/>
        <v>-2480914.5851111095</v>
      </c>
      <c r="Q35" s="190">
        <f t="shared" si="4"/>
        <v>-0.40732550928975142</v>
      </c>
      <c r="R35" s="188">
        <f>'2017'!N35</f>
        <v>5169360.8</v>
      </c>
      <c r="S35" s="189">
        <f t="shared" si="5"/>
        <v>-1559533.3899999997</v>
      </c>
      <c r="T35" s="191">
        <f t="shared" si="6"/>
        <v>-0.30168785858398584</v>
      </c>
    </row>
    <row r="36" spans="1:20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+SUMPRODUCT(('2018'!$G36:$R36)*('2018'!$G$5:$R$5&lt;=Master!$B$3)*($A36='2018'!$A$10:$A$66))</f>
        <v>10848876.379999999</v>
      </c>
      <c r="H36" s="188">
        <f>+SUMPRODUCT(('2018'!$G131:$R131)*('2018'!$G$5:$R$5&lt;=Master!$B$3))</f>
        <v>14882555.186666667</v>
      </c>
      <c r="I36" s="189">
        <f t="shared" si="0"/>
        <v>-4033678.8066666685</v>
      </c>
      <c r="J36" s="190">
        <f t="shared" si="1"/>
        <v>-0.27103402312799452</v>
      </c>
      <c r="K36" s="188">
        <f>+SUMPRODUCT(('2017'!$G36:$R36)*('2017'!$G$5:$R$5&lt;=Master!$B$3))</f>
        <v>10431664.68</v>
      </c>
      <c r="L36" s="189">
        <f t="shared" si="7"/>
        <v>417211.69999999925</v>
      </c>
      <c r="M36" s="191">
        <f t="shared" si="2"/>
        <v>3.9994738404493857E-2</v>
      </c>
      <c r="N36" s="188">
        <f>'2018'!N36</f>
        <v>823314.3</v>
      </c>
      <c r="O36" s="188">
        <f>+INDEX('2018'!$1:$1048576,MATCH(CONCATENATE('Analytics - 2018'!$A36,"p"),'2018'!$A:$A,0),MATCH('Analytics - 2018'!$O$6,'2018'!$101:$101,0))</f>
        <v>1860319.3983333334</v>
      </c>
      <c r="P36" s="189">
        <f t="shared" si="3"/>
        <v>-1037005.0983333334</v>
      </c>
      <c r="Q36" s="190">
        <f t="shared" si="4"/>
        <v>-0.55743390047020414</v>
      </c>
      <c r="R36" s="188">
        <f>'2017'!N36</f>
        <v>1371232.73</v>
      </c>
      <c r="S36" s="189">
        <f t="shared" si="5"/>
        <v>-547918.42999999993</v>
      </c>
      <c r="T36" s="191">
        <f t="shared" si="6"/>
        <v>-0.39958091577933674</v>
      </c>
    </row>
    <row r="37" spans="1:20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+SUMPRODUCT(('2018'!$G37:$R37)*('2018'!$G$5:$R$5&lt;=Master!$B$3)*($A37='2018'!$A$10:$A$66))</f>
        <v>67011707.670000009</v>
      </c>
      <c r="H37" s="188">
        <f>+SUMPRODUCT(('2018'!$G132:$R132)*('2018'!$G$5:$R$5&lt;=Master!$B$3))</f>
        <v>56981800</v>
      </c>
      <c r="I37" s="189">
        <f t="shared" si="0"/>
        <v>10029907.670000009</v>
      </c>
      <c r="J37" s="190">
        <f t="shared" si="1"/>
        <v>0.17601949517214277</v>
      </c>
      <c r="K37" s="188">
        <f>+SUMPRODUCT(('2017'!$G37:$R37)*('2017'!$G$5:$R$5&lt;=Master!$B$3))</f>
        <v>88737533.280000016</v>
      </c>
      <c r="L37" s="189">
        <f t="shared" si="7"/>
        <v>-21725825.610000007</v>
      </c>
      <c r="M37" s="191">
        <f t="shared" si="2"/>
        <v>-0.24483242667391847</v>
      </c>
      <c r="N37" s="188">
        <f>'2018'!N37</f>
        <v>1099809.17</v>
      </c>
      <c r="O37" s="188">
        <f>+INDEX('2018'!$1:$1048576,MATCH(CONCATENATE('Analytics - 2018'!$A37,"p"),'2018'!$A:$A,0),MATCH('Analytics - 2018'!$O$6,'2018'!$101:$101,0))</f>
        <v>7122725</v>
      </c>
      <c r="P37" s="189">
        <f t="shared" si="3"/>
        <v>-6022915.8300000001</v>
      </c>
      <c r="Q37" s="190">
        <f t="shared" si="4"/>
        <v>-0.84559151588752901</v>
      </c>
      <c r="R37" s="188">
        <f>'2017'!N37</f>
        <v>1254218.04</v>
      </c>
      <c r="S37" s="189">
        <f t="shared" si="5"/>
        <v>-154408.87000000011</v>
      </c>
      <c r="T37" s="191">
        <f t="shared" si="6"/>
        <v>-0.12311166406121865</v>
      </c>
    </row>
    <row r="38" spans="1:20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+SUMPRODUCT(('2018'!$G38:$R38)*('2018'!$G$5:$R$5&lt;=Master!$B$3)*($A38='2018'!$A$10:$A$66))</f>
        <v>5621737.9800000004</v>
      </c>
      <c r="H38" s="188">
        <f>+SUMPRODUCT(('2018'!$G133:$R133)*('2018'!$G$5:$R$5&lt;=Master!$B$3))</f>
        <v>6400087.4666666677</v>
      </c>
      <c r="I38" s="189">
        <f t="shared" si="0"/>
        <v>-778349.48666666728</v>
      </c>
      <c r="J38" s="190">
        <f t="shared" si="1"/>
        <v>-0.12161544521391543</v>
      </c>
      <c r="K38" s="188">
        <f>+SUMPRODUCT(('2017'!$G38:$R38)*('2017'!$G$5:$R$5&lt;=Master!$B$3))</f>
        <v>5344306.05</v>
      </c>
      <c r="L38" s="189">
        <f t="shared" si="7"/>
        <v>277431.93000000063</v>
      </c>
      <c r="M38" s="191">
        <f t="shared" si="2"/>
        <v>5.1911684586252393E-2</v>
      </c>
      <c r="N38" s="188">
        <f>'2018'!N38</f>
        <v>556574.75</v>
      </c>
      <c r="O38" s="188">
        <f>+INDEX('2018'!$1:$1048576,MATCH(CONCATENATE('Analytics - 2018'!$A38,"p"),'2018'!$A:$A,0),MATCH('Analytics - 2018'!$O$6,'2018'!$101:$101,0))</f>
        <v>800010.93333333347</v>
      </c>
      <c r="P38" s="189">
        <f t="shared" si="3"/>
        <v>-243436.18333333347</v>
      </c>
      <c r="Q38" s="190">
        <f t="shared" si="4"/>
        <v>-0.3042910705220363</v>
      </c>
      <c r="R38" s="188">
        <f>'2017'!N38</f>
        <v>655865.84</v>
      </c>
      <c r="S38" s="189">
        <f t="shared" si="5"/>
        <v>-99291.089999999967</v>
      </c>
      <c r="T38" s="191">
        <f t="shared" si="6"/>
        <v>-0.15138932986660802</v>
      </c>
    </row>
    <row r="39" spans="1:20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+SUMPRODUCT(('2018'!$G39:$R39)*('2018'!$G$5:$R$5&lt;=Master!$B$3)*($A39='2018'!$A$10:$A$66))</f>
        <v>14505652.589999998</v>
      </c>
      <c r="H39" s="188">
        <f>+SUMPRODUCT(('2018'!$G134:$R134)*('2018'!$G$5:$R$5&lt;=Master!$B$3))</f>
        <v>18007866.666666668</v>
      </c>
      <c r="I39" s="189">
        <f t="shared" si="0"/>
        <v>-3502214.0766666699</v>
      </c>
      <c r="J39" s="190">
        <f t="shared" si="1"/>
        <v>-0.19448245266883379</v>
      </c>
      <c r="K39" s="188">
        <f>+SUMPRODUCT(('2017'!$G39:$R39)*('2017'!$G$5:$R$5&lt;=Master!$B$3))</f>
        <v>10352542.49</v>
      </c>
      <c r="L39" s="189">
        <f t="shared" si="7"/>
        <v>4153110.0999999978</v>
      </c>
      <c r="M39" s="191">
        <f t="shared" si="2"/>
        <v>0.40116812889313702</v>
      </c>
      <c r="N39" s="188">
        <f>'2018'!N39</f>
        <v>2244079.69</v>
      </c>
      <c r="O39" s="188">
        <f>+INDEX('2018'!$1:$1048576,MATCH(CONCATENATE('Analytics - 2018'!$A39,"p"),'2018'!$A:$A,0),MATCH('Analytics - 2018'!$O$6,'2018'!$101:$101,0))</f>
        <v>2250983.3333333335</v>
      </c>
      <c r="P39" s="189">
        <f t="shared" si="3"/>
        <v>-6903.6433333335444</v>
      </c>
      <c r="Q39" s="190">
        <f t="shared" si="4"/>
        <v>-3.0669455571269433E-3</v>
      </c>
      <c r="R39" s="188">
        <f>'2017'!N39</f>
        <v>2964968.57</v>
      </c>
      <c r="S39" s="189">
        <f t="shared" si="5"/>
        <v>-720888.87999999989</v>
      </c>
      <c r="T39" s="191">
        <f t="shared" si="6"/>
        <v>-0.24313542048777936</v>
      </c>
    </row>
    <row r="40" spans="1:20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+SUMPRODUCT(('2018'!$G40:$R40)*('2018'!$G$5:$R$5&lt;=Master!$B$3)*($A40='2018'!$A$10:$A$66))</f>
        <v>21642193.640000001</v>
      </c>
      <c r="H40" s="188">
        <f>+SUMPRODUCT(('2018'!$G135:$R135)*('2018'!$G$5:$R$5&lt;=Master!$B$3))</f>
        <v>23808637.628222223</v>
      </c>
      <c r="I40" s="189">
        <f t="shared" si="0"/>
        <v>-2166443.9882222228</v>
      </c>
      <c r="J40" s="190">
        <f t="shared" si="1"/>
        <v>-9.0994034268225832E-2</v>
      </c>
      <c r="K40" s="188">
        <f>+SUMPRODUCT(('2017'!$G40:$R40)*('2017'!$G$5:$R$5&lt;=Master!$B$3))</f>
        <v>19316775.879999999</v>
      </c>
      <c r="L40" s="189">
        <f t="shared" si="7"/>
        <v>2325417.7600000016</v>
      </c>
      <c r="M40" s="191">
        <f t="shared" si="2"/>
        <v>0.12038332765498772</v>
      </c>
      <c r="N40" s="188">
        <f>'2018'!N40</f>
        <v>3454663.76</v>
      </c>
      <c r="O40" s="188">
        <f>+INDEX('2018'!$1:$1048576,MATCH(CONCATENATE('Analytics - 2018'!$A40,"p"),'2018'!$A:$A,0),MATCH('Analytics - 2018'!$O$6,'2018'!$101:$101,0))</f>
        <v>3987180.345444445</v>
      </c>
      <c r="P40" s="189">
        <f t="shared" si="3"/>
        <v>-532516.58544444526</v>
      </c>
      <c r="Q40" s="190">
        <f t="shared" si="4"/>
        <v>-0.13355718560683427</v>
      </c>
      <c r="R40" s="188">
        <f>'2017'!N40</f>
        <v>2670416.61</v>
      </c>
      <c r="S40" s="189">
        <f t="shared" si="5"/>
        <v>784247.14999999991</v>
      </c>
      <c r="T40" s="191">
        <f t="shared" si="6"/>
        <v>0.29367970041198932</v>
      </c>
    </row>
    <row r="41" spans="1:20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+SUMPRODUCT(('2018'!$G41:$R41)*('2018'!$G$5:$R$5&lt;=Master!$B$3)*($A41='2018'!$A$10:$A$66))</f>
        <v>25262476.220000006</v>
      </c>
      <c r="H41" s="188">
        <f>+SUMPRODUCT(('2018'!$G136:$R136)*('2018'!$G$5:$R$5&lt;=Master!$B$3))</f>
        <v>30099118.647333343</v>
      </c>
      <c r="I41" s="189">
        <f t="shared" si="0"/>
        <v>-4836642.4273333363</v>
      </c>
      <c r="J41" s="190">
        <f t="shared" si="1"/>
        <v>-0.16069050007754437</v>
      </c>
      <c r="K41" s="188">
        <f>+SUMPRODUCT(('2017'!$G41:$R41)*('2017'!$G$5:$R$5&lt;=Master!$B$3))</f>
        <v>16130846.01</v>
      </c>
      <c r="L41" s="189">
        <f t="shared" si="7"/>
        <v>9131630.2100000065</v>
      </c>
      <c r="M41" s="191">
        <f t="shared" si="2"/>
        <v>0.56609741388263402</v>
      </c>
      <c r="N41" s="188">
        <f>'2018'!N41</f>
        <v>2782160.17</v>
      </c>
      <c r="O41" s="188">
        <f>+INDEX('2018'!$1:$1048576,MATCH(CONCATENATE('Analytics - 2018'!$A41,"p"),'2018'!$A:$A,0),MATCH('Analytics - 2018'!$O$6,'2018'!$101:$101,0))</f>
        <v>4983186.4420000007</v>
      </c>
      <c r="P41" s="189">
        <f t="shared" si="3"/>
        <v>-2201026.2720000008</v>
      </c>
      <c r="Q41" s="190">
        <f t="shared" si="4"/>
        <v>-0.44169053227649646</v>
      </c>
      <c r="R41" s="188">
        <f>'2017'!N41</f>
        <v>2480710.67</v>
      </c>
      <c r="S41" s="189">
        <f t="shared" si="5"/>
        <v>301449.5</v>
      </c>
      <c r="T41" s="191">
        <f t="shared" si="6"/>
        <v>0.12151739565823694</v>
      </c>
    </row>
    <row r="42" spans="1:20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00">
        <f>+SUMPRODUCT(('2018'!$G42:$R42)*('2018'!$G$5:$R$5&lt;=Master!$B$3)*($A42='2018'!$A$10:$A$66))</f>
        <v>356230003.63999999</v>
      </c>
      <c r="H42" s="200">
        <f>+SUMPRODUCT(('2018'!$G137:$R137)*('2018'!$G$5:$R$5&lt;=Master!$B$3))</f>
        <v>367605793.30000013</v>
      </c>
      <c r="I42" s="219">
        <f t="shared" si="0"/>
        <v>-11375789.660000145</v>
      </c>
      <c r="J42" s="220">
        <f t="shared" si="1"/>
        <v>-3.0945621280556002E-2</v>
      </c>
      <c r="K42" s="200">
        <f>+SUMPRODUCT(('2017'!$G42:$R42)*('2017'!$G$5:$R$5&lt;=Master!$B$3))</f>
        <v>360472228.15999997</v>
      </c>
      <c r="L42" s="219">
        <f t="shared" si="7"/>
        <v>-4242224.5199999809</v>
      </c>
      <c r="M42" s="221">
        <f t="shared" si="2"/>
        <v>-1.1768519704427827E-2</v>
      </c>
      <c r="N42" s="200">
        <f>'2018'!N42</f>
        <v>47054657.780000001</v>
      </c>
      <c r="O42" s="200">
        <f>+INDEX('2018'!$1:$1048576,MATCH(CONCATENATE('Analytics - 2018'!$A42,"p"),'2018'!$A:$A,0),MATCH('Analytics - 2018'!$O$6,'2018'!$101:$101,0))</f>
        <v>45950724.162500009</v>
      </c>
      <c r="P42" s="219">
        <f t="shared" si="3"/>
        <v>1103933.6174999923</v>
      </c>
      <c r="Q42" s="220">
        <f t="shared" si="4"/>
        <v>2.4024292056770369E-2</v>
      </c>
      <c r="R42" s="200">
        <f>'2017'!N42</f>
        <v>42270056.32</v>
      </c>
      <c r="S42" s="219">
        <f t="shared" si="5"/>
        <v>4784601.4600000009</v>
      </c>
      <c r="T42" s="221">
        <f t="shared" si="6"/>
        <v>0.11319127241702254</v>
      </c>
    </row>
    <row r="43" spans="1:20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+SUMPRODUCT(('2018'!$G43:$R43)*('2018'!$G$5:$R$5&lt;=Master!$B$3)*($A43='2018'!$A$10:$A$66))</f>
        <v>50802957.719999999</v>
      </c>
      <c r="H43" s="188">
        <f>+SUMPRODUCT(('2018'!$G138:$R138)*('2018'!$G$5:$R$5&lt;=Master!$B$3))</f>
        <v>53208000</v>
      </c>
      <c r="I43" s="189">
        <f t="shared" si="0"/>
        <v>-2405042.2800000012</v>
      </c>
      <c r="J43" s="190">
        <f t="shared" si="1"/>
        <v>-4.5200764546684757E-2</v>
      </c>
      <c r="K43" s="188">
        <f>+SUMPRODUCT(('2017'!$G43:$R43)*('2017'!$G$5:$R$5&lt;=Master!$B$3))</f>
        <v>71528912.86999999</v>
      </c>
      <c r="L43" s="189">
        <f t="shared" si="7"/>
        <v>-20725955.149999991</v>
      </c>
      <c r="M43" s="191">
        <f t="shared" si="2"/>
        <v>-0.28975632815318075</v>
      </c>
      <c r="N43" s="188">
        <f>'2018'!N43</f>
        <v>6218395.7000000002</v>
      </c>
      <c r="O43" s="188">
        <f>+INDEX('2018'!$1:$1048576,MATCH(CONCATENATE('Analytics - 2018'!$A43,"p"),'2018'!$A:$A,0),MATCH('Analytics - 2018'!$O$6,'2018'!$101:$101,0))</f>
        <v>6651000</v>
      </c>
      <c r="P43" s="189">
        <f t="shared" si="3"/>
        <v>-432604.29999999981</v>
      </c>
      <c r="Q43" s="190">
        <f t="shared" si="4"/>
        <v>-6.5043497218463364E-2</v>
      </c>
      <c r="R43" s="188">
        <f>'2017'!N43</f>
        <v>5035876.3099999996</v>
      </c>
      <c r="S43" s="189">
        <f t="shared" si="5"/>
        <v>1182519.3900000006</v>
      </c>
      <c r="T43" s="191">
        <f t="shared" si="6"/>
        <v>0.23481899022257768</v>
      </c>
    </row>
    <row r="44" spans="1:20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+SUMPRODUCT(('2018'!$G44:$R44)*('2018'!$G$5:$R$5&lt;=Master!$B$3)*($A44='2018'!$A$10:$A$66))</f>
        <v>7955444.2499999991</v>
      </c>
      <c r="H44" s="188">
        <f>+SUMPRODUCT(('2018'!$G139:$R139)*('2018'!$G$5:$R$5&lt;=Master!$B$3))</f>
        <v>13599199.680000003</v>
      </c>
      <c r="I44" s="189">
        <f t="shared" si="0"/>
        <v>-5643755.4300000044</v>
      </c>
      <c r="J44" s="190">
        <f t="shared" si="1"/>
        <v>-0.41500643882008226</v>
      </c>
      <c r="K44" s="188">
        <f>+SUMPRODUCT(('2017'!$G44:$R44)*('2017'!$G$5:$R$5&lt;=Master!$B$3))</f>
        <v>7629868.4500000011</v>
      </c>
      <c r="L44" s="189">
        <f t="shared" si="7"/>
        <v>325575.79999999795</v>
      </c>
      <c r="M44" s="191">
        <f t="shared" si="2"/>
        <v>4.2671220628974105E-2</v>
      </c>
      <c r="N44" s="188">
        <f>'2018'!N44</f>
        <v>960558.89</v>
      </c>
      <c r="O44" s="188">
        <f>+INDEX('2018'!$1:$1048576,MATCH(CONCATENATE('Analytics - 2018'!$A44,"p"),'2018'!$A:$A,0),MATCH('Analytics - 2018'!$O$6,'2018'!$101:$101,0))</f>
        <v>1699899.96</v>
      </c>
      <c r="P44" s="189">
        <f t="shared" si="3"/>
        <v>-739341.07</v>
      </c>
      <c r="Q44" s="190">
        <f t="shared" si="4"/>
        <v>-0.43493210623994605</v>
      </c>
      <c r="R44" s="188">
        <f>'2017'!N44</f>
        <v>1024731.32</v>
      </c>
      <c r="S44" s="189">
        <f t="shared" si="5"/>
        <v>-64172.429999999935</v>
      </c>
      <c r="T44" s="191">
        <f t="shared" si="6"/>
        <v>-6.2623664123001466E-2</v>
      </c>
    </row>
    <row r="45" spans="1:20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+SUMPRODUCT(('2018'!$G45:$R45)*('2018'!$G$5:$R$5&lt;=Master!$B$3)*($A45='2018'!$A$10:$A$66))</f>
        <v>276484203.20999998</v>
      </c>
      <c r="H45" s="188">
        <f>+SUMPRODUCT(('2018'!$G140:$R140)*('2018'!$G$5:$R$5&lt;=Master!$B$3))</f>
        <v>283781860.28666669</v>
      </c>
      <c r="I45" s="189">
        <f t="shared" si="0"/>
        <v>-7297657.0766667128</v>
      </c>
      <c r="J45" s="190">
        <f t="shared" si="1"/>
        <v>-2.571572781042053E-2</v>
      </c>
      <c r="K45" s="188">
        <f>+SUMPRODUCT(('2017'!$G45:$R45)*('2017'!$G$5:$R$5&lt;=Master!$B$3))</f>
        <v>265541582.44000003</v>
      </c>
      <c r="L45" s="189">
        <f t="shared" si="7"/>
        <v>10942620.769999951</v>
      </c>
      <c r="M45" s="191">
        <f t="shared" si="2"/>
        <v>4.1208690064474141E-2</v>
      </c>
      <c r="N45" s="188">
        <f>'2018'!N45</f>
        <v>34591609.219999999</v>
      </c>
      <c r="O45" s="188">
        <f>+INDEX('2018'!$1:$1048576,MATCH(CONCATENATE('Analytics - 2018'!$A45,"p"),'2018'!$A:$A,0),MATCH('Analytics - 2018'!$O$6,'2018'!$101:$101,0))</f>
        <v>35472732.535833336</v>
      </c>
      <c r="P45" s="189">
        <f t="shared" si="3"/>
        <v>-881123.3158333376</v>
      </c>
      <c r="Q45" s="190">
        <f t="shared" si="4"/>
        <v>-2.4839454218624324E-2</v>
      </c>
      <c r="R45" s="188">
        <f>'2017'!N45</f>
        <v>34045532.219999999</v>
      </c>
      <c r="S45" s="189">
        <f t="shared" si="5"/>
        <v>546077</v>
      </c>
      <c r="T45" s="191">
        <f t="shared" si="6"/>
        <v>1.6039608265521865E-2</v>
      </c>
    </row>
    <row r="46" spans="1:20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+SUMPRODUCT(('2018'!$G46:$R46)*('2018'!$G$5:$R$5&lt;=Master!$B$3)*($A46='2018'!$A$10:$A$66))</f>
        <v>12216828.34</v>
      </c>
      <c r="H46" s="188">
        <f>+SUMPRODUCT(('2018'!$G141:$R141)*('2018'!$G$5:$R$5&lt;=Master!$B$3))</f>
        <v>11000066.666666666</v>
      </c>
      <c r="I46" s="189">
        <f t="shared" si="0"/>
        <v>1216761.6733333338</v>
      </c>
      <c r="J46" s="190">
        <f t="shared" si="1"/>
        <v>0.11061402718771407</v>
      </c>
      <c r="K46" s="188">
        <f>+SUMPRODUCT(('2017'!$G46:$R46)*('2017'!$G$5:$R$5&lt;=Master!$B$3))</f>
        <v>10310085.359999999</v>
      </c>
      <c r="L46" s="189">
        <f t="shared" si="7"/>
        <v>1906742.9800000004</v>
      </c>
      <c r="M46" s="191">
        <f t="shared" si="2"/>
        <v>0.18493959200353327</v>
      </c>
      <c r="N46" s="188">
        <f>'2018'!N46</f>
        <v>1728889.83</v>
      </c>
      <c r="O46" s="188">
        <f>+INDEX('2018'!$1:$1048576,MATCH(CONCATENATE('Analytics - 2018'!$A46,"p"),'2018'!$A:$A,0),MATCH('Analytics - 2018'!$O$6,'2018'!$101:$101,0))</f>
        <v>1375008.3333333333</v>
      </c>
      <c r="P46" s="189">
        <f t="shared" si="3"/>
        <v>353881.49666666682</v>
      </c>
      <c r="Q46" s="190">
        <f t="shared" si="4"/>
        <v>0.2573668014133248</v>
      </c>
      <c r="R46" s="188">
        <f>'2017'!N46</f>
        <v>1463570.61</v>
      </c>
      <c r="S46" s="189">
        <f t="shared" si="5"/>
        <v>265319.21999999997</v>
      </c>
      <c r="T46" s="191">
        <f t="shared" si="6"/>
        <v>0.18128214531446485</v>
      </c>
    </row>
    <row r="47" spans="1:20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+SUMPRODUCT(('2018'!$G47:$R47)*('2018'!$G$5:$R$5&lt;=Master!$B$3)*($A47='2018'!$A$10:$A$66))</f>
        <v>8770570.1199999992</v>
      </c>
      <c r="H47" s="188">
        <f>+SUMPRODUCT(('2018'!$G142:$R142)*('2018'!$G$5:$R$5&lt;=Master!$B$3))</f>
        <v>6016666.666666666</v>
      </c>
      <c r="I47" s="189">
        <f t="shared" si="0"/>
        <v>2753903.4533333331</v>
      </c>
      <c r="J47" s="190">
        <f t="shared" si="1"/>
        <v>0.45771248531855968</v>
      </c>
      <c r="K47" s="188">
        <f>+SUMPRODUCT(('2017'!$G47:$R47)*('2017'!$G$5:$R$5&lt;=Master!$B$3))</f>
        <v>5461779.04</v>
      </c>
      <c r="L47" s="189">
        <f t="shared" si="7"/>
        <v>3308791.0799999991</v>
      </c>
      <c r="M47" s="191">
        <f t="shared" si="2"/>
        <v>0.60580830087919479</v>
      </c>
      <c r="N47" s="188">
        <f>'2018'!N47</f>
        <v>3555204.14</v>
      </c>
      <c r="O47" s="188">
        <f>+INDEX('2018'!$1:$1048576,MATCH(CONCATENATE('Analytics - 2018'!$A47,"p"),'2018'!$A:$A,0),MATCH('Analytics - 2018'!$O$6,'2018'!$101:$101,0))</f>
        <v>752083.33333333337</v>
      </c>
      <c r="P47" s="189">
        <f t="shared" si="3"/>
        <v>2803120.8066666666</v>
      </c>
      <c r="Q47" s="190">
        <f t="shared" si="4"/>
        <v>3.7271412387811633</v>
      </c>
      <c r="R47" s="188">
        <f>'2017'!N47</f>
        <v>700345.86</v>
      </c>
      <c r="S47" s="189">
        <f t="shared" si="5"/>
        <v>2854858.2800000003</v>
      </c>
      <c r="T47" s="191">
        <f t="shared" si="6"/>
        <v>4.0763549027047867</v>
      </c>
    </row>
    <row r="48" spans="1:20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+SUMPRODUCT(('2018'!$G48:$R48)*('2018'!$G$5:$R$5&lt;=Master!$B$3)*($A48='2018'!$A$10:$A$66))</f>
        <v>124752016.02000001</v>
      </c>
      <c r="H48" s="200">
        <f>+SUMPRODUCT(('2018'!$G143:$R143)*('2018'!$G$5:$R$5&lt;=Master!$B$3))</f>
        <v>130961692.46666665</v>
      </c>
      <c r="I48" s="201">
        <f t="shared" si="0"/>
        <v>-6209676.446666643</v>
      </c>
      <c r="J48" s="202">
        <f t="shared" si="1"/>
        <v>-4.7415975845357838E-2</v>
      </c>
      <c r="K48" s="200">
        <f>+SUMPRODUCT(('2017'!$G48:$R48)*('2017'!$G$5:$R$5&lt;=Master!$B$3))</f>
        <v>98847218.350000009</v>
      </c>
      <c r="L48" s="201">
        <f t="shared" si="7"/>
        <v>25904797.670000002</v>
      </c>
      <c r="M48" s="203">
        <f t="shared" si="2"/>
        <v>0.26206906074256775</v>
      </c>
      <c r="N48" s="200">
        <f>'2018'!N48</f>
        <v>17179475.350000001</v>
      </c>
      <c r="O48" s="200">
        <f>+INDEX('2018'!$1:$1048576,MATCH(CONCATENATE('Analytics - 2018'!$A48,"p"),'2018'!$A:$A,0),MATCH('Analytics - 2018'!$O$6,'2018'!$101:$101,0))</f>
        <v>15295211.558333334</v>
      </c>
      <c r="P48" s="201">
        <f t="shared" si="3"/>
        <v>1884263.7916666679</v>
      </c>
      <c r="Q48" s="202">
        <f t="shared" si="4"/>
        <v>0.12319305192219199</v>
      </c>
      <c r="R48" s="200">
        <f>'2017'!N48</f>
        <v>15793377.119999999</v>
      </c>
      <c r="S48" s="201">
        <f t="shared" si="5"/>
        <v>1386098.2300000023</v>
      </c>
      <c r="T48" s="203">
        <f t="shared" si="6"/>
        <v>8.7764524298271418E-2</v>
      </c>
    </row>
    <row r="49" spans="1:20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f>+SUMPRODUCT(('2018'!$G49:$R49)*('2018'!$G$5:$R$5&lt;=Master!$B$3)*($A49='2018'!$A$10:$A$66))</f>
        <v>106196147.32999998</v>
      </c>
      <c r="H49" s="200">
        <f>+SUMPRODUCT(('2018'!$G144:$R144)*('2018'!$G$5:$R$5&lt;=Master!$B$3))</f>
        <v>182813333.33333331</v>
      </c>
      <c r="I49" s="201">
        <f t="shared" si="0"/>
        <v>-76617186.00333333</v>
      </c>
      <c r="J49" s="202">
        <f t="shared" si="1"/>
        <v>-0.41910064548537673</v>
      </c>
      <c r="K49" s="401">
        <f>+SUMPRODUCT(('2017'!$G49:$R49)*('2017'!$G$5:$R$5&lt;=Master!$B$3))</f>
        <v>81128458.430000007</v>
      </c>
      <c r="L49" s="201">
        <f t="shared" si="7"/>
        <v>25067688.899999976</v>
      </c>
      <c r="M49" s="203">
        <f t="shared" si="2"/>
        <v>0.3089876152599289</v>
      </c>
      <c r="N49" s="200">
        <f>'2018'!N49</f>
        <v>7067070.5700000003</v>
      </c>
      <c r="O49" s="200">
        <f>+INDEX('2018'!$1:$1048576,MATCH(CONCATENATE('Analytics - 2018'!$A49,"p"),'2018'!$A:$A,0),MATCH('Analytics - 2018'!$O$6,'2018'!$101:$101,0))</f>
        <v>26990416.666666664</v>
      </c>
      <c r="P49" s="201">
        <f t="shared" si="3"/>
        <v>-19923346.096666664</v>
      </c>
      <c r="Q49" s="202">
        <f t="shared" si="4"/>
        <v>-0.73816370983528101</v>
      </c>
      <c r="R49" s="200">
        <f>'2017'!N49</f>
        <v>29296079.120000001</v>
      </c>
      <c r="S49" s="201">
        <f t="shared" si="5"/>
        <v>-22229008.550000001</v>
      </c>
      <c r="T49" s="203">
        <f t="shared" si="6"/>
        <v>-0.75877077130176729</v>
      </c>
    </row>
    <row r="50" spans="1:20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f>+SUMPRODUCT(('2018'!$G50:$R50)*('2018'!$G$5:$R$5&lt;=Master!$B$3)*($A50='2018'!$A$10:$A$66))</f>
        <v>1584891</v>
      </c>
      <c r="H50" s="188">
        <f>+SUMPRODUCT(('2018'!$G145:$R145)*('2018'!$G$5:$R$5&lt;=Master!$B$3))</f>
        <v>1916667.3333333335</v>
      </c>
      <c r="I50" s="189">
        <f>G50-H50</f>
        <v>-331776.33333333349</v>
      </c>
      <c r="J50" s="343">
        <f t="shared" si="1"/>
        <v>-0.17310063544325727</v>
      </c>
      <c r="K50" s="188">
        <f>+SUMPRODUCT(('2017'!$G50:$R50)*('2017'!$G$5:$R$5&lt;=Master!$B$3))</f>
        <v>1129216.67</v>
      </c>
      <c r="L50" s="349">
        <f t="shared" si="7"/>
        <v>455674.33000000007</v>
      </c>
      <c r="M50" s="352">
        <f t="shared" si="2"/>
        <v>0.40353135240201521</v>
      </c>
      <c r="N50" s="188">
        <f>'2018'!N50</f>
        <v>114200</v>
      </c>
      <c r="O50" s="188">
        <f>+INDEX('2018'!$1:$1048576,MATCH(CONCATENATE('Analytics - 2018'!$A50,"p"),'2018'!$A:$A,0),MATCH('Analytics - 2018'!$O$6,'2018'!$101:$101,0))</f>
        <v>239583.41666666666</v>
      </c>
      <c r="P50" s="189">
        <f t="shared" si="3"/>
        <v>-125383.41666666666</v>
      </c>
      <c r="Q50" s="343">
        <f t="shared" si="4"/>
        <v>-0.52333929622981001</v>
      </c>
      <c r="R50" s="188">
        <f>'2017'!N50</f>
        <v>40000</v>
      </c>
      <c r="S50" s="349">
        <f t="shared" si="5"/>
        <v>74200</v>
      </c>
      <c r="T50" s="352">
        <f t="shared" si="6"/>
        <v>1.855</v>
      </c>
    </row>
    <row r="51" spans="1:20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+SUMPRODUCT(('2018'!$G51:$R51)*('2018'!$G$5:$R$5&lt;=Master!$B$3)*($A51='2018'!$A$10:$A$66))</f>
        <v>11167953.23</v>
      </c>
      <c r="H51" s="188">
        <f>+SUMPRODUCT(('2018'!$G146:$R146)*('2018'!$G$5:$R$5&lt;=Master!$B$3))</f>
        <v>8072615.6520000007</v>
      </c>
      <c r="I51" s="189">
        <f t="shared" ref="I51:I52" si="8">G51-H51</f>
        <v>3095337.5779999997</v>
      </c>
      <c r="J51" s="344">
        <f t="shared" si="1"/>
        <v>0.38343675847284087</v>
      </c>
      <c r="K51" s="188">
        <f>+SUMPRODUCT(('2017'!$G51:$R51)*('2017'!$G$5:$R$5&lt;=Master!$B$3))</f>
        <v>8758836.9199999999</v>
      </c>
      <c r="L51" s="350">
        <f t="shared" si="7"/>
        <v>2409116.3100000005</v>
      </c>
      <c r="M51" s="353">
        <f t="shared" si="2"/>
        <v>0.27504979622340087</v>
      </c>
      <c r="N51" s="188">
        <f>'2018'!N51</f>
        <v>249386.57</v>
      </c>
      <c r="O51" s="188">
        <f>+INDEX('2018'!$1:$1048576,MATCH(CONCATENATE('Analytics - 2018'!$A51,"p"),'2018'!$A:$A,0),MATCH('Analytics - 2018'!$O$6,'2018'!$101:$101,0))</f>
        <v>1246269.3720000002</v>
      </c>
      <c r="P51" s="189">
        <f t="shared" si="3"/>
        <v>-996882.80200000014</v>
      </c>
      <c r="Q51" s="344">
        <f t="shared" si="4"/>
        <v>-0.79989352574733741</v>
      </c>
      <c r="R51" s="188">
        <f>'2017'!N51</f>
        <v>1509270</v>
      </c>
      <c r="S51" s="350">
        <f t="shared" si="5"/>
        <v>-1259883.43</v>
      </c>
      <c r="T51" s="353">
        <f t="shared" si="6"/>
        <v>-0.83476344855459927</v>
      </c>
    </row>
    <row r="52" spans="1:20" ht="15.7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+SUMPRODUCT(('2017'!$G52:$R52)*('2017'!$G$5:$R$5&lt;=Master!$B$3))</f>
        <v>0</v>
      </c>
      <c r="L52" s="350">
        <f t="shared" si="7"/>
        <v>0</v>
      </c>
      <c r="M52" s="354" t="str">
        <f t="shared" si="2"/>
        <v>…</v>
      </c>
      <c r="N52" s="188">
        <f>'2018'!N52</f>
        <v>0</v>
      </c>
      <c r="O52" s="188">
        <f>+INDEX('2018'!$1:$1048576,MATCH(CONCATENATE('Analytics - 2018'!$A52,"p"),'2018'!$A:$A,0),MATCH('Analytics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'2017'!N52</f>
        <v>0</v>
      </c>
      <c r="S52" s="350">
        <f t="shared" si="5"/>
        <v>0</v>
      </c>
      <c r="T52" s="354" t="str">
        <f t="shared" si="6"/>
        <v>…</v>
      </c>
    </row>
    <row r="53" spans="1:20" ht="15.75" thickBot="1">
      <c r="A53" s="169">
        <v>4630</v>
      </c>
      <c r="B53" s="471" t="str">
        <f>+VLOOKUP($A53,Master!$D$25:$G$223,4,FALSE)</f>
        <v>Repayments of Arrears</v>
      </c>
      <c r="C53" s="472"/>
      <c r="D53" s="472"/>
      <c r="E53" s="472"/>
      <c r="F53" s="472"/>
      <c r="G53" s="392">
        <f>+SUMPRODUCT(('2018'!$G53:$R53)*('2018'!$G$5:$R$5&lt;=Master!$B$3)*($A53='2018'!$A$10:$A$66))</f>
        <v>17096921.379999999</v>
      </c>
      <c r="H53" s="392">
        <f>+SUMPRODUCT(('2018'!$G148:$R148)*('2018'!$G$5:$R$5&lt;=Master!$B$3))</f>
        <v>0</v>
      </c>
      <c r="I53" s="351">
        <f>G53-H53</f>
        <v>17096921.379999999</v>
      </c>
      <c r="J53" s="346" t="str">
        <f t="shared" si="1"/>
        <v>…</v>
      </c>
      <c r="K53" s="392">
        <f>+SUMPRODUCT(('2017'!$G53:$R53)*('2017'!$G$5:$R$5&lt;=Master!$B$3))</f>
        <v>30205231.170000002</v>
      </c>
      <c r="L53" s="357">
        <f t="shared" si="7"/>
        <v>-13108309.790000003</v>
      </c>
      <c r="M53" s="355">
        <f t="shared" si="2"/>
        <v>-0.43397482099124762</v>
      </c>
      <c r="N53" s="392">
        <f>'2018'!N53</f>
        <v>962361.47</v>
      </c>
      <c r="O53" s="392">
        <v>0</v>
      </c>
      <c r="P53" s="351">
        <f>N53-O53</f>
        <v>962361.47</v>
      </c>
      <c r="Q53" s="346" t="str">
        <f t="shared" si="4"/>
        <v>…</v>
      </c>
      <c r="R53" s="392">
        <f>'2017'!N53</f>
        <v>3919363.28</v>
      </c>
      <c r="S53" s="357">
        <f>+N53-R53</f>
        <v>-2957001.8099999996</v>
      </c>
      <c r="T53" s="355">
        <f>+IF(ISNUMBER(N53/R53-1),N53/R53-1,"…")</f>
        <v>-0.75445974224670498</v>
      </c>
    </row>
    <row r="54" spans="1:20" ht="15.75" thickBot="1">
      <c r="A54" s="169">
        <v>1005</v>
      </c>
      <c r="B54" s="471" t="str">
        <f>+VLOOKUP($A54,Master!$D$25:$G$225,4,FALSE)</f>
        <v>Net increase of liabilities</v>
      </c>
      <c r="C54" s="472"/>
      <c r="D54" s="472"/>
      <c r="E54" s="472"/>
      <c r="F54" s="472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+SUMPRODUCT(('2017'!$G54:$R54)*('2017'!$G$5:$R$5&lt;=Master!$B$3))</f>
        <v>0</v>
      </c>
      <c r="L54" s="357">
        <f t="shared" si="7"/>
        <v>0</v>
      </c>
      <c r="M54" s="355" t="str">
        <f t="shared" si="2"/>
        <v>…</v>
      </c>
      <c r="N54" s="188">
        <f>'2018'!N54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'2017'!N54</f>
        <v>0</v>
      </c>
      <c r="S54" s="357">
        <f>+N54-R54</f>
        <v>0</v>
      </c>
      <c r="T54" s="355" t="str">
        <f>+IF(ISNUMBER(N54/R54-1),N54/R54-1,"…")</f>
        <v>…</v>
      </c>
    </row>
    <row r="55" spans="1:20" ht="15.7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>+SUMPRODUCT(('2018'!$G55:$R55)*('2018'!$G$5:$R$5&lt;=Master!$B$3)*($A55='2018'!$A$10:$A$66))</f>
        <v>-46265930.109999985</v>
      </c>
      <c r="H55" s="176">
        <f>+SUMPRODUCT(('2018'!$G149:$R149)*('2018'!$G$5:$R$5&lt;=Master!$B$3))</f>
        <v>-116513936.07768016</v>
      </c>
      <c r="I55" s="404">
        <f>+G55-H55</f>
        <v>70248005.967680171</v>
      </c>
      <c r="J55" s="348">
        <f t="shared" si="1"/>
        <v>-0.60291505319025218</v>
      </c>
      <c r="K55" s="176">
        <f>+SUMPRODUCT(('2017'!$G55:$R55)*('2017'!$G$5:$R$5&lt;=Master!$B$3))</f>
        <v>-103845755.53000002</v>
      </c>
      <c r="L55" s="358">
        <f t="shared" si="7"/>
        <v>57579825.420000032</v>
      </c>
      <c r="M55" s="356">
        <f t="shared" si="2"/>
        <v>-0.55447451969633743</v>
      </c>
      <c r="N55" s="176">
        <f>'2018'!N55</f>
        <v>34063895.64000006</v>
      </c>
      <c r="O55" s="176">
        <f>+INDEX('2018'!$1:$1048576,MATCH(CONCATENATE('Analytics - 2018'!$A55,"p"),'2018'!$A:$A,0),MATCH('Analytics - 2018'!$O$6,'2018'!$101:$101,0))</f>
        <v>5510010.1587502658</v>
      </c>
      <c r="P55" s="404">
        <f>N55-O55</f>
        <v>28553885.481249794</v>
      </c>
      <c r="Q55" s="348">
        <f t="shared" si="4"/>
        <v>5.1821838179198831</v>
      </c>
      <c r="R55" s="176">
        <f>'2017'!N55</f>
        <v>1052679.2199999988</v>
      </c>
      <c r="S55" s="358">
        <f t="shared" si="5"/>
        <v>33011216.420000061</v>
      </c>
      <c r="T55" s="356"/>
    </row>
    <row r="56" spans="1:20" ht="15.75" thickBot="1">
      <c r="A56" s="169">
        <v>1001</v>
      </c>
      <c r="B56" s="479" t="str">
        <f>+VLOOKUP($A56,Master!$D$25:$G$223,4,FALSE)</f>
        <v>Primary balance</v>
      </c>
      <c r="C56" s="480"/>
      <c r="D56" s="480"/>
      <c r="E56" s="480"/>
      <c r="F56" s="480"/>
      <c r="G56" s="176">
        <f>+SUMPRODUCT(('2018'!$G56:$R56)*('2018'!$G$5:$R$5&lt;=Master!$B$3)*($A56='2018'!$A$10:$A$66))</f>
        <v>20745777.560000017</v>
      </c>
      <c r="H56" s="176">
        <f>+SUMPRODUCT(('2018'!$G150:$R150)*('2018'!$G$5:$R$5&lt;=Master!$B$3))</f>
        <v>-59532136.077680156</v>
      </c>
      <c r="I56" s="231">
        <f t="shared" si="0"/>
        <v>80277913.637680173</v>
      </c>
      <c r="J56" s="232">
        <f t="shared" si="1"/>
        <v>-1.3484803154539931</v>
      </c>
      <c r="K56" s="176">
        <f>+SUMPRODUCT(('2017'!$G57:$R57)*('2017'!$G$5:$R$5&lt;=Master!$B$3))</f>
        <v>-15108222.250000022</v>
      </c>
      <c r="L56" s="231">
        <f t="shared" si="7"/>
        <v>35853999.81000004</v>
      </c>
      <c r="M56" s="233">
        <f t="shared" si="2"/>
        <v>-2.373144848991084</v>
      </c>
      <c r="N56" s="176">
        <f>'2018'!N56</f>
        <v>35163704.810000062</v>
      </c>
      <c r="O56" s="176">
        <f>+INDEX('2018'!$1:$1048576,MATCH(CONCATENATE('Analytics - 2018'!$A56,"p"),'2018'!$A:$A,0),MATCH('Analytics - 2018'!$O$6,'2018'!$101:$101,0))</f>
        <v>12632735.158750266</v>
      </c>
      <c r="P56" s="231">
        <f t="shared" si="3"/>
        <v>22530969.651249796</v>
      </c>
      <c r="Q56" s="232">
        <f t="shared" si="4"/>
        <v>1.7835385107114639</v>
      </c>
      <c r="R56" s="176">
        <f>'2017'!N57</f>
        <v>2306897.2599999988</v>
      </c>
      <c r="S56" s="231">
        <f t="shared" si="5"/>
        <v>32856807.550000064</v>
      </c>
      <c r="T56" s="233">
        <f t="shared" si="6"/>
        <v>14.242856896886721</v>
      </c>
    </row>
    <row r="57" spans="1:20">
      <c r="A57" s="169">
        <v>46</v>
      </c>
      <c r="B57" s="481" t="str">
        <f>+VLOOKUP($A57,Master!$D$25:$G$223,4,FALSE)</f>
        <v>Repayment of Debt</v>
      </c>
      <c r="C57" s="482"/>
      <c r="D57" s="482"/>
      <c r="E57" s="482"/>
      <c r="F57" s="482"/>
      <c r="G57" s="182">
        <f>+SUMPRODUCT(('2018'!$G57:$R57)*('2018'!$G$5:$R$5&lt;=Master!$B$3)*($A57='2018'!$A$10:$A$66))</f>
        <v>230972750.94999999</v>
      </c>
      <c r="H57" s="182">
        <f>+SUMPRODUCT(('2018'!$G151:$R151)*('2018'!$G$5:$R$5&lt;=Master!$B$3))</f>
        <v>116676511.20505032</v>
      </c>
      <c r="I57" s="219">
        <f t="shared" si="0"/>
        <v>114296239.74494967</v>
      </c>
      <c r="J57" s="220">
        <f t="shared" si="1"/>
        <v>0.97959939463807322</v>
      </c>
      <c r="K57" s="182">
        <f>+SUMPRODUCT(('2017'!$G58:$R58)*('2017'!$G$5:$R$5&lt;=Master!$B$3))</f>
        <v>302532137.03999996</v>
      </c>
      <c r="L57" s="219">
        <f t="shared" si="7"/>
        <v>-71559386.089999974</v>
      </c>
      <c r="M57" s="221">
        <f t="shared" si="2"/>
        <v>-0.2365348249946041</v>
      </c>
      <c r="N57" s="182">
        <f>'2018'!N57</f>
        <v>39580105.140000001</v>
      </c>
      <c r="O57" s="182">
        <f>+INDEX('2018'!$1:$1048576,MATCH(CONCATENATE('Analytics - 2018'!$A57,"p"),'2018'!$A:$A,0),MATCH('Analytics - 2018'!$O$6,'2018'!$101:$101,0))</f>
        <v>17160148.002040189</v>
      </c>
      <c r="P57" s="219">
        <f t="shared" si="3"/>
        <v>22419957.137959812</v>
      </c>
      <c r="Q57" s="220">
        <f t="shared" si="4"/>
        <v>1.3065130402892957</v>
      </c>
      <c r="R57" s="182">
        <f>'2017'!N58</f>
        <v>68410518.010000005</v>
      </c>
      <c r="S57" s="219">
        <f t="shared" si="5"/>
        <v>-28830412.870000005</v>
      </c>
      <c r="T57" s="221">
        <f t="shared" si="6"/>
        <v>-0.42143245963706455</v>
      </c>
    </row>
    <row r="58" spans="1:20">
      <c r="A58" s="169">
        <v>4611</v>
      </c>
      <c r="B58" s="469" t="str">
        <f>+VLOOKUP($A58,Master!$D$25:$G$223,4,FALSE)</f>
        <v>Repayment of Domestic Debt</v>
      </c>
      <c r="C58" s="470"/>
      <c r="D58" s="470"/>
      <c r="E58" s="470"/>
      <c r="F58" s="470"/>
      <c r="G58" s="188">
        <f>+SUMPRODUCT(('2018'!$G58:$R58)*('2018'!$G$5:$R$5&lt;=Master!$B$3)*($A58='2018'!$A$10:$A$66))</f>
        <v>169318829.76000002</v>
      </c>
      <c r="H58" s="188">
        <f>+SUMPRODUCT(('2018'!$G152:$R152)*('2018'!$G$5:$R$5&lt;=Master!$B$3))</f>
        <v>34183567.890000001</v>
      </c>
      <c r="I58" s="237">
        <f t="shared" si="0"/>
        <v>135135261.87</v>
      </c>
      <c r="J58" s="238">
        <f t="shared" si="1"/>
        <v>3.9532228556379643</v>
      </c>
      <c r="K58" s="188">
        <f>+SUMPRODUCT(('2017'!$G59:$R59)*('2017'!$G$5:$R$5&lt;=Master!$B$3))</f>
        <v>196969783.31999999</v>
      </c>
      <c r="L58" s="237">
        <f t="shared" si="7"/>
        <v>-27650953.559999973</v>
      </c>
      <c r="M58" s="239">
        <f t="shared" si="2"/>
        <v>-0.14038170268521766</v>
      </c>
      <c r="N58" s="188">
        <f>'2018'!N58</f>
        <v>36932773.740000002</v>
      </c>
      <c r="O58" s="188">
        <f>+INDEX('2018'!$1:$1048576,MATCH(CONCATENATE('Analytics - 2018'!$A58,"p"),'2018'!$A:$A,0),MATCH('Analytics - 2018'!$O$6,'2018'!$101:$101,0))</f>
        <v>10832753.109999999</v>
      </c>
      <c r="P58" s="237">
        <f t="shared" si="3"/>
        <v>26100020.630000003</v>
      </c>
      <c r="Q58" s="238">
        <f t="shared" si="4"/>
        <v>2.4093617167279837</v>
      </c>
      <c r="R58" s="188">
        <f>'2017'!N59</f>
        <v>65870871.859999999</v>
      </c>
      <c r="S58" s="237">
        <f t="shared" si="5"/>
        <v>-28938098.119999997</v>
      </c>
      <c r="T58" s="239">
        <f t="shared" si="6"/>
        <v>-0.43931554726502142</v>
      </c>
    </row>
    <row r="59" spans="1:20">
      <c r="A59" s="169">
        <v>4612</v>
      </c>
      <c r="B59" s="453" t="str">
        <f>+VLOOKUP($A59,Master!$D$25:$G$223,4,FALSE)</f>
        <v>Repayment of Foreign Debt</v>
      </c>
      <c r="C59" s="454"/>
      <c r="D59" s="454"/>
      <c r="E59" s="454"/>
      <c r="F59" s="454"/>
      <c r="G59" s="188">
        <f>+SUMPRODUCT(('2018'!$G59:$R59)*('2018'!$G$5:$R$5&lt;=Master!$B$3)*($A59='2018'!$A$10:$A$66))</f>
        <v>61653921.189999998</v>
      </c>
      <c r="H59" s="188">
        <f>+SUMPRODUCT(('2018'!$G153:$R153)*('2018'!$G$5:$R$5&lt;=Master!$B$3))</f>
        <v>63888279.981716983</v>
      </c>
      <c r="I59" s="237">
        <f t="shared" si="0"/>
        <v>-2234358.7917169854</v>
      </c>
      <c r="J59" s="238">
        <f t="shared" si="1"/>
        <v>-3.4972905709097168E-2</v>
      </c>
      <c r="K59" s="188">
        <f>+SUMPRODUCT(('2017'!$G60:$R60)*('2017'!$G$5:$R$5&lt;=Master!$B$3))</f>
        <v>105562353.72000003</v>
      </c>
      <c r="L59" s="237">
        <f t="shared" si="7"/>
        <v>-43908432.530000031</v>
      </c>
      <c r="M59" s="239">
        <f t="shared" si="2"/>
        <v>-0.4159478354041386</v>
      </c>
      <c r="N59" s="188">
        <f>'2018'!N59</f>
        <v>2647331.4</v>
      </c>
      <c r="O59" s="188">
        <f>+INDEX('2018'!$1:$1048576,MATCH(CONCATENATE('Analytics - 2018'!$A59,"p"),'2018'!$A:$A,0),MATCH('Analytics - 2018'!$O$6,'2018'!$101:$101,0))</f>
        <v>2989936.9753735219</v>
      </c>
      <c r="P59" s="237">
        <f t="shared" si="3"/>
        <v>-342605.57537352201</v>
      </c>
      <c r="Q59" s="238">
        <f t="shared" si="4"/>
        <v>-0.11458621977499095</v>
      </c>
      <c r="R59" s="188">
        <f>'2017'!N60</f>
        <v>2539646.15</v>
      </c>
      <c r="S59" s="237">
        <f t="shared" si="5"/>
        <v>107685.25</v>
      </c>
      <c r="T59" s="239">
        <f t="shared" si="6"/>
        <v>4.2401674737246431E-2</v>
      </c>
    </row>
    <row r="60" spans="1:20">
      <c r="A60" s="169"/>
      <c r="B60" s="399" t="s">
        <v>369</v>
      </c>
      <c r="C60" s="400"/>
      <c r="D60" s="400"/>
      <c r="E60" s="400"/>
      <c r="F60" s="400"/>
      <c r="G60" s="188">
        <v>0</v>
      </c>
      <c r="H60" s="188">
        <f>+SUMPRODUCT(('2018'!$G154:$R154)*('2018'!$G$5:$R$5&lt;=Master!$B$3))</f>
        <v>18604663.333333332</v>
      </c>
      <c r="I60" s="237">
        <f t="shared" si="0"/>
        <v>-18604663.333333332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f>'2018'!N60</f>
        <v>0</v>
      </c>
      <c r="O60" s="188">
        <f>'2018'!G154</f>
        <v>1807457.9166666667</v>
      </c>
      <c r="P60" s="237">
        <f t="shared" si="3"/>
        <v>-1807457.9166666667</v>
      </c>
      <c r="Q60" s="238">
        <f t="shared" si="4"/>
        <v>-1</v>
      </c>
      <c r="R60" s="188">
        <f>'2017'!N61</f>
        <v>-67357838.790000007</v>
      </c>
      <c r="S60" s="237">
        <f t="shared" ref="S60:S67" si="9">+N60-R60</f>
        <v>67357838.790000007</v>
      </c>
      <c r="T60" s="239">
        <f t="shared" ref="T60:T67" si="10">+IF(ISNUMBER(N60/R60-1),N60/R60-1,"…")</f>
        <v>-1</v>
      </c>
    </row>
    <row r="61" spans="1:20" ht="15.75" thickBot="1">
      <c r="A61" s="169">
        <v>4418</v>
      </c>
      <c r="B61" s="489" t="s">
        <v>340</v>
      </c>
      <c r="C61" s="490"/>
      <c r="D61" s="490"/>
      <c r="E61" s="490"/>
      <c r="F61" s="490"/>
      <c r="G61" s="436">
        <f>'2018'!S60</f>
        <v>68939595.359999999</v>
      </c>
      <c r="H61" s="436">
        <f>+SUMPRODUCT(('2018'!$G155:$R155)*('2018'!$G$5:$R$5&lt;=Master!$B$3))</f>
        <v>70000000</v>
      </c>
      <c r="I61" s="437">
        <f t="shared" si="0"/>
        <v>-1060404.6400000006</v>
      </c>
      <c r="J61" s="438">
        <f t="shared" si="1"/>
        <v>-1.5148637714285762E-2</v>
      </c>
      <c r="K61" s="436">
        <v>0</v>
      </c>
      <c r="L61" s="437">
        <f t="shared" si="7"/>
        <v>68939595.359999999</v>
      </c>
      <c r="M61" s="439" t="str">
        <f t="shared" si="2"/>
        <v>…</v>
      </c>
      <c r="N61" s="436">
        <f>+DataEx!FA168</f>
        <v>0</v>
      </c>
      <c r="O61" s="436">
        <f>+'2018'!K155</f>
        <v>70000000</v>
      </c>
      <c r="P61" s="437">
        <f t="shared" ref="P61:P67" si="11">+N61-O61</f>
        <v>-70000000</v>
      </c>
      <c r="Q61" s="438">
        <f t="shared" ref="Q61:Q67" si="12">+IF(ISNUMBER(N61/O61-1),N61/O61-1,"…")</f>
        <v>-1</v>
      </c>
      <c r="R61" s="436">
        <f>+DataEx!FA168</f>
        <v>0</v>
      </c>
      <c r="S61" s="437">
        <f t="shared" si="9"/>
        <v>0</v>
      </c>
      <c r="T61" s="439" t="str">
        <f t="shared" si="10"/>
        <v>…</v>
      </c>
    </row>
    <row r="62" spans="1:20" ht="15.75" thickBot="1">
      <c r="A62" s="169">
        <v>1002</v>
      </c>
      <c r="B62" s="473" t="str">
        <f>+VLOOKUP($A62,Master!$D$25:$G$223,4,FALSE)</f>
        <v>Financing needs</v>
      </c>
      <c r="C62" s="474"/>
      <c r="D62" s="474"/>
      <c r="E62" s="474"/>
      <c r="F62" s="474"/>
      <c r="G62" s="393">
        <f>+SUMPRODUCT(('2018'!$G61:$R61)*('2018'!$G$5:$R$5&lt;=Master!$B$3)*($A62='2018'!$A$10:$A$66))</f>
        <v>-346178276.42000002</v>
      </c>
      <c r="H62" s="403">
        <f>+SUMPRODUCT(('2018'!$G156:$R156)*('2018'!$G$5:$R$5&lt;=Master!$B$3))</f>
        <v>-303190447.28273046</v>
      </c>
      <c r="I62" s="405">
        <f t="shared" si="0"/>
        <v>-42987829.137269557</v>
      </c>
      <c r="J62" s="406">
        <f t="shared" si="1"/>
        <v>0.14178490622820528</v>
      </c>
      <c r="K62" s="393">
        <f>+SUMPRODUCT(('2017'!$G61:$R61)*('2017'!$G$5:$R$5&lt;=Master!$B$3))</f>
        <v>-406377892.56999999</v>
      </c>
      <c r="L62" s="405">
        <f t="shared" si="7"/>
        <v>60199616.149999976</v>
      </c>
      <c r="M62" s="408">
        <f t="shared" si="2"/>
        <v>-0.14813703513566601</v>
      </c>
      <c r="N62" s="403">
        <f>'2018'!N61</f>
        <v>-5516209.4999999404</v>
      </c>
      <c r="O62" s="403">
        <f>+INDEX('2018'!$1:$1048576,MATCH(CONCATENATE('Analytics - 2018'!$A62,"p"),'2018'!$A:$A,0),MATCH('Analytics - 2018'!$O$6,'2018'!$101:$101,0))</f>
        <v>-11650137.843289923</v>
      </c>
      <c r="P62" s="405">
        <f t="shared" si="11"/>
        <v>6133928.3432899825</v>
      </c>
      <c r="Q62" s="406">
        <f t="shared" si="12"/>
        <v>-0.52651122465670341</v>
      </c>
      <c r="R62" s="403">
        <f>'2017'!N61</f>
        <v>-67357838.790000007</v>
      </c>
      <c r="S62" s="405">
        <f t="shared" si="9"/>
        <v>61841629.290000066</v>
      </c>
      <c r="T62" s="408">
        <f t="shared" si="10"/>
        <v>-0.91810590127159952</v>
      </c>
    </row>
    <row r="63" spans="1:20" ht="15.75" thickBot="1">
      <c r="A63" s="169">
        <v>1003</v>
      </c>
      <c r="B63" s="475" t="str">
        <f>+VLOOKUP($A63,Master!$D$25:$G$223,4,FALSE)</f>
        <v>Financing</v>
      </c>
      <c r="C63" s="476"/>
      <c r="D63" s="476"/>
      <c r="E63" s="476"/>
      <c r="F63" s="476"/>
      <c r="G63" s="176">
        <f>+SUMPRODUCT(('2018'!$G62:$R62)*('2018'!$G$5:$R$5&lt;=Master!$B$3)*($A63='2018'!$A$10:$A$66))</f>
        <v>346178276.41999996</v>
      </c>
      <c r="H63" s="176">
        <f>+SUMPRODUCT(('2018'!$G157:$R157)*('2018'!$G$5:$R$5&lt;=Master!$B$3))</f>
        <v>303190447.28273046</v>
      </c>
      <c r="I63" s="404">
        <f t="shared" si="0"/>
        <v>42987829.137269497</v>
      </c>
      <c r="J63" s="407">
        <f t="shared" si="1"/>
        <v>0.14178490622820505</v>
      </c>
      <c r="K63" s="176">
        <f>+SUMPRODUCT(('2017'!$G62:$R62)*('2017'!$G$5:$R$5&lt;=Master!$B$3))</f>
        <v>406377892.56999999</v>
      </c>
      <c r="L63" s="404">
        <f t="shared" si="7"/>
        <v>-60199616.150000036</v>
      </c>
      <c r="M63" s="409">
        <f t="shared" si="2"/>
        <v>-0.14813703513566612</v>
      </c>
      <c r="N63" s="176">
        <f>'2018'!N62</f>
        <v>5516209.4999999404</v>
      </c>
      <c r="O63" s="176">
        <f>+INDEX('2018'!$1:$1048576,MATCH(CONCATENATE('Analytics - 2018'!$A63,"p"),'2018'!$A:$A,0),MATCH('Analytics - 2018'!$O$6,'2018'!$101:$101,0))</f>
        <v>11650137.843289923</v>
      </c>
      <c r="P63" s="404">
        <f t="shared" si="11"/>
        <v>-6133928.3432899825</v>
      </c>
      <c r="Q63" s="407">
        <f t="shared" si="12"/>
        <v>-0.52651122465670341</v>
      </c>
      <c r="R63" s="176">
        <f>'2017'!N62</f>
        <v>67357838.790000007</v>
      </c>
      <c r="S63" s="404">
        <f t="shared" si="9"/>
        <v>-61841629.290000066</v>
      </c>
      <c r="T63" s="409">
        <f t="shared" si="10"/>
        <v>-0.91810590127159952</v>
      </c>
    </row>
    <row r="64" spans="1:20">
      <c r="A64" s="169">
        <v>7511</v>
      </c>
      <c r="B64" s="469" t="str">
        <f>+VLOOKUP($A64,Master!$D$25:$G$223,4,FALSE)</f>
        <v>Domestic Loans and Borrowings</v>
      </c>
      <c r="C64" s="470"/>
      <c r="D64" s="470"/>
      <c r="E64" s="470"/>
      <c r="F64" s="470"/>
      <c r="G64" s="188">
        <f>+SUMPRODUCT(('2018'!$G63:$R63)*('2018'!$G$5:$R$5&lt;=Master!$B$3)*($A64='2018'!$A$10:$A$66))</f>
        <v>197600000</v>
      </c>
      <c r="H64" s="188">
        <f>+SUMPRODUCT(('2018'!$G158:$R158)*('2018'!$G$5:$R$5&lt;=Master!$B$3))</f>
        <v>0</v>
      </c>
      <c r="I64" s="237">
        <f t="shared" si="0"/>
        <v>197600000</v>
      </c>
      <c r="J64" s="238" t="str">
        <f t="shared" si="1"/>
        <v>…</v>
      </c>
      <c r="K64" s="188">
        <f>+SUMPRODUCT(('2017'!$G63:$R63)*('2017'!$G$5:$R$5&lt;=Master!$B$3))</f>
        <v>257070000</v>
      </c>
      <c r="L64" s="237">
        <f t="shared" si="7"/>
        <v>-59470000</v>
      </c>
      <c r="M64" s="239">
        <f t="shared" si="2"/>
        <v>-0.23133776792313376</v>
      </c>
      <c r="N64" s="188">
        <f>'2018'!N63</f>
        <v>59000000</v>
      </c>
      <c r="O64" s="188">
        <f>+INDEX('2018'!$1:$1048576,MATCH(CONCATENATE('Analytics - 2018'!$A64,"p"),'2018'!$A:$A,0),MATCH('Analytics - 2018'!$O$6,'2018'!$101:$101,0))</f>
        <v>0</v>
      </c>
      <c r="P64" s="237">
        <f t="shared" si="11"/>
        <v>59000000</v>
      </c>
      <c r="Q64" s="238" t="str">
        <f t="shared" si="12"/>
        <v>…</v>
      </c>
      <c r="R64" s="188">
        <f>'2017'!N63</f>
        <v>50085000</v>
      </c>
      <c r="S64" s="237">
        <f t="shared" si="9"/>
        <v>8915000</v>
      </c>
      <c r="T64" s="239">
        <f t="shared" si="10"/>
        <v>0.17799740441249878</v>
      </c>
    </row>
    <row r="65" spans="1:20">
      <c r="A65" s="169">
        <v>7512</v>
      </c>
      <c r="B65" s="453" t="str">
        <f>+VLOOKUP($A65,Master!$D$25:$G$223,4,FALSE)</f>
        <v>Foreign Loans and Borrowings</v>
      </c>
      <c r="C65" s="454"/>
      <c r="D65" s="454"/>
      <c r="E65" s="454"/>
      <c r="F65" s="454"/>
      <c r="G65" s="188">
        <f>+SUMPRODUCT(('2018'!$G64:$R64)*('2018'!$G$5:$R$5&lt;=Master!$B$3)*($A65='2018'!$A$10:$A$66))</f>
        <v>420403771.85999995</v>
      </c>
      <c r="H65" s="188">
        <f>+SUMPRODUCT(('2018'!$G159:$R159)*('2018'!$G$5:$R$5&lt;=Master!$B$3))</f>
        <v>197266666.63999999</v>
      </c>
      <c r="I65" s="237">
        <f t="shared" si="0"/>
        <v>223137105.21999997</v>
      </c>
      <c r="J65" s="238">
        <f t="shared" si="1"/>
        <v>1.1311445010991745</v>
      </c>
      <c r="K65" s="188">
        <f>+SUMPRODUCT(('2017'!$G64:$R64)*('2017'!$G$5:$R$5&lt;=Master!$B$3))</f>
        <v>133446988.78</v>
      </c>
      <c r="L65" s="237">
        <f t="shared" si="7"/>
        <v>286956783.07999992</v>
      </c>
      <c r="M65" s="239">
        <f t="shared" si="2"/>
        <v>2.1503428867404075</v>
      </c>
      <c r="N65" s="188">
        <f>'2018'!N64</f>
        <v>204639.39</v>
      </c>
      <c r="O65" s="188">
        <f>+INDEX('2018'!$1:$1048576,MATCH(CONCATENATE('Analytics - 2018'!$A65,"p"),'2018'!$A:$A,0),MATCH('Analytics - 2018'!$O$6,'2018'!$101:$101,0))</f>
        <v>24658333.329999998</v>
      </c>
      <c r="P65" s="237">
        <f t="shared" si="11"/>
        <v>-24453693.939999998</v>
      </c>
      <c r="Q65" s="238">
        <f t="shared" si="12"/>
        <v>-0.99170100479779666</v>
      </c>
      <c r="R65" s="188">
        <f>'2017'!N64</f>
        <v>26168335.57</v>
      </c>
      <c r="S65" s="237">
        <f t="shared" si="9"/>
        <v>-25963696.18</v>
      </c>
      <c r="T65" s="239">
        <f t="shared" si="10"/>
        <v>-0.99217988513436051</v>
      </c>
    </row>
    <row r="66" spans="1:20">
      <c r="A66" s="169">
        <v>72</v>
      </c>
      <c r="B66" s="453" t="str">
        <f>+VLOOKUP($A66,Master!$D$25:$G$223,4,FALSE)</f>
        <v>Revenues from Selling Assets</v>
      </c>
      <c r="C66" s="454"/>
      <c r="D66" s="454"/>
      <c r="E66" s="454"/>
      <c r="F66" s="454"/>
      <c r="G66" s="188">
        <f>+SUMPRODUCT(('2018'!$G65:$R65)*('2018'!$G$5:$R$5&lt;=Master!$B$3)*($A66='2018'!$A$10:$A$66))</f>
        <v>14053468.210000001</v>
      </c>
      <c r="H66" s="188">
        <f>+SUMPRODUCT(('2018'!$G160:$R160)*('2018'!$G$5:$R$5&lt;=Master!$B$3))</f>
        <v>0</v>
      </c>
      <c r="I66" s="237">
        <f t="shared" si="0"/>
        <v>14053468.210000001</v>
      </c>
      <c r="J66" s="238" t="str">
        <f t="shared" si="1"/>
        <v>…</v>
      </c>
      <c r="K66" s="188">
        <f>+SUMPRODUCT(('2017'!$G65:$R65)*('2017'!$G$5:$R$5&lt;=Master!$B$3))</f>
        <v>4466277.6499999994</v>
      </c>
      <c r="L66" s="237">
        <f t="shared" si="7"/>
        <v>9587190.5600000024</v>
      </c>
      <c r="M66" s="239">
        <f t="shared" si="2"/>
        <v>2.146572898350823</v>
      </c>
      <c r="N66" s="188">
        <f>'2018'!N65</f>
        <v>257929.95</v>
      </c>
      <c r="O66" s="188">
        <f>+INDEX('2018'!$1:$1048576,MATCH(CONCATENATE('Analytics - 2018'!$A66,"p"),'2018'!$A:$A,0),MATCH('Analytics - 2018'!$O$6,'2018'!$101:$101,0))</f>
        <v>0</v>
      </c>
      <c r="P66" s="237">
        <f t="shared" si="11"/>
        <v>257929.95</v>
      </c>
      <c r="Q66" s="238" t="str">
        <f t="shared" si="12"/>
        <v>…</v>
      </c>
      <c r="R66" s="188">
        <f>'2017'!N65</f>
        <v>73978.179999999993</v>
      </c>
      <c r="S66" s="237">
        <f t="shared" si="9"/>
        <v>183951.77000000002</v>
      </c>
      <c r="T66" s="239">
        <f t="shared" si="10"/>
        <v>2.4865679312467548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394">
        <f>+SUMPRODUCT(('2018'!$G66:$R66)*('2018'!$G$5:$R$5&lt;=Master!$B$3)*($A67='2018'!$A$10:$A$66))</f>
        <v>-285878963.64999998</v>
      </c>
      <c r="H67" s="398">
        <f>+SUMPRODUCT(('2018'!$G161:$R161)*('2018'!$G$5:$R$5&lt;=Master!$B$3))</f>
        <v>105923780.64273049</v>
      </c>
      <c r="I67" s="251">
        <f t="shared" si="0"/>
        <v>-391802744.29273045</v>
      </c>
      <c r="J67" s="252" t="str">
        <f>+IF(ISNUMBER(G66/H66-1),G66/H66-1,"…")</f>
        <v>…</v>
      </c>
      <c r="K67" s="394">
        <f>+SUMPRODUCT(('2017'!$G66:$R66)*('2017'!$G$5:$R$5&lt;=Master!$B$3))</f>
        <v>11394626.140000038</v>
      </c>
      <c r="L67" s="251">
        <f t="shared" si="7"/>
        <v>-297273589.79000002</v>
      </c>
      <c r="M67" s="253"/>
      <c r="N67" s="394">
        <f>'2018'!N66</f>
        <v>-53946359.840000063</v>
      </c>
      <c r="O67" s="398">
        <f>+INDEX('2018'!$1:$1048576,MATCH(CONCATENATE('Analytics - 2018'!$A67,"p"),'2018'!$A:$A,0),MATCH('Analytics - 2018'!$O$6,'2018'!$101:$101,0))</f>
        <v>-13008195.486710075</v>
      </c>
      <c r="P67" s="251">
        <f t="shared" si="11"/>
        <v>-40938164.353289992</v>
      </c>
      <c r="Q67" s="252">
        <f t="shared" si="12"/>
        <v>3.1471055608838894</v>
      </c>
      <c r="R67" s="394">
        <f>'2017'!N66</f>
        <v>-8969474.9599999934</v>
      </c>
      <c r="S67" s="251">
        <f t="shared" si="9"/>
        <v>-44976884.88000007</v>
      </c>
      <c r="T67" s="253">
        <f t="shared" si="10"/>
        <v>5.0144389811641892</v>
      </c>
    </row>
    <row r="69" spans="1:20">
      <c r="H69" s="395"/>
    </row>
    <row r="70" spans="1:20">
      <c r="H70" s="364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 activeCell="X10" sqref="X1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2018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4430900000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tr">
        <f>+Master!G243</f>
        <v>Jan - Aug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81544844.829999998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156827966.73000002</v>
      </c>
      <c r="K10" s="176">
        <f t="shared" si="1"/>
        <v>138841162.98999998</v>
      </c>
      <c r="L10" s="176">
        <f t="shared" si="1"/>
        <v>140708489.35000002</v>
      </c>
      <c r="M10" s="176">
        <f t="shared" si="1"/>
        <v>160619767.91999999</v>
      </c>
      <c r="N10" s="176">
        <f t="shared" si="1"/>
        <v>161220121.90000004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1085700817.4100001</v>
      </c>
      <c r="T10" s="265">
        <f>+S10/$T$7</f>
        <v>0.24502941104741702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703178644.24000001</v>
      </c>
      <c r="T11" s="268">
        <f t="shared" ref="T11:T66" si="4">+S11/$T$7</f>
        <v>0.15869882963731974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0</v>
      </c>
      <c r="P12" s="188">
        <f>+INDEX(DataEx!$1:$1048576,MATCH('2018'!$A12,DataEx!$D:$D,0),MATCH('2018'!P$6,DataEx!$7:$7,0))</f>
        <v>0</v>
      </c>
      <c r="Q12" s="188">
        <f>+INDEX(DataEx!$1:$1048576,MATCH('2018'!$A12,DataEx!$D:$D,0),MATCH('2018'!Q$6,DataEx!$7:$7,0))</f>
        <v>0</v>
      </c>
      <c r="R12" s="188">
        <f>+INDEX(DataEx!$1:$1048576,MATCH('2018'!$A12,DataEx!$D:$D,0),MATCH('2018'!R$6,DataEx!$7:$7,0))</f>
        <v>0</v>
      </c>
      <c r="S12" s="269">
        <f t="shared" si="3"/>
        <v>75646863.760000005</v>
      </c>
      <c r="T12" s="270">
        <f t="shared" si="4"/>
        <v>1.7072573012254847E-2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0</v>
      </c>
      <c r="P13" s="188">
        <f>+INDEX(DataEx!$1:$1048576,MATCH('2018'!$A13,DataEx!$D:$D,0),MATCH('2018'!P$6,DataEx!$7:$7,0))</f>
        <v>0</v>
      </c>
      <c r="Q13" s="188">
        <f>+INDEX(DataEx!$1:$1048576,MATCH('2018'!$A13,DataEx!$D:$D,0),MATCH('2018'!Q$6,DataEx!$7:$7,0))</f>
        <v>0</v>
      </c>
      <c r="R13" s="188">
        <f>+INDEX(DataEx!$1:$1048576,MATCH('2018'!$A13,DataEx!$D:$D,0),MATCH('2018'!R$6,DataEx!$7:$7,0))</f>
        <v>0</v>
      </c>
      <c r="S13" s="269">
        <f t="shared" si="3"/>
        <v>57340206.93999999</v>
      </c>
      <c r="T13" s="270">
        <f t="shared" si="4"/>
        <v>1.2940984210882663E-2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0</v>
      </c>
      <c r="P14" s="188">
        <f>+INDEX(DataEx!$1:$1048576,MATCH('2018'!$A14,DataEx!$D:$D,0),MATCH('2018'!P$6,DataEx!$7:$7,0))</f>
        <v>0</v>
      </c>
      <c r="Q14" s="188">
        <f>+INDEX(DataEx!$1:$1048576,MATCH('2018'!$A14,DataEx!$D:$D,0),MATCH('2018'!Q$6,DataEx!$7:$7,0))</f>
        <v>0</v>
      </c>
      <c r="R14" s="188">
        <f>+INDEX(DataEx!$1:$1048576,MATCH('2018'!$A14,DataEx!$D:$D,0),MATCH('2018'!R$6,DataEx!$7:$7,0))</f>
        <v>0</v>
      </c>
      <c r="S14" s="269">
        <f t="shared" si="3"/>
        <v>1129613.1099999999</v>
      </c>
      <c r="T14" s="270">
        <f t="shared" si="4"/>
        <v>2.5493987903134802E-4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0</v>
      </c>
      <c r="P15" s="188">
        <f>+INDEX(DataEx!$1:$1048576,MATCH('2018'!$A15,DataEx!$D:$D,0),MATCH('2018'!P$6,DataEx!$7:$7,0))</f>
        <v>0</v>
      </c>
      <c r="Q15" s="188">
        <f>+INDEX(DataEx!$1:$1048576,MATCH('2018'!$A15,DataEx!$D:$D,0),MATCH('2018'!Q$6,DataEx!$7:$7,0))</f>
        <v>0</v>
      </c>
      <c r="R15" s="188">
        <f>+INDEX(DataEx!$1:$1048576,MATCH('2018'!$A15,DataEx!$D:$D,0),MATCH('2018'!R$6,DataEx!$7:$7,0))</f>
        <v>0</v>
      </c>
      <c r="S15" s="269">
        <f t="shared" si="3"/>
        <v>404066394.24000001</v>
      </c>
      <c r="T15" s="270">
        <f t="shared" si="4"/>
        <v>9.1192848911056446E-2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0</v>
      </c>
      <c r="P16" s="188">
        <f>+INDEX(DataEx!$1:$1048576,MATCH('2018'!$A16,DataEx!$D:$D,0),MATCH('2018'!P$6,DataEx!$7:$7,0))</f>
        <v>0</v>
      </c>
      <c r="Q16" s="188">
        <f>+INDEX(DataEx!$1:$1048576,MATCH('2018'!$A16,DataEx!$D:$D,0),MATCH('2018'!Q$6,DataEx!$7:$7,0))</f>
        <v>0</v>
      </c>
      <c r="R16" s="188">
        <f>+INDEX(DataEx!$1:$1048576,MATCH('2018'!$A16,DataEx!$D:$D,0),MATCH('2018'!R$6,DataEx!$7:$7,0))</f>
        <v>0</v>
      </c>
      <c r="S16" s="269">
        <f t="shared" si="3"/>
        <v>140992258.06</v>
      </c>
      <c r="T16" s="270">
        <f t="shared" si="4"/>
        <v>3.1820230215080458E-2</v>
      </c>
    </row>
    <row r="17" spans="1:25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0</v>
      </c>
      <c r="P17" s="188">
        <f>+INDEX(DataEx!$1:$1048576,MATCH('2018'!$A17,DataEx!$D:$D,0),MATCH('2018'!P$6,DataEx!$7:$7,0))</f>
        <v>0</v>
      </c>
      <c r="Q17" s="188">
        <f>+INDEX(DataEx!$1:$1048576,MATCH('2018'!$A17,DataEx!$D:$D,0),MATCH('2018'!Q$6,DataEx!$7:$7,0))</f>
        <v>0</v>
      </c>
      <c r="R17" s="188">
        <f>+INDEX(DataEx!$1:$1048576,MATCH('2018'!$A17,DataEx!$D:$D,0),MATCH('2018'!R$6,DataEx!$7:$7,0))</f>
        <v>0</v>
      </c>
      <c r="S17" s="269">
        <f t="shared" si="3"/>
        <v>17907325.41</v>
      </c>
      <c r="T17" s="270">
        <f t="shared" si="4"/>
        <v>4.0414645805592541E-3</v>
      </c>
    </row>
    <row r="18" spans="1:25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0</v>
      </c>
      <c r="P18" s="188">
        <f>+INDEX(DataEx!$1:$1048576,MATCH('2018'!$A18,DataEx!$D:$D,0),MATCH('2018'!P$6,DataEx!$7:$7,0))</f>
        <v>0</v>
      </c>
      <c r="Q18" s="188">
        <f>+INDEX(DataEx!$1:$1048576,MATCH('2018'!$A18,DataEx!$D:$D,0),MATCH('2018'!Q$6,DataEx!$7:$7,0))</f>
        <v>0</v>
      </c>
      <c r="R18" s="188">
        <f>+INDEX(DataEx!$1:$1048576,MATCH('2018'!$A18,DataEx!$D:$D,0),MATCH('2018'!R$6,DataEx!$7:$7,0))</f>
        <v>0</v>
      </c>
      <c r="S18" s="269">
        <f t="shared" si="3"/>
        <v>6095982.7199999997</v>
      </c>
      <c r="T18" s="270">
        <f t="shared" si="4"/>
        <v>1.3757888284547156E-3</v>
      </c>
    </row>
    <row r="19" spans="1:25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0</v>
      </c>
      <c r="P19" s="194">
        <f>+INDEX(DataEx!$1:$1048576,MATCH('2018'!$A19,DataEx!$D:$D,0),MATCH('2018'!P$6,DataEx!$7:$7,0))</f>
        <v>0</v>
      </c>
      <c r="Q19" s="194">
        <f>+INDEX(DataEx!$1:$1048576,MATCH('2018'!$A19,DataEx!$D:$D,0),MATCH('2018'!Q$6,DataEx!$7:$7,0))</f>
        <v>0</v>
      </c>
      <c r="R19" s="194">
        <f>+INDEX(DataEx!$1:$1048576,MATCH('2018'!$A19,DataEx!$D:$D,0),MATCH('2018'!R$6,DataEx!$7:$7,0))</f>
        <v>0</v>
      </c>
      <c r="S19" s="272">
        <f t="shared" si="3"/>
        <v>309366966.58999997</v>
      </c>
      <c r="T19" s="273">
        <f t="shared" si="4"/>
        <v>6.9820344984089011E-2</v>
      </c>
    </row>
    <row r="20" spans="1:25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0</v>
      </c>
      <c r="P20" s="188">
        <f>+INDEX(DataEx!$1:$1048576,MATCH('2018'!$A20,DataEx!$D:$D,0),MATCH('2018'!P$6,DataEx!$7:$7,0))</f>
        <v>0</v>
      </c>
      <c r="Q20" s="188">
        <f>+INDEX(DataEx!$1:$1048576,MATCH('2018'!$A20,DataEx!$D:$D,0),MATCH('2018'!Q$6,DataEx!$7:$7,0))</f>
        <v>0</v>
      </c>
      <c r="R20" s="188">
        <f>+INDEX(DataEx!$1:$1048576,MATCH('2018'!$A20,DataEx!$D:$D,0),MATCH('2018'!R$6,DataEx!$7:$7,0))</f>
        <v>0</v>
      </c>
      <c r="S20" s="269">
        <f t="shared" si="3"/>
        <v>186150330.21000001</v>
      </c>
      <c r="T20" s="270">
        <f t="shared" si="4"/>
        <v>4.2011855426662754E-2</v>
      </c>
    </row>
    <row r="21" spans="1:25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0</v>
      </c>
      <c r="P21" s="188">
        <f>+INDEX(DataEx!$1:$1048576,MATCH('2018'!$A21,DataEx!$D:$D,0),MATCH('2018'!P$6,DataEx!$7:$7,0))</f>
        <v>0</v>
      </c>
      <c r="Q21" s="188">
        <f>+INDEX(DataEx!$1:$1048576,MATCH('2018'!$A21,DataEx!$D:$D,0),MATCH('2018'!Q$6,DataEx!$7:$7,0))</f>
        <v>0</v>
      </c>
      <c r="R21" s="188">
        <f>+INDEX(DataEx!$1:$1048576,MATCH('2018'!$A21,DataEx!$D:$D,0),MATCH('2018'!R$6,DataEx!$7:$7,0))</f>
        <v>0</v>
      </c>
      <c r="S21" s="269">
        <f t="shared" si="3"/>
        <v>107783333.59</v>
      </c>
      <c r="T21" s="270">
        <f t="shared" si="4"/>
        <v>2.4325381658353833E-2</v>
      </c>
    </row>
    <row r="22" spans="1:25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0</v>
      </c>
      <c r="P22" s="188">
        <f>+INDEX(DataEx!$1:$1048576,MATCH('2018'!$A22,DataEx!$D:$D,0),MATCH('2018'!P$6,DataEx!$7:$7,0))</f>
        <v>0</v>
      </c>
      <c r="Q22" s="188">
        <f>+INDEX(DataEx!$1:$1048576,MATCH('2018'!$A22,DataEx!$D:$D,0),MATCH('2018'!Q$6,DataEx!$7:$7,0))</f>
        <v>0</v>
      </c>
      <c r="R22" s="188">
        <f>+INDEX(DataEx!$1:$1048576,MATCH('2018'!$A22,DataEx!$D:$D,0),MATCH('2018'!R$6,DataEx!$7:$7,0))</f>
        <v>0</v>
      </c>
      <c r="S22" s="269">
        <f t="shared" si="3"/>
        <v>7982722.3600000003</v>
      </c>
      <c r="T22" s="270">
        <f t="shared" si="4"/>
        <v>1.8016029158861632E-3</v>
      </c>
    </row>
    <row r="23" spans="1:25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0</v>
      </c>
      <c r="P23" s="188">
        <f>+INDEX(DataEx!$1:$1048576,MATCH('2018'!$A23,DataEx!$D:$D,0),MATCH('2018'!P$6,DataEx!$7:$7,0))</f>
        <v>0</v>
      </c>
      <c r="Q23" s="188">
        <f>+INDEX(DataEx!$1:$1048576,MATCH('2018'!$A23,DataEx!$D:$D,0),MATCH('2018'!Q$6,DataEx!$7:$7,0))</f>
        <v>0</v>
      </c>
      <c r="R23" s="188">
        <f>+INDEX(DataEx!$1:$1048576,MATCH('2018'!$A23,DataEx!$D:$D,0),MATCH('2018'!R$6,DataEx!$7:$7,0))</f>
        <v>0</v>
      </c>
      <c r="S23" s="269">
        <f t="shared" si="3"/>
        <v>7450580.4299999997</v>
      </c>
      <c r="T23" s="270">
        <f t="shared" si="4"/>
        <v>1.6815049831862602E-3</v>
      </c>
      <c r="Y23" s="379"/>
    </row>
    <row r="24" spans="1:25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1838018.93</v>
      </c>
      <c r="O24" s="200">
        <f>+INDEX(DataEx!$1:$1048576,MATCH('2018'!$A24,DataEx!$D:$D,0),MATCH('2018'!O$6,DataEx!$7:$7,0))</f>
        <v>0</v>
      </c>
      <c r="P24" s="200">
        <f>+INDEX(DataEx!$1:$1048576,MATCH('2018'!$A24,DataEx!$D:$D,0),MATCH('2018'!P$6,DataEx!$7:$7,0))</f>
        <v>0</v>
      </c>
      <c r="Q24" s="200">
        <f>+INDEX(DataEx!$1:$1048576,MATCH('2018'!$A24,DataEx!$D:$D,0),MATCH('2018'!Q$6,DataEx!$7:$7,0))</f>
        <v>0</v>
      </c>
      <c r="R24" s="274">
        <f>+INDEX(DataEx!$1:$1048576,MATCH('2018'!$A24,DataEx!$D:$D,0),MATCH('2018'!R$6,DataEx!$7:$7,0))</f>
        <v>0</v>
      </c>
      <c r="S24" s="272">
        <f t="shared" si="3"/>
        <v>10909315.359999999</v>
      </c>
      <c r="T24" s="273">
        <f t="shared" si="4"/>
        <v>2.462099203322124E-3</v>
      </c>
      <c r="Y24" s="379"/>
    </row>
    <row r="25" spans="1:25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0</v>
      </c>
      <c r="P25" s="200">
        <f>+INDEX(DataEx!$1:$1048576,MATCH('2018'!$A25,DataEx!$D:$D,0),MATCH('2018'!P$6,DataEx!$7:$7,0))</f>
        <v>0</v>
      </c>
      <c r="Q25" s="200">
        <f>+INDEX(DataEx!$1:$1048576,MATCH('2018'!$A25,DataEx!$D:$D,0),MATCH('2018'!Q$6,DataEx!$7:$7,0))</f>
        <v>0</v>
      </c>
      <c r="R25" s="274">
        <f>+INDEX(DataEx!$1:$1048576,MATCH('2018'!$A25,DataEx!$D:$D,0),MATCH('2018'!R$6,DataEx!$7:$7,0))</f>
        <v>0</v>
      </c>
      <c r="S25" s="272">
        <f t="shared" si="3"/>
        <v>17418621.59</v>
      </c>
      <c r="T25" s="273">
        <f t="shared" si="4"/>
        <v>3.9311700986255612E-3</v>
      </c>
      <c r="W25" s="366"/>
    </row>
    <row r="26" spans="1:25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2742352.51</v>
      </c>
      <c r="M26" s="200">
        <f>+INDEX(DataEx!$1:$1048576,MATCH('2018'!$A26,DataEx!$D:$D,0),MATCH('2018'!M$6,DataEx!$7:$7,0))</f>
        <v>3928944.25</v>
      </c>
      <c r="N26" s="200">
        <f>+INDEX(DataEx!$1:$1048576,MATCH('2018'!$A26,DataEx!$D:$D,0),MATCH('2018'!N$6,DataEx!$7:$7,0))</f>
        <v>3453874.44</v>
      </c>
      <c r="O26" s="200">
        <f>+INDEX(DataEx!$1:$1048576,MATCH('2018'!$A26,DataEx!$D:$D,0),MATCH('2018'!O$6,DataEx!$7:$7,0))</f>
        <v>0</v>
      </c>
      <c r="P26" s="200">
        <f>+INDEX(DataEx!$1:$1048576,MATCH('2018'!$A26,DataEx!$D:$D,0),MATCH('2018'!P$6,DataEx!$7:$7,0))</f>
        <v>0</v>
      </c>
      <c r="Q26" s="200">
        <f>+INDEX(DataEx!$1:$1048576,MATCH('2018'!$A26,DataEx!$D:$D,0),MATCH('2018'!Q$6,DataEx!$7:$7,0))</f>
        <v>0</v>
      </c>
      <c r="R26" s="274">
        <f>+INDEX(DataEx!$1:$1048576,MATCH('2018'!$A26,DataEx!$D:$D,0),MATCH('2018'!R$6,DataEx!$7:$7,0))</f>
        <v>0</v>
      </c>
      <c r="S26" s="272">
        <f t="shared" si="3"/>
        <v>23839217.360000003</v>
      </c>
      <c r="T26" s="273">
        <f t="shared" si="4"/>
        <v>5.380220126836535E-3</v>
      </c>
    </row>
    <row r="27" spans="1:25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433978.03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0</v>
      </c>
      <c r="P27" s="200">
        <f>+INDEX(DataEx!$1:$1048576,MATCH('2018'!$A27,DataEx!$D:$D,0),MATCH('2018'!P$6,DataEx!$7:$7,0))</f>
        <v>0</v>
      </c>
      <c r="Q27" s="200">
        <f>+INDEX(DataEx!$1:$1048576,MATCH('2018'!$A27,DataEx!$D:$D,0),MATCH('2018'!Q$6,DataEx!$7:$7,0))</f>
        <v>0</v>
      </c>
      <c r="R27" s="274">
        <f>+INDEX(DataEx!$1:$1048576,MATCH('2018'!$A27,DataEx!$D:$D,0),MATCH('2018'!R$6,DataEx!$7:$7,0))</f>
        <v>0</v>
      </c>
      <c r="S27" s="272">
        <f t="shared" si="3"/>
        <v>4670661.96</v>
      </c>
      <c r="T27" s="273">
        <f t="shared" si="4"/>
        <v>1.0541113453248776E-3</v>
      </c>
    </row>
    <row r="28" spans="1:25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f>+INDEX(DataEx!$1:$1048576,MATCH('2018'!$A28,DataEx!$D:$D,0),MATCH('2018'!G$6,DataEx!$7:$7,0))</f>
        <v>1518621.66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0</v>
      </c>
      <c r="P28" s="200">
        <f>+INDEX(DataEx!$1:$1048576,MATCH('2018'!$A28,DataEx!$D:$D,0),MATCH('2018'!P$6,DataEx!$7:$7,0))</f>
        <v>0</v>
      </c>
      <c r="Q28" s="200">
        <f>+INDEX(DataEx!$1:$1048576,MATCH('2018'!$A28,DataEx!$D:$D,0),MATCH('2018'!Q$6,DataEx!$7:$7,0))</f>
        <v>0</v>
      </c>
      <c r="R28" s="274">
        <f>+INDEX(DataEx!$1:$1048576,MATCH('2018'!$A28,DataEx!$D:$D,0),MATCH('2018'!R$6,DataEx!$7:$7,0))</f>
        <v>0</v>
      </c>
      <c r="S28" s="272">
        <f t="shared" si="3"/>
        <v>16317390.310000002</v>
      </c>
      <c r="T28" s="276">
        <f t="shared" si="4"/>
        <v>3.6826356518991632E-3</v>
      </c>
    </row>
    <row r="29" spans="1:25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+G31+G42+G48+SUM(G49:G53)</f>
        <v>106100663.53</v>
      </c>
      <c r="H29" s="176">
        <f t="shared" ref="H29:R29" si="5">+H31+H42+H48+SUM(H49:H53)</f>
        <v>119016381.51999998</v>
      </c>
      <c r="I29" s="176">
        <f t="shared" si="5"/>
        <v>172407993.90000004</v>
      </c>
      <c r="J29" s="176">
        <f t="shared" si="5"/>
        <v>147656867.89000002</v>
      </c>
      <c r="K29" s="176">
        <f t="shared" si="5"/>
        <v>141761088.21000004</v>
      </c>
      <c r="L29" s="176">
        <f t="shared" si="5"/>
        <v>162029357.13</v>
      </c>
      <c r="M29" s="176">
        <f t="shared" si="5"/>
        <v>155838169.07999998</v>
      </c>
      <c r="N29" s="176">
        <f t="shared" si="5"/>
        <v>127156226.25999998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1131966747.52</v>
      </c>
      <c r="T29" s="278">
        <f t="shared" si="4"/>
        <v>0.255471066266447</v>
      </c>
    </row>
    <row r="30" spans="1:25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104040089.26000001</v>
      </c>
      <c r="H30" s="206">
        <f t="shared" ref="H30:R30" si="6">+H29-H49</f>
        <v>116057986.02999999</v>
      </c>
      <c r="I30" s="206">
        <f t="shared" si="6"/>
        <v>161601488.23000005</v>
      </c>
      <c r="J30" s="206">
        <f t="shared" si="6"/>
        <v>118881376.41000001</v>
      </c>
      <c r="K30" s="206">
        <f t="shared" si="6"/>
        <v>129446729.29000004</v>
      </c>
      <c r="L30" s="206">
        <f t="shared" si="6"/>
        <v>142035069.91999999</v>
      </c>
      <c r="M30" s="206">
        <f t="shared" si="6"/>
        <v>133618705.35999998</v>
      </c>
      <c r="N30" s="206">
        <f t="shared" si="6"/>
        <v>120089155.68999997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43">
        <f t="shared" si="3"/>
        <v>1025770600.1900001</v>
      </c>
      <c r="T30" s="280">
        <f t="shared" si="4"/>
        <v>0.23150389315714642</v>
      </c>
    </row>
    <row r="31" spans="1:25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>+SUM(G32:G41)</f>
        <v>48891921.900000006</v>
      </c>
      <c r="H31" s="212">
        <f t="shared" ref="H31:R31" si="7">+SUM(H32:H41)</f>
        <v>54746975.089999989</v>
      </c>
      <c r="I31" s="212">
        <f t="shared" si="7"/>
        <v>95672779.320000023</v>
      </c>
      <c r="J31" s="212">
        <f t="shared" si="7"/>
        <v>56975242.320000008</v>
      </c>
      <c r="K31" s="212">
        <f t="shared" si="7"/>
        <v>66900183.370000012</v>
      </c>
      <c r="L31" s="212">
        <f t="shared" si="7"/>
        <v>74347088.920000002</v>
      </c>
      <c r="M31" s="212">
        <f t="shared" si="7"/>
        <v>62875549.480000004</v>
      </c>
      <c r="N31" s="212">
        <f t="shared" si="7"/>
        <v>54529074.519999988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44">
        <f t="shared" si="3"/>
        <v>514938814.92000002</v>
      </c>
      <c r="T31" s="268">
        <f t="shared" si="4"/>
        <v>0.11621539978785349</v>
      </c>
    </row>
    <row r="32" spans="1:25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38350938.119999997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38983346.57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0</v>
      </c>
      <c r="P32" s="188">
        <f>+INDEX(DataEx!$1:$1048576,MATCH('2018'!$A32,DataEx!$D:$D,0),MATCH('2018'!P$6,DataEx!$7:$7,0))</f>
        <v>0</v>
      </c>
      <c r="Q32" s="188">
        <f>+INDEX(DataEx!$1:$1048576,MATCH('2018'!$A32,DataEx!$D:$D,0),MATCH('2018'!Q$6,DataEx!$7:$7,0))</f>
        <v>0</v>
      </c>
      <c r="R32" s="188">
        <f>+INDEX(DataEx!$1:$1048576,MATCH('2018'!$A32,DataEx!$D:$D,0),MATCH('2018'!R$6,DataEx!$7:$7,0))</f>
        <v>0</v>
      </c>
      <c r="S32" s="269">
        <f t="shared" si="3"/>
        <v>301952303.43000001</v>
      </c>
      <c r="T32" s="270">
        <f t="shared" si="4"/>
        <v>6.8146946089959151E-2</v>
      </c>
    </row>
    <row r="33" spans="1:22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0</v>
      </c>
      <c r="P33" s="188">
        <f>+INDEX(DataEx!$1:$1048576,MATCH('2018'!$A33,DataEx!$D:$D,0),MATCH('2018'!P$6,DataEx!$7:$7,0))</f>
        <v>0</v>
      </c>
      <c r="Q33" s="188">
        <f>+INDEX(DataEx!$1:$1048576,MATCH('2018'!$A33,DataEx!$D:$D,0),MATCH('2018'!Q$6,DataEx!$7:$7,0))</f>
        <v>0</v>
      </c>
      <c r="R33" s="188">
        <f>+INDEX(DataEx!$1:$1048576,MATCH('2018'!$A33,DataEx!$D:$D,0),MATCH('2018'!R$6,DataEx!$7:$7,0))</f>
        <v>0</v>
      </c>
      <c r="S33" s="269">
        <f t="shared" si="3"/>
        <v>6787753.9199999999</v>
      </c>
      <c r="T33" s="270">
        <f t="shared" si="4"/>
        <v>1.5319131372858786E-3</v>
      </c>
      <c r="U33" s="367"/>
    </row>
    <row r="34" spans="1:22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2451725.77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2862691.11</v>
      </c>
      <c r="N34" s="188">
        <f>+INDEX(DataEx!$1:$1048576,MATCH('2018'!$A34,DataEx!$D:$D,0),MATCH('2018'!N$6,DataEx!$7:$7,0))</f>
        <v>2385883.61</v>
      </c>
      <c r="O34" s="188">
        <f>+INDEX(DataEx!$1:$1048576,MATCH('2018'!$A34,DataEx!$D:$D,0),MATCH('2018'!O$6,DataEx!$7:$7,0))</f>
        <v>0</v>
      </c>
      <c r="P34" s="188">
        <f>+INDEX(DataEx!$1:$1048576,MATCH('2018'!$A34,DataEx!$D:$D,0),MATCH('2018'!P$6,DataEx!$7:$7,0))</f>
        <v>0</v>
      </c>
      <c r="Q34" s="188">
        <f>+INDEX(DataEx!$1:$1048576,MATCH('2018'!$A34,DataEx!$D:$D,0),MATCH('2018'!Q$6,DataEx!$7:$7,0))</f>
        <v>0</v>
      </c>
      <c r="R34" s="188">
        <f>+INDEX(DataEx!$1:$1048576,MATCH('2018'!$A34,DataEx!$D:$D,0),MATCH('2018'!R$6,DataEx!$7:$7,0))</f>
        <v>0</v>
      </c>
      <c r="S34" s="269">
        <f t="shared" si="3"/>
        <v>19914542.75</v>
      </c>
      <c r="T34" s="270">
        <f t="shared" si="4"/>
        <v>4.4944690130673225E-3</v>
      </c>
      <c r="U34" s="385"/>
      <c r="V34" s="365"/>
    </row>
    <row r="35" spans="1:22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+INDEX(DataEx!$1:$1048576,MATCH('2018'!$A35,DataEx!$D:$D,0),MATCH('2018'!G$6,DataEx!$7:$7,0))</f>
        <v>1697528.93</v>
      </c>
      <c r="H35" s="188">
        <f>+INDEX(DataEx!$1:$1048576,MATCH('2018'!$A35,DataEx!$D:$D,0),MATCH('2018'!H$6,DataEx!$7:$7,0))</f>
        <v>3151750.86</v>
      </c>
      <c r="I35" s="188">
        <f>+INDEX(DataEx!$1:$1048576,MATCH('2018'!$A35,DataEx!$D:$D,0),MATCH('2018'!I$6,DataEx!$7:$7,0))</f>
        <v>4190810.86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14304209.140000001</v>
      </c>
      <c r="M35" s="188">
        <f>+INDEX(DataEx!$1:$1048576,MATCH('2018'!$A35,DataEx!$D:$D,0),MATCH('2018'!M$6,DataEx!$7:$7,0))</f>
        <v>4957958.04</v>
      </c>
      <c r="N35" s="188">
        <f>+INDEX(DataEx!$1:$1048576,MATCH('2018'!$A35,DataEx!$D:$D,0),MATCH('2018'!N$6,DataEx!$7:$7,0))</f>
        <v>3609827.41</v>
      </c>
      <c r="O35" s="188">
        <f>+INDEX(DataEx!$1:$1048576,MATCH('2018'!$A35,DataEx!$D:$D,0),MATCH('2018'!O$6,DataEx!$7:$7,0))</f>
        <v>0</v>
      </c>
      <c r="P35" s="188">
        <f>+INDEX(DataEx!$1:$1048576,MATCH('2018'!$A35,DataEx!$D:$D,0),MATCH('2018'!P$6,DataEx!$7:$7,0))</f>
        <v>0</v>
      </c>
      <c r="Q35" s="188">
        <f>+INDEX(DataEx!$1:$1048576,MATCH('2018'!$A35,DataEx!$D:$D,0),MATCH('2018'!Q$6,DataEx!$7:$7,0))</f>
        <v>0</v>
      </c>
      <c r="R35" s="188">
        <f>+INDEX(DataEx!$1:$1048576,MATCH('2018'!$A35,DataEx!$D:$D,0),MATCH('2018'!R$6,DataEx!$7:$7,0))</f>
        <v>0</v>
      </c>
      <c r="S35" s="269">
        <f t="shared" si="3"/>
        <v>41391570.340000004</v>
      </c>
      <c r="T35" s="270">
        <f t="shared" si="4"/>
        <v>9.3415717664582822E-3</v>
      </c>
    </row>
    <row r="36" spans="1:22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1697297.09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1765570.63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0</v>
      </c>
      <c r="P36" s="188">
        <f>+INDEX(DataEx!$1:$1048576,MATCH('2018'!$A36,DataEx!$D:$D,0),MATCH('2018'!P$6,DataEx!$7:$7,0))</f>
        <v>0</v>
      </c>
      <c r="Q36" s="188">
        <f>+INDEX(DataEx!$1:$1048576,MATCH('2018'!$A36,DataEx!$D:$D,0),MATCH('2018'!Q$6,DataEx!$7:$7,0))</f>
        <v>0</v>
      </c>
      <c r="R36" s="188">
        <f>+INDEX(DataEx!$1:$1048576,MATCH('2018'!$A36,DataEx!$D:$D,0),MATCH('2018'!R$6,DataEx!$7:$7,0))</f>
        <v>0</v>
      </c>
      <c r="S36" s="269">
        <f t="shared" si="3"/>
        <v>10848876.379999999</v>
      </c>
      <c r="T36" s="270">
        <f t="shared" si="4"/>
        <v>2.4484588638876976E-3</v>
      </c>
    </row>
    <row r="37" spans="1:22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1628189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7490624.3200000003</v>
      </c>
      <c r="N37" s="188">
        <f>+INDEX(DataEx!$1:$1048576,MATCH('2018'!$A37,DataEx!$D:$D,0),MATCH('2018'!N$6,DataEx!$7:$7,0))</f>
        <v>1099809.17</v>
      </c>
      <c r="O37" s="188">
        <f>+INDEX(DataEx!$1:$1048576,MATCH('2018'!$A37,DataEx!$D:$D,0),MATCH('2018'!O$6,DataEx!$7:$7,0))</f>
        <v>0</v>
      </c>
      <c r="P37" s="188">
        <f>+INDEX(DataEx!$1:$1048576,MATCH('2018'!$A37,DataEx!$D:$D,0),MATCH('2018'!P$6,DataEx!$7:$7,0))</f>
        <v>0</v>
      </c>
      <c r="Q37" s="188">
        <f>+INDEX(DataEx!$1:$1048576,MATCH('2018'!$A37,DataEx!$D:$D,0),MATCH('2018'!Q$6,DataEx!$7:$7,0))</f>
        <v>0</v>
      </c>
      <c r="R37" s="188">
        <f>+INDEX(DataEx!$1:$1048576,MATCH('2018'!$A37,DataEx!$D:$D,0),MATCH('2018'!R$6,DataEx!$7:$7,0))</f>
        <v>0</v>
      </c>
      <c r="S37" s="269">
        <f>+SUM(G37:R37)</f>
        <v>67011707.670000009</v>
      </c>
      <c r="T37" s="270">
        <f t="shared" si="4"/>
        <v>1.5123723773951119E-2</v>
      </c>
    </row>
    <row r="38" spans="1:22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824335.7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0</v>
      </c>
      <c r="P38" s="188">
        <f>+INDEX(DataEx!$1:$1048576,MATCH('2018'!$A38,DataEx!$D:$D,0),MATCH('2018'!P$6,DataEx!$7:$7,0))</f>
        <v>0</v>
      </c>
      <c r="Q38" s="188">
        <f>+INDEX(DataEx!$1:$1048576,MATCH('2018'!$A38,DataEx!$D:$D,0),MATCH('2018'!Q$6,DataEx!$7:$7,0))</f>
        <v>0</v>
      </c>
      <c r="R38" s="188">
        <f>+INDEX(DataEx!$1:$1048576,MATCH('2018'!$A38,DataEx!$D:$D,0),MATCH('2018'!R$6,DataEx!$7:$7,0))</f>
        <v>0</v>
      </c>
      <c r="S38" s="269">
        <f t="shared" si="3"/>
        <v>5621737.9800000004</v>
      </c>
      <c r="T38" s="270">
        <f t="shared" si="4"/>
        <v>1.2687575842379652E-3</v>
      </c>
    </row>
    <row r="39" spans="1:22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0</v>
      </c>
      <c r="P39" s="188">
        <f>+INDEX(DataEx!$1:$1048576,MATCH('2018'!$A39,DataEx!$D:$D,0),MATCH('2018'!P$6,DataEx!$7:$7,0))</f>
        <v>0</v>
      </c>
      <c r="Q39" s="188">
        <f>+INDEX(DataEx!$1:$1048576,MATCH('2018'!$A39,DataEx!$D:$D,0),MATCH('2018'!Q$6,DataEx!$7:$7,0))</f>
        <v>0</v>
      </c>
      <c r="R39" s="188">
        <f>+INDEX(DataEx!$1:$1048576,MATCH('2018'!$A39,DataEx!$D:$D,0),MATCH('2018'!R$6,DataEx!$7:$7,0))</f>
        <v>0</v>
      </c>
      <c r="S39" s="269">
        <f t="shared" si="3"/>
        <v>14505652.589999998</v>
      </c>
      <c r="T39" s="270">
        <f t="shared" si="4"/>
        <v>3.2737485815522802E-3</v>
      </c>
    </row>
    <row r="40" spans="1:22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2859100.45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3639193.72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0</v>
      </c>
      <c r="P40" s="188">
        <f>+INDEX(DataEx!$1:$1048576,MATCH('2018'!$A40,DataEx!$D:$D,0),MATCH('2018'!P$6,DataEx!$7:$7,0))</f>
        <v>0</v>
      </c>
      <c r="Q40" s="188">
        <f>+INDEX(DataEx!$1:$1048576,MATCH('2018'!$A40,DataEx!$D:$D,0),MATCH('2018'!Q$6,DataEx!$7:$7,0))</f>
        <v>0</v>
      </c>
      <c r="R40" s="188">
        <f>+INDEX(DataEx!$1:$1048576,MATCH('2018'!$A40,DataEx!$D:$D,0),MATCH('2018'!R$6,DataEx!$7:$7,0))</f>
        <v>0</v>
      </c>
      <c r="S40" s="269">
        <f t="shared" si="3"/>
        <v>21642193.640000001</v>
      </c>
      <c r="T40" s="270">
        <f t="shared" si="4"/>
        <v>4.8843787131282587E-3</v>
      </c>
    </row>
    <row r="41" spans="1:22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3090956.9800000042</v>
      </c>
      <c r="L41" s="188">
        <f>+INDEX(DataEx!$1:$1048576,MATCH('2018'!$A41,DataEx!$D:$D,0),MATCH('2018'!L$6,DataEx!$7:$7,0))</f>
        <v>7288010.0899999999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0</v>
      </c>
      <c r="P41" s="188">
        <f>+INDEX(DataEx!$1:$1048576,MATCH('2018'!$A41,DataEx!$D:$D,0),MATCH('2018'!P$6,DataEx!$7:$7,0))</f>
        <v>0</v>
      </c>
      <c r="Q41" s="188">
        <f>+INDEX(DataEx!$1:$1048576,MATCH('2018'!$A41,DataEx!$D:$D,0),MATCH('2018'!Q$6,DataEx!$7:$7,0))</f>
        <v>0</v>
      </c>
      <c r="R41" s="188">
        <f>+INDEX(DataEx!$1:$1048576,MATCH('2018'!$A41,DataEx!$D:$D,0),MATCH('2018'!R$6,DataEx!$7:$7,0))</f>
        <v>0</v>
      </c>
      <c r="S41" s="269">
        <f t="shared" si="3"/>
        <v>25262476.220000006</v>
      </c>
      <c r="T41" s="270">
        <f t="shared" si="4"/>
        <v>5.7014322643255339E-3</v>
      </c>
    </row>
    <row r="42" spans="1:22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47054657.780000001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356230003.63999999</v>
      </c>
      <c r="T42" s="273">
        <f t="shared" si="4"/>
        <v>8.0396759944932172E-2</v>
      </c>
    </row>
    <row r="43" spans="1:22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0</v>
      </c>
      <c r="P43" s="188">
        <f>+INDEX(DataEx!$1:$1048576,MATCH('2018'!$A43,DataEx!$D:$D,0),MATCH('2018'!P$6,DataEx!$7:$7,0))</f>
        <v>0</v>
      </c>
      <c r="Q43" s="188">
        <f>+INDEX(DataEx!$1:$1048576,MATCH('2018'!$A43,DataEx!$D:$D,0),MATCH('2018'!Q$6,DataEx!$7:$7,0))</f>
        <v>0</v>
      </c>
      <c r="R43" s="188">
        <f>+INDEX(DataEx!$1:$1048576,MATCH('2018'!$A43,DataEx!$D:$D,0),MATCH('2018'!R$6,DataEx!$7:$7,0))</f>
        <v>0</v>
      </c>
      <c r="S43" s="269">
        <f t="shared" si="3"/>
        <v>50802957.719999999</v>
      </c>
      <c r="T43" s="270">
        <f t="shared" si="4"/>
        <v>1.1465606924101198E-2</v>
      </c>
    </row>
    <row r="44" spans="1:22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0</v>
      </c>
      <c r="P44" s="188">
        <f>+INDEX(DataEx!$1:$1048576,MATCH('2018'!$A44,DataEx!$D:$D,0),MATCH('2018'!P$6,DataEx!$7:$7,0))</f>
        <v>0</v>
      </c>
      <c r="Q44" s="188">
        <f>+INDEX(DataEx!$1:$1048576,MATCH('2018'!$A44,DataEx!$D:$D,0),MATCH('2018'!Q$6,DataEx!$7:$7,0))</f>
        <v>0</v>
      </c>
      <c r="R44" s="188">
        <f>+INDEX(DataEx!$1:$1048576,MATCH('2018'!$A44,DataEx!$D:$D,0),MATCH('2018'!R$6,DataEx!$7:$7,0))</f>
        <v>0</v>
      </c>
      <c r="S44" s="269">
        <f t="shared" si="3"/>
        <v>7955444.2499999991</v>
      </c>
      <c r="T44" s="270">
        <f t="shared" si="4"/>
        <v>1.7954465797016404E-3</v>
      </c>
    </row>
    <row r="45" spans="1:22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0</v>
      </c>
      <c r="P45" s="188">
        <f>+INDEX(DataEx!$1:$1048576,MATCH('2018'!$A45,DataEx!$D:$D,0),MATCH('2018'!P$6,DataEx!$7:$7,0))</f>
        <v>0</v>
      </c>
      <c r="Q45" s="188">
        <f>+INDEX(DataEx!$1:$1048576,MATCH('2018'!$A45,DataEx!$D:$D,0),MATCH('2018'!Q$6,DataEx!$7:$7,0))</f>
        <v>0</v>
      </c>
      <c r="R45" s="188">
        <f>+INDEX(DataEx!$1:$1048576,MATCH('2018'!$A45,DataEx!$D:$D,0),MATCH('2018'!R$6,DataEx!$7:$7,0))</f>
        <v>0</v>
      </c>
      <c r="S45" s="269">
        <f t="shared" si="3"/>
        <v>276484203.20999998</v>
      </c>
      <c r="T45" s="270">
        <f t="shared" si="4"/>
        <v>6.2399107000835043E-2</v>
      </c>
    </row>
    <row r="46" spans="1:22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0</v>
      </c>
      <c r="P46" s="188">
        <f>+INDEX(DataEx!$1:$1048576,MATCH('2018'!$A46,DataEx!$D:$D,0),MATCH('2018'!P$6,DataEx!$7:$7,0))</f>
        <v>0</v>
      </c>
      <c r="Q46" s="188">
        <f>+INDEX(DataEx!$1:$1048576,MATCH('2018'!$A46,DataEx!$D:$D,0),MATCH('2018'!Q$6,DataEx!$7:$7,0))</f>
        <v>0</v>
      </c>
      <c r="R46" s="188">
        <f>+INDEX(DataEx!$1:$1048576,MATCH('2018'!$A46,DataEx!$D:$D,0),MATCH('2018'!R$6,DataEx!$7:$7,0))</f>
        <v>0</v>
      </c>
      <c r="S46" s="269">
        <f t="shared" si="3"/>
        <v>12216828.34</v>
      </c>
      <c r="T46" s="270">
        <f t="shared" si="4"/>
        <v>2.7571889097023176E-3</v>
      </c>
    </row>
    <row r="47" spans="1:22">
      <c r="A47" s="175">
        <v>425</v>
      </c>
      <c r="B47" s="554" t="str">
        <f>+VLOOKUP($A47,Master!$D$25:$G$223,4,FALSE)</f>
        <v>Other Health Care Insurance</v>
      </c>
      <c r="C47" s="555"/>
      <c r="D47" s="555"/>
      <c r="E47" s="555"/>
      <c r="F47" s="555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3555204.14</v>
      </c>
      <c r="O47" s="188">
        <f>+INDEX(DataEx!$1:$1048576,MATCH('2018'!$A47,DataEx!$D:$D,0),MATCH('2018'!O$6,DataEx!$7:$7,0))</f>
        <v>0</v>
      </c>
      <c r="P47" s="188">
        <f>+INDEX(DataEx!$1:$1048576,MATCH('2018'!$A47,DataEx!$D:$D,0),MATCH('2018'!P$6,DataEx!$7:$7,0))</f>
        <v>0</v>
      </c>
      <c r="Q47" s="188">
        <f>+INDEX(DataEx!$1:$1048576,MATCH('2018'!$A47,DataEx!$D:$D,0),MATCH('2018'!Q$6,DataEx!$7:$7,0))</f>
        <v>0</v>
      </c>
      <c r="R47" s="188">
        <f>+INDEX(DataEx!$1:$1048576,MATCH('2018'!$A47,DataEx!$D:$D,0),MATCH('2018'!R$6,DataEx!$7:$7,0))</f>
        <v>0</v>
      </c>
      <c r="S47" s="269">
        <f t="shared" si="3"/>
        <v>8770570.1199999992</v>
      </c>
      <c r="T47" s="270">
        <f t="shared" si="4"/>
        <v>1.9794105305919788E-3</v>
      </c>
    </row>
    <row r="48" spans="1:22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15688793.050000001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0</v>
      </c>
      <c r="P48" s="200">
        <f>+INDEX(DataEx!$1:$1048576,MATCH('2018'!$A48,DataEx!$D:$D,0),MATCH('2018'!P$6,DataEx!$7:$7,0))</f>
        <v>0</v>
      </c>
      <c r="Q48" s="200">
        <f>+INDEX(DataEx!$1:$1048576,MATCH('2018'!$A48,DataEx!$D:$D,0),MATCH('2018'!Q$6,DataEx!$7:$7,0))</f>
        <v>0</v>
      </c>
      <c r="R48" s="274">
        <f>+INDEX(DataEx!$1:$1048576,MATCH('2018'!$A48,DataEx!$D:$D,0),MATCH('2018'!R$6,DataEx!$7:$7,0))</f>
        <v>0</v>
      </c>
      <c r="S48" s="272">
        <f t="shared" si="3"/>
        <v>124752016.02000001</v>
      </c>
      <c r="T48" s="273">
        <f t="shared" si="4"/>
        <v>2.8155005985240022E-2</v>
      </c>
    </row>
    <row r="49" spans="1:22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19994287.210000001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0</v>
      </c>
      <c r="P49" s="200">
        <f>+INDEX(DataEx!$1:$1048576,MATCH('2018'!$A49,DataEx!$D:$D,0),MATCH('2018'!P$6,DataEx!$7:$7,0))</f>
        <v>0</v>
      </c>
      <c r="Q49" s="200">
        <f>+INDEX(DataEx!$1:$1048576,MATCH('2018'!$A49,DataEx!$D:$D,0),MATCH('2018'!Q$6,DataEx!$7:$7,0))</f>
        <v>0</v>
      </c>
      <c r="R49" s="200">
        <f>+INDEX(DataEx!$1:$1048576,MATCH('2018'!$A49,DataEx!$D:$D,0),MATCH('2018'!R$6,DataEx!$7:$7,0))</f>
        <v>0</v>
      </c>
      <c r="S49" s="272">
        <f t="shared" si="3"/>
        <v>106196147.32999998</v>
      </c>
      <c r="T49" s="273">
        <f t="shared" si="4"/>
        <v>2.3967173109300591E-2</v>
      </c>
    </row>
    <row r="50" spans="1:22">
      <c r="A50" s="175">
        <v>451</v>
      </c>
      <c r="B50" s="548" t="str">
        <f>+VLOOKUP($A50,Master!$D$25:$G$223,4,FALSE)</f>
        <v>Credits and Borrowings</v>
      </c>
      <c r="C50" s="549"/>
      <c r="D50" s="549"/>
      <c r="E50" s="549"/>
      <c r="F50" s="549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0</v>
      </c>
      <c r="P50" s="188">
        <f>+INDEX(DataEx!$1:$1048576,MATCH('2018'!$A50,DataEx!$D:$D,0),MATCH('2018'!P$6,DataEx!$7:$7,0))</f>
        <v>0</v>
      </c>
      <c r="Q50" s="188">
        <f>+INDEX(DataEx!$1:$1048576,MATCH('2018'!$A50,DataEx!$D:$D,0),MATCH('2018'!Q$6,DataEx!$7:$7,0))</f>
        <v>0</v>
      </c>
      <c r="R50" s="188">
        <f>+INDEX(DataEx!$1:$1048576,MATCH('2018'!$A50,DataEx!$D:$D,0),MATCH('2018'!R$6,DataEx!$7:$7,0))</f>
        <v>0</v>
      </c>
      <c r="S50" s="269">
        <f t="shared" si="3"/>
        <v>1584891</v>
      </c>
      <c r="T50" s="270">
        <f t="shared" si="4"/>
        <v>3.5769053691123701E-4</v>
      </c>
    </row>
    <row r="51" spans="1:22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1800352.01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0</v>
      </c>
      <c r="P51" s="188">
        <f>+INDEX(DataEx!$1:$1048576,MATCH('2018'!$A51,DataEx!$D:$D,0),MATCH('2018'!P$6,DataEx!$7:$7,0))</f>
        <v>0</v>
      </c>
      <c r="Q51" s="188">
        <f>+INDEX(DataEx!$1:$1048576,MATCH('2018'!$A51,DataEx!$D:$D,0),MATCH('2018'!Q$6,DataEx!$7:$7,0))</f>
        <v>0</v>
      </c>
      <c r="R51" s="188">
        <f>+INDEX(DataEx!$1:$1048576,MATCH('2018'!$A51,DataEx!$D:$D,0),MATCH('2018'!R$6,DataEx!$7:$7,0))</f>
        <v>0</v>
      </c>
      <c r="S51" s="269">
        <f t="shared" si="3"/>
        <v>11167953.23</v>
      </c>
      <c r="T51" s="270">
        <f t="shared" si="4"/>
        <v>2.5204706109368301E-3</v>
      </c>
    </row>
    <row r="52" spans="1:22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0" t="str">
        <f>+VLOOKUP($A53,Master!$D$25:$G$223,4,TRUE)</f>
        <v>Repayments of Arrears</v>
      </c>
      <c r="C53" s="551"/>
      <c r="D53" s="551"/>
      <c r="E53" s="551"/>
      <c r="F53" s="551"/>
      <c r="G53" s="224">
        <f>+INDEX(DataEx!$1:$1048576,MATCH('2018'!$A53,DataEx!$D:$D,0),MATCH('2018'!G$6,DataEx!$7:$7,0))</f>
        <v>1671507.81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2459675.87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4527449.25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0</v>
      </c>
      <c r="P53" s="224">
        <f>+INDEX(DataEx!$1:$1048576,MATCH('2018'!$A53,DataEx!$D:$D,0),MATCH('2018'!P$6,DataEx!$7:$7,0))</f>
        <v>0</v>
      </c>
      <c r="Q53" s="224">
        <f>+INDEX(DataEx!$1:$1048576,MATCH('2018'!$A53,DataEx!$D:$D,0),MATCH('2018'!Q$6,DataEx!$7:$7,0))</f>
        <v>0</v>
      </c>
      <c r="R53" s="224">
        <f>+INDEX(DataEx!$1:$1048576,MATCH('2018'!$A53,DataEx!$D:$D,0),MATCH('2018'!R$6,DataEx!$7:$7,0))</f>
        <v>0</v>
      </c>
      <c r="S53" s="445">
        <f>+SUM(G53:R53)</f>
        <v>17096921.379999999</v>
      </c>
      <c r="T53" s="284">
        <f>+S53/$T$7</f>
        <v>3.858566291272653E-3</v>
      </c>
    </row>
    <row r="54" spans="1:22" ht="13.5" thickBot="1">
      <c r="A54" s="71">
        <v>1005</v>
      </c>
      <c r="B54" s="552" t="str">
        <f>+VLOOKUP($A54,Master!$D$25:$G$225,4,FALSE)</f>
        <v>Net increase of liabilities</v>
      </c>
      <c r="C54" s="553"/>
      <c r="D54" s="553"/>
      <c r="E54" s="553"/>
      <c r="F54" s="553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 t="shared" ref="G55:R55" si="9">+G10-G29</f>
        <v>-24555818.700000003</v>
      </c>
      <c r="H55" s="176">
        <f t="shared" si="9"/>
        <v>-11936273.369999975</v>
      </c>
      <c r="I55" s="176">
        <f t="shared" si="9"/>
        <v>-33549638.360000044</v>
      </c>
      <c r="J55" s="176">
        <f t="shared" si="9"/>
        <v>9171098.8400000036</v>
      </c>
      <c r="K55" s="176">
        <f t="shared" si="9"/>
        <v>-2919925.2200000584</v>
      </c>
      <c r="L55" s="176">
        <f t="shared" si="9"/>
        <v>-21320867.779999971</v>
      </c>
      <c r="M55" s="176">
        <f t="shared" si="9"/>
        <v>4781598.8400000036</v>
      </c>
      <c r="N55" s="176">
        <f t="shared" si="9"/>
        <v>34063895.64000006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-46265930.109999985</v>
      </c>
      <c r="T55" s="286">
        <f t="shared" si="4"/>
        <v>-1.044165521902999E-2</v>
      </c>
    </row>
    <row r="56" spans="1:22" ht="13.5" thickBot="1">
      <c r="A56" s="169">
        <v>1001</v>
      </c>
      <c r="B56" s="479" t="str">
        <f>+VLOOKUP($A56,Master!$D$25:$G$223,4,FALSE)</f>
        <v>Primary balance</v>
      </c>
      <c r="C56" s="480"/>
      <c r="D56" s="480"/>
      <c r="E56" s="480"/>
      <c r="F56" s="480"/>
      <c r="G56" s="230">
        <f>+G55+G37</f>
        <v>-20231741.150000002</v>
      </c>
      <c r="H56" s="230">
        <f t="shared" ref="H56:R56" si="10">+H55+H37</f>
        <v>-10885472.139999975</v>
      </c>
      <c r="I56" s="230">
        <f t="shared" si="10"/>
        <v>5965038.3499999568</v>
      </c>
      <c r="J56" s="230">
        <f t="shared" si="10"/>
        <v>10799287.840000004</v>
      </c>
      <c r="K56" s="230">
        <f t="shared" si="10"/>
        <v>7144883.8399999421</v>
      </c>
      <c r="L56" s="230">
        <f t="shared" si="10"/>
        <v>-19482147.149999972</v>
      </c>
      <c r="M56" s="230">
        <f t="shared" si="10"/>
        <v>12272223.160000004</v>
      </c>
      <c r="N56" s="230">
        <f t="shared" si="10"/>
        <v>35163704.810000062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20745777.560000017</v>
      </c>
      <c r="T56" s="286">
        <f t="shared" si="4"/>
        <v>4.6820685549211257E-3</v>
      </c>
    </row>
    <row r="57" spans="1:22">
      <c r="A57" s="169">
        <v>46</v>
      </c>
      <c r="B57" s="546" t="str">
        <f>+VLOOKUP($A57,Master!$D$25:$G$223,4,FALSE)</f>
        <v>Repayment of Debt</v>
      </c>
      <c r="C57" s="547"/>
      <c r="D57" s="547"/>
      <c r="E57" s="547"/>
      <c r="F57" s="547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19981471.990000002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39580105.140000001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230972750.94999999</v>
      </c>
      <c r="T57" s="288">
        <f t="shared" si="4"/>
        <v>5.2127728215486696E-2</v>
      </c>
      <c r="V57" s="383"/>
    </row>
    <row r="58" spans="1:22">
      <c r="A58" s="169">
        <v>4611</v>
      </c>
      <c r="B58" s="469" t="str">
        <f>+VLOOKUP($A58,Master!$D$25:$G$223,4,FALSE)</f>
        <v>Repayment of Domestic Debt</v>
      </c>
      <c r="C58" s="470"/>
      <c r="D58" s="470"/>
      <c r="E58" s="470"/>
      <c r="F58" s="470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36932773.740000002</v>
      </c>
      <c r="O58" s="236">
        <f>+INDEX(DataEx!$1:$1048576,MATCH('2018'!$A58,DataEx!$D:$D,0),MATCH('2018'!O$6,DataEx!$7:$7,0))</f>
        <v>0</v>
      </c>
      <c r="P58" s="236">
        <f>+INDEX(DataEx!$1:$1048576,MATCH('2018'!$A58,DataEx!$D:$D,0),MATCH('2018'!P$6,DataEx!$7:$7,0))</f>
        <v>0</v>
      </c>
      <c r="Q58" s="236">
        <f>+INDEX(DataEx!$1:$1048576,MATCH('2018'!$A58,DataEx!$D:$D,0),MATCH('2018'!Q$6,DataEx!$7:$7,0))</f>
        <v>0</v>
      </c>
      <c r="R58" s="236">
        <f>+INDEX(DataEx!$1:$1048576,MATCH('2018'!$A58,DataEx!$D:$D,0),MATCH('2018'!R$6,DataEx!$7:$7,0))</f>
        <v>0</v>
      </c>
      <c r="S58" s="289">
        <f t="shared" si="3"/>
        <v>169318829.76000002</v>
      </c>
      <c r="T58" s="290">
        <f t="shared" si="4"/>
        <v>3.8213191396781698E-2</v>
      </c>
    </row>
    <row r="59" spans="1:22" ht="13.5" thickBot="1">
      <c r="A59" s="169">
        <v>4612</v>
      </c>
      <c r="B59" s="453" t="str">
        <f>+VLOOKUP($A59,Master!$D$25:$G$223,4,FALSE)</f>
        <v>Repayment of Foreign Debt</v>
      </c>
      <c r="C59" s="454"/>
      <c r="D59" s="454"/>
      <c r="E59" s="454"/>
      <c r="F59" s="454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17749813.48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0</v>
      </c>
      <c r="P59" s="236">
        <f>+INDEX(DataEx!$1:$1048576,MATCH('2018'!$A59,DataEx!$D:$D,0),MATCH('2018'!P$6,DataEx!$7:$7,0))</f>
        <v>0</v>
      </c>
      <c r="Q59" s="236">
        <f>+INDEX(DataEx!$1:$1048576,MATCH('2018'!$A59,DataEx!$D:$D,0),MATCH('2018'!Q$6,DataEx!$7:$7,0))</f>
        <v>0</v>
      </c>
      <c r="R59" s="236">
        <f>+INDEX(DataEx!$1:$1048576,MATCH('2018'!$A59,DataEx!$D:$D,0),MATCH('2018'!R$6,DataEx!$7:$7,0))</f>
        <v>0</v>
      </c>
      <c r="S59" s="289">
        <f t="shared" si="3"/>
        <v>61653921.189999998</v>
      </c>
      <c r="T59" s="290">
        <f t="shared" si="4"/>
        <v>1.3914536818705003E-2</v>
      </c>
      <c r="V59" s="402"/>
    </row>
    <row r="60" spans="1:22" ht="13.5" thickBot="1">
      <c r="A60" s="169">
        <v>4418</v>
      </c>
      <c r="B60" s="489" t="s">
        <v>777</v>
      </c>
      <c r="C60" s="490"/>
      <c r="D60" s="490"/>
      <c r="E60" s="490"/>
      <c r="F60" s="490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0</v>
      </c>
      <c r="S60" s="287">
        <f>SUM(G60:R60)</f>
        <v>68939595.359999999</v>
      </c>
      <c r="T60" s="288">
        <f>+S60/$T$7</f>
        <v>1.5558824473583244E-2</v>
      </c>
      <c r="V60" s="402"/>
    </row>
    <row r="61" spans="1:22" ht="13.5" thickBot="1">
      <c r="A61" s="169">
        <v>1002</v>
      </c>
      <c r="B61" s="473" t="str">
        <f>+VLOOKUP($A61,Master!$D$25:$G$223,4,FALSE)</f>
        <v>Financing needs</v>
      </c>
      <c r="C61" s="474"/>
      <c r="D61" s="474"/>
      <c r="E61" s="474"/>
      <c r="F61" s="474"/>
      <c r="G61" s="242">
        <f>+G55-G57-G60</f>
        <v>-50755983.680000007</v>
      </c>
      <c r="H61" s="242">
        <f t="shared" ref="H61:R61" si="12">+H55-H57-H60</f>
        <v>-66425245.129999973</v>
      </c>
      <c r="I61" s="242">
        <f t="shared" si="12"/>
        <v>-52615662.850000046</v>
      </c>
      <c r="J61" s="242">
        <f t="shared" si="12"/>
        <v>-10810373.149999999</v>
      </c>
      <c r="K61" s="242">
        <f t="shared" si="12"/>
        <v>-86620216.340000063</v>
      </c>
      <c r="L61" s="242">
        <f t="shared" si="12"/>
        <v>-34250418.589999974</v>
      </c>
      <c r="M61" s="242">
        <f t="shared" si="12"/>
        <v>-39184167.18</v>
      </c>
      <c r="N61" s="242">
        <f t="shared" si="12"/>
        <v>-5516209.4999999404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-346178276.42000002</v>
      </c>
      <c r="T61" s="292">
        <f t="shared" si="4"/>
        <v>-7.8128207908099934E-2</v>
      </c>
    </row>
    <row r="62" spans="1:22" ht="13.5" thickBot="1">
      <c r="A62" s="169">
        <v>1003</v>
      </c>
      <c r="B62" s="475" t="str">
        <f>+VLOOKUP($A62,Master!$D$25:$G$223,4,FALSE)</f>
        <v>Financing</v>
      </c>
      <c r="C62" s="476"/>
      <c r="D62" s="476"/>
      <c r="E62" s="476"/>
      <c r="F62" s="476"/>
      <c r="G62" s="176">
        <f>+SUM(G63:G66)</f>
        <v>50755983.680000007</v>
      </c>
      <c r="H62" s="176">
        <f t="shared" ref="H62:R62" si="13">+SUM(H63:H66)</f>
        <v>66425245.129999973</v>
      </c>
      <c r="I62" s="176">
        <f t="shared" si="13"/>
        <v>52615662.850000046</v>
      </c>
      <c r="J62" s="176">
        <f t="shared" si="13"/>
        <v>10810373.149999991</v>
      </c>
      <c r="K62" s="176">
        <f t="shared" si="13"/>
        <v>86620216.340000063</v>
      </c>
      <c r="L62" s="176">
        <f t="shared" si="13"/>
        <v>34250418.589999974</v>
      </c>
      <c r="M62" s="176">
        <f t="shared" si="13"/>
        <v>39184167.18</v>
      </c>
      <c r="N62" s="176">
        <f t="shared" si="13"/>
        <v>5516209.4999999404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346178276.41999996</v>
      </c>
      <c r="T62" s="294">
        <f t="shared" si="4"/>
        <v>7.812820790809992E-2</v>
      </c>
    </row>
    <row r="63" spans="1:22">
      <c r="A63" s="169">
        <v>7511</v>
      </c>
      <c r="B63" s="469" t="str">
        <f>+VLOOKUP($A63,Master!$D$25:$G$223,4,FALSE)</f>
        <v>Domestic Loans and Borrowings</v>
      </c>
      <c r="C63" s="470"/>
      <c r="D63" s="470"/>
      <c r="E63" s="470"/>
      <c r="F63" s="470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75357443.420000002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197600000</v>
      </c>
      <c r="T63" s="290">
        <f t="shared" si="4"/>
        <v>4.459590602360694E-2</v>
      </c>
    </row>
    <row r="64" spans="1:22">
      <c r="A64" s="169">
        <v>7512</v>
      </c>
      <c r="B64" s="453" t="str">
        <f>+VLOOKUP($A64,Master!$D$25:$G$223,4,FALSE)</f>
        <v>Foreign Loans and Borrowings</v>
      </c>
      <c r="C64" s="454"/>
      <c r="D64" s="454"/>
      <c r="E64" s="454"/>
      <c r="F64" s="454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5238085.6500000004</v>
      </c>
      <c r="J64" s="236">
        <f>+INDEX(DataEx!$1:$1048576,MATCH('2018'!$A64,DataEx!$D:$D,0),MATCH('2018'!J$6,DataEx!$7:$7,0))</f>
        <v>125398354.06999999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266114636.84999999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204639.39</v>
      </c>
      <c r="O64" s="236">
        <f>+INDEX(DataEx!$1:$1048576,MATCH('2018'!$A64,DataEx!$D:$D,0),MATCH('2018'!O$6,DataEx!$7:$7,0))</f>
        <v>0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420403771.85999995</v>
      </c>
      <c r="T64" s="290">
        <f t="shared" si="4"/>
        <v>9.4879995454648036E-2</v>
      </c>
    </row>
    <row r="65" spans="1:20">
      <c r="A65" s="169">
        <v>72</v>
      </c>
      <c r="B65" s="453" t="str">
        <f>+VLOOKUP($A65,Master!$D$25:$G$223,4,FALSE)</f>
        <v>Revenues from Selling Assets</v>
      </c>
      <c r="C65" s="454"/>
      <c r="D65" s="454"/>
      <c r="E65" s="454"/>
      <c r="F65" s="454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0</v>
      </c>
      <c r="P65" s="236">
        <f>+INDEX(DataEx!$1:$1048576,MATCH('2018'!$A65,DataEx!$D:$D,0),MATCH('2018'!P$6,DataEx!$7:$7,0))</f>
        <v>0</v>
      </c>
      <c r="Q65" s="236">
        <f>+INDEX(DataEx!$1:$1048576,MATCH('2018'!$A65,DataEx!$D:$D,0),MATCH('2018'!Q$6,DataEx!$7:$7,0))</f>
        <v>0</v>
      </c>
      <c r="R65" s="236">
        <f>+INDEX(DataEx!$1:$1048576,MATCH('2018'!$A65,DataEx!$D:$D,0),MATCH('2018'!R$6,DataEx!$7:$7,0))</f>
        <v>0</v>
      </c>
      <c r="S65" s="289">
        <f t="shared" si="3"/>
        <v>14053468.210000001</v>
      </c>
      <c r="T65" s="290">
        <f t="shared" si="4"/>
        <v>3.1716960910875896E-3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25863047.080000006</v>
      </c>
      <c r="H66" s="250">
        <f t="shared" ref="H66:R66" si="14">-H61-SUM(H63:H65)</f>
        <v>-9396323.6700000241</v>
      </c>
      <c r="I66" s="250">
        <f t="shared" si="14"/>
        <v>24327705.940000042</v>
      </c>
      <c r="J66" s="250">
        <f t="shared" si="14"/>
        <v>-114696254.03</v>
      </c>
      <c r="K66" s="250">
        <f t="shared" si="14"/>
        <v>78731298.080000058</v>
      </c>
      <c r="L66" s="250">
        <f t="shared" si="14"/>
        <v>-242176335.39000005</v>
      </c>
      <c r="M66" s="250">
        <f t="shared" si="14"/>
        <v>5414258.1799999997</v>
      </c>
      <c r="N66" s="250">
        <f t="shared" si="14"/>
        <v>-53946359.840000063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-285878963.64999998</v>
      </c>
      <c r="T66" s="296">
        <f t="shared" si="4"/>
        <v>-6.4519389661242627E-2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7" t="str">
        <f>+Master!G250</f>
        <v>Planned Budget Execution</v>
      </c>
      <c r="C102" s="538"/>
      <c r="D102" s="538"/>
      <c r="E102" s="538"/>
      <c r="F102" s="538"/>
      <c r="G102" s="531">
        <v>2018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GDP</v>
      </c>
      <c r="T102" s="116">
        <f>+T7</f>
        <v>4430900000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6">+G8</f>
        <v>January</v>
      </c>
      <c r="H103" s="73" t="str">
        <f t="shared" si="16"/>
        <v>February</v>
      </c>
      <c r="I103" s="73" t="str">
        <f t="shared" si="16"/>
        <v>March</v>
      </c>
      <c r="J103" s="73" t="str">
        <f t="shared" si="16"/>
        <v>April</v>
      </c>
      <c r="K103" s="73" t="str">
        <f t="shared" si="16"/>
        <v>May</v>
      </c>
      <c r="L103" s="73" t="str">
        <f t="shared" si="16"/>
        <v>June</v>
      </c>
      <c r="M103" s="73" t="str">
        <f t="shared" si="16"/>
        <v>July</v>
      </c>
      <c r="N103" s="73" t="str">
        <f t="shared" si="16"/>
        <v>August</v>
      </c>
      <c r="O103" s="73" t="str">
        <f t="shared" si="16"/>
        <v>September</v>
      </c>
      <c r="P103" s="73" t="str">
        <f t="shared" si="16"/>
        <v>October</v>
      </c>
      <c r="Q103" s="73" t="str">
        <f t="shared" si="16"/>
        <v>November</v>
      </c>
      <c r="R103" s="73" t="str">
        <f t="shared" si="16"/>
        <v>December</v>
      </c>
      <c r="S103" s="531" t="str">
        <f>+Master!G244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7">+CONCATENATE(A10,"p")</f>
        <v>7p</v>
      </c>
      <c r="B105" s="533" t="str">
        <f>+VLOOKUP(LEFT($A105,LEN(A105)-1)*1,Master!$D$25:$G$223,4,FALSE)</f>
        <v>Total Revenues</v>
      </c>
      <c r="C105" s="534"/>
      <c r="D105" s="534"/>
      <c r="E105" s="534"/>
      <c r="F105" s="534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0.39653416261576935</v>
      </c>
    </row>
    <row r="106" spans="1:21">
      <c r="A106" s="137" t="str">
        <f t="shared" si="17"/>
        <v>711p</v>
      </c>
      <c r="B106" s="535" t="str">
        <f>+VLOOKUP(LEFT($A106,LEN(A106)-1)*1,Master!$D$25:$G$223,4,FALSE)</f>
        <v>Taxes</v>
      </c>
      <c r="C106" s="536"/>
      <c r="D106" s="536"/>
      <c r="E106" s="536"/>
      <c r="F106" s="536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0.2433810714295489</v>
      </c>
      <c r="U106" s="302"/>
    </row>
    <row r="107" spans="1:21">
      <c r="A107" s="137" t="str">
        <f t="shared" si="17"/>
        <v>7111p</v>
      </c>
      <c r="B107" s="517" t="str">
        <f>+VLOOKUP(LEFT($A107,LEN(A107)-1)*1,Master!$D$25:$G$223,4,FALSE)</f>
        <v>Personal Income Tax</v>
      </c>
      <c r="C107" s="518"/>
      <c r="D107" s="518"/>
      <c r="E107" s="518"/>
      <c r="F107" s="518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2.7389393163553131E-2</v>
      </c>
    </row>
    <row r="108" spans="1:21">
      <c r="A108" s="137" t="str">
        <f t="shared" si="17"/>
        <v>7112p</v>
      </c>
      <c r="B108" s="517" t="str">
        <f>+VLOOKUP(LEFT($A108,LEN(A108)-1)*1,Master!$D$25:$G$223,4,FALSE)</f>
        <v>Corporate Income Tax</v>
      </c>
      <c r="C108" s="518"/>
      <c r="D108" s="518"/>
      <c r="E108" s="518"/>
      <c r="F108" s="518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1.3920053571600954E-2</v>
      </c>
    </row>
    <row r="109" spans="1:21">
      <c r="A109" s="137" t="str">
        <f t="shared" si="17"/>
        <v>7113p</v>
      </c>
      <c r="B109" s="517" t="str">
        <f>+VLOOKUP(LEFT($A109,LEN(A109)-1)*1,Master!$D$25:$G$223,4,FALSE)</f>
        <v xml:space="preserve">Taxes on Sales of Property </v>
      </c>
      <c r="C109" s="518"/>
      <c r="D109" s="518"/>
      <c r="E109" s="518"/>
      <c r="F109" s="518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4.1862784773715486E-4</v>
      </c>
    </row>
    <row r="110" spans="1:21">
      <c r="A110" s="137" t="str">
        <f t="shared" si="17"/>
        <v>7114p</v>
      </c>
      <c r="B110" s="517" t="str">
        <f>+VLOOKUP(LEFT($A110,LEN(A110)-1)*1,Master!$D$25:$G$223,4,FALSE)</f>
        <v>Value Added Tax</v>
      </c>
      <c r="C110" s="518"/>
      <c r="D110" s="518"/>
      <c r="E110" s="518"/>
      <c r="F110" s="518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0.14091759733264006</v>
      </c>
    </row>
    <row r="111" spans="1:21">
      <c r="A111" s="137" t="str">
        <f t="shared" si="17"/>
        <v>7115p</v>
      </c>
      <c r="B111" s="517" t="str">
        <f>+VLOOKUP(LEFT($A111,LEN(A111)-1)*1,Master!$D$25:$G$223,4,FALSE)</f>
        <v>Excises</v>
      </c>
      <c r="C111" s="518"/>
      <c r="D111" s="518"/>
      <c r="E111" s="518"/>
      <c r="F111" s="518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5.2517057695824099E-2</v>
      </c>
    </row>
    <row r="112" spans="1:21">
      <c r="A112" s="137" t="str">
        <f t="shared" si="17"/>
        <v>7116p</v>
      </c>
      <c r="B112" s="517" t="str">
        <f>+VLOOKUP(LEFT($A112,LEN(A112)-1)*1,Master!$D$25:$G$223,4,FALSE)</f>
        <v>Tax on International Trade and Transactions</v>
      </c>
      <c r="C112" s="518"/>
      <c r="D112" s="518"/>
      <c r="E112" s="518"/>
      <c r="F112" s="518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6.061974966202829E-3</v>
      </c>
    </row>
    <row r="113" spans="1:20">
      <c r="A113" s="137" t="str">
        <f t="shared" si="17"/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2.1563668519906966E-3</v>
      </c>
    </row>
    <row r="114" spans="1:20">
      <c r="A114" s="137" t="str">
        <f t="shared" si="17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0.11786630908402237</v>
      </c>
    </row>
    <row r="115" spans="1:20">
      <c r="A115" s="137" t="str">
        <f t="shared" si="17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7.0977931111636625E-2</v>
      </c>
    </row>
    <row r="116" spans="1:20">
      <c r="A116" s="137" t="str">
        <f t="shared" si="17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4.0826034089370598E-2</v>
      </c>
    </row>
    <row r="117" spans="1:20">
      <c r="A117" s="137" t="str">
        <f t="shared" si="17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3.1932906685639114E-3</v>
      </c>
    </row>
    <row r="118" spans="1:20">
      <c r="A118" s="137" t="str">
        <f t="shared" si="17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2.8690532144512431E-3</v>
      </c>
    </row>
    <row r="119" spans="1:20">
      <c r="A119" s="137" t="str">
        <f t="shared" si="17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3.9947794778089924E-3</v>
      </c>
    </row>
    <row r="120" spans="1:20">
      <c r="A120" s="137" t="str">
        <f t="shared" si="17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6.348174433441353E-3</v>
      </c>
    </row>
    <row r="121" spans="1:20">
      <c r="A121" s="137" t="str">
        <f t="shared" si="17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1.6189240260394196E-2</v>
      </c>
    </row>
    <row r="122" spans="1:20">
      <c r="A122" s="137" t="str">
        <f t="shared" si="17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1.6390156041972306E-3</v>
      </c>
    </row>
    <row r="123" spans="1:20" ht="13.5" thickBot="1">
      <c r="A123" s="137" t="str">
        <f t="shared" si="17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7.1155723263562932E-3</v>
      </c>
    </row>
    <row r="124" spans="1:20" ht="13.5" thickBot="1">
      <c r="A124" s="137" t="str">
        <f t="shared" si="17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158107547.35211113</v>
      </c>
      <c r="P124" s="97">
        <f t="shared" si="23"/>
        <v>158107547.35211113</v>
      </c>
      <c r="Q124" s="97">
        <f t="shared" si="23"/>
        <v>158607547.35544446</v>
      </c>
      <c r="R124" s="97">
        <f t="shared" si="23"/>
        <v>158607547.34544447</v>
      </c>
      <c r="S124" s="131">
        <f>+SUM(G124:R124)</f>
        <v>1834390469.142</v>
      </c>
      <c r="T124" s="132">
        <f t="shared" si="21"/>
        <v>0.413999519091381</v>
      </c>
    </row>
    <row r="125" spans="1:20" ht="13.5" thickBot="1">
      <c r="A125" s="137" t="str">
        <f t="shared" si="17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131117130.68544447</v>
      </c>
      <c r="P125" s="80">
        <f t="shared" si="24"/>
        <v>131117130.68544447</v>
      </c>
      <c r="Q125" s="80">
        <f t="shared" si="24"/>
        <v>131117130.68544446</v>
      </c>
      <c r="R125" s="80">
        <f t="shared" si="24"/>
        <v>131117130.68544447</v>
      </c>
      <c r="S125" s="133">
        <f t="shared" si="20"/>
        <v>1542615469.1453333</v>
      </c>
      <c r="T125" s="134">
        <f t="shared" si="21"/>
        <v>0.34814946605550412</v>
      </c>
    </row>
    <row r="126" spans="1:20">
      <c r="A126" s="137" t="str">
        <f t="shared" si="17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68385342.175944448</v>
      </c>
      <c r="P126" s="89">
        <f t="shared" si="25"/>
        <v>68385342.175944448</v>
      </c>
      <c r="Q126" s="89">
        <f t="shared" si="25"/>
        <v>68385342.175944448</v>
      </c>
      <c r="R126" s="90">
        <f t="shared" si="25"/>
        <v>68385342.175944448</v>
      </c>
      <c r="S126" s="123">
        <f t="shared" si="20"/>
        <v>783131546.35533345</v>
      </c>
      <c r="T126" s="124">
        <f t="shared" si="21"/>
        <v>0.17674322290174307</v>
      </c>
    </row>
    <row r="127" spans="1:20">
      <c r="A127" s="137" t="str">
        <f t="shared" si="17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36581480.009166665</v>
      </c>
      <c r="P127" s="91">
        <f>+SUM(DataEx!FC265)</f>
        <v>36581480.009166665</v>
      </c>
      <c r="Q127" s="91">
        <f>+SUM(DataEx!FD265)</f>
        <v>36581480.009166665</v>
      </c>
      <c r="R127" s="91">
        <f>+SUM(DataEx!FE265)</f>
        <v>36581480.009166665</v>
      </c>
      <c r="S127" s="125">
        <f t="shared" si="20"/>
        <v>438977760.10999995</v>
      </c>
      <c r="T127" s="126">
        <f t="shared" si="21"/>
        <v>9.9071917693922221E-2</v>
      </c>
    </row>
    <row r="128" spans="1:20">
      <c r="A128" s="137" t="str">
        <f t="shared" si="17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1064654.7372222226</v>
      </c>
      <c r="P128" s="91">
        <f>+SUM(DataEx!FC271)</f>
        <v>1064654.7372222226</v>
      </c>
      <c r="Q128" s="91">
        <f>+SUM(DataEx!FD271)</f>
        <v>1064654.7372222226</v>
      </c>
      <c r="R128" s="91">
        <f>+SUM(DataEx!FE271)</f>
        <v>1064654.7372222226</v>
      </c>
      <c r="S128" s="125">
        <f t="shared" si="20"/>
        <v>12719190.180000003</v>
      </c>
      <c r="T128" s="126">
        <f t="shared" si="21"/>
        <v>2.870565839897087E-3</v>
      </c>
    </row>
    <row r="129" spans="1:20">
      <c r="A129" s="137" t="str">
        <f t="shared" si="17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3644059.9819999994</v>
      </c>
      <c r="P129" s="91">
        <f>+SUM(DataEx!FC279)</f>
        <v>3644059.9819999994</v>
      </c>
      <c r="Q129" s="91">
        <f>+SUM(DataEx!FD279)</f>
        <v>3644059.9819999994</v>
      </c>
      <c r="R129" s="91">
        <f>+SUM(DataEx!FE279)</f>
        <v>3644059.9819999994</v>
      </c>
      <c r="S129" s="125">
        <f t="shared" si="20"/>
        <v>36440599.82</v>
      </c>
      <c r="T129" s="126">
        <f t="shared" si="21"/>
        <v>8.2241982035252438E-3</v>
      </c>
    </row>
    <row r="130" spans="1:20">
      <c r="A130" s="137" t="str">
        <f t="shared" si="17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6090741.9951111097</v>
      </c>
      <c r="P130" s="91">
        <f>+SUM(DataEx!FC286)</f>
        <v>6090741.9951111097</v>
      </c>
      <c r="Q130" s="91">
        <f>+SUM(DataEx!FD286)</f>
        <v>6090741.9951111097</v>
      </c>
      <c r="R130" s="91">
        <f>+SUM(DataEx!FE286)</f>
        <v>6090741.9951111097</v>
      </c>
      <c r="S130" s="125">
        <f t="shared" si="20"/>
        <v>60796308.839999974</v>
      </c>
      <c r="T130" s="126">
        <f t="shared" si="21"/>
        <v>1.372098418831388E-2</v>
      </c>
    </row>
    <row r="131" spans="1:20">
      <c r="A131" s="137" t="str">
        <f t="shared" si="17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1860319.3983333334</v>
      </c>
      <c r="P131" s="91">
        <f>+SUM(DataEx!FC296)</f>
        <v>1860319.3983333334</v>
      </c>
      <c r="Q131" s="91">
        <f>+SUM(DataEx!FD296)</f>
        <v>1860319.3983333334</v>
      </c>
      <c r="R131" s="91">
        <f>+SUM(DataEx!FE296)</f>
        <v>1860319.3983333334</v>
      </c>
      <c r="S131" s="125">
        <f t="shared" si="20"/>
        <v>22323832.780000001</v>
      </c>
      <c r="T131" s="126">
        <f t="shared" si="21"/>
        <v>5.0382163397955275E-3</v>
      </c>
    </row>
    <row r="132" spans="1:20">
      <c r="A132" s="137" t="str">
        <f t="shared" si="17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7122725</v>
      </c>
      <c r="P132" s="91">
        <f>+SUM(DataEx!FC300)</f>
        <v>7122725</v>
      </c>
      <c r="Q132" s="91">
        <f>+SUM(DataEx!FD300)</f>
        <v>7122725</v>
      </c>
      <c r="R132" s="91">
        <f>+SUM(DataEx!FE300)</f>
        <v>7122725</v>
      </c>
      <c r="S132" s="125">
        <f t="shared" si="20"/>
        <v>85472700</v>
      </c>
      <c r="T132" s="126">
        <f t="shared" si="21"/>
        <v>1.9290144214493668E-2</v>
      </c>
    </row>
    <row r="133" spans="1:20">
      <c r="A133" s="137" t="str">
        <f t="shared" si="17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800010.93333333347</v>
      </c>
      <c r="P133" s="91">
        <f>+SUM(DataEx!FC303)</f>
        <v>800010.93333333347</v>
      </c>
      <c r="Q133" s="91">
        <f>+SUM(DataEx!FD303)</f>
        <v>800010.93333333347</v>
      </c>
      <c r="R133" s="91">
        <f>+SUM(DataEx!FE303)</f>
        <v>800010.93333333347</v>
      </c>
      <c r="S133" s="125">
        <f t="shared" si="20"/>
        <v>9600131.2000000011</v>
      </c>
      <c r="T133" s="126">
        <f t="shared" si="21"/>
        <v>2.1666323320318672E-3</v>
      </c>
    </row>
    <row r="134" spans="1:20">
      <c r="A134" s="137" t="str">
        <f t="shared" si="17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2250983.3333333335</v>
      </c>
      <c r="P134" s="91">
        <f>+SUM(DataEx!FC307)</f>
        <v>2250983.3333333335</v>
      </c>
      <c r="Q134" s="91">
        <f>+SUM(DataEx!FD307)</f>
        <v>2250983.3333333335</v>
      </c>
      <c r="R134" s="91">
        <f>+SUM(DataEx!FE307)</f>
        <v>2250983.3333333335</v>
      </c>
      <c r="S134" s="125">
        <f t="shared" si="20"/>
        <v>27011799.999999996</v>
      </c>
      <c r="T134" s="126">
        <f t="shared" si="21"/>
        <v>6.0962332708930454E-3</v>
      </c>
    </row>
    <row r="135" spans="1:20">
      <c r="A135" s="137" t="str">
        <f t="shared" si="17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3987180.345444445</v>
      </c>
      <c r="P135" s="91">
        <f>+SUM(DataEx!FC311)</f>
        <v>3987180.345444445</v>
      </c>
      <c r="Q135" s="91">
        <f>+SUM(DataEx!FD311)</f>
        <v>3987180.345444445</v>
      </c>
      <c r="R135" s="91">
        <f>+SUM(DataEx!FE311)</f>
        <v>3987180.345444445</v>
      </c>
      <c r="S135" s="125">
        <f t="shared" si="20"/>
        <v>39757359.010000005</v>
      </c>
      <c r="T135" s="126">
        <f t="shared" si="21"/>
        <v>8.972750233586858E-3</v>
      </c>
    </row>
    <row r="136" spans="1:20">
      <c r="A136" s="137" t="str">
        <f t="shared" si="17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4983186.4420000007</v>
      </c>
      <c r="P136" s="91">
        <f>+SUM(DataEx!FC369)</f>
        <v>4983186.4420000007</v>
      </c>
      <c r="Q136" s="91">
        <f>+SUM(DataEx!FD369)</f>
        <v>4983186.4420000007</v>
      </c>
      <c r="R136" s="91">
        <f>+SUM(DataEx!FE369)</f>
        <v>4983186.4420000007</v>
      </c>
      <c r="S136" s="125">
        <f t="shared" si="20"/>
        <v>50031864.415333346</v>
      </c>
      <c r="T136" s="126">
        <f t="shared" si="21"/>
        <v>1.1291580585283654E-2</v>
      </c>
    </row>
    <row r="137" spans="1:20">
      <c r="A137" s="137" t="str">
        <f t="shared" si="17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45950724.162500009</v>
      </c>
      <c r="P137" s="87">
        <f t="shared" si="26"/>
        <v>45950724.162500009</v>
      </c>
      <c r="Q137" s="87">
        <f t="shared" si="26"/>
        <v>45950724.162500009</v>
      </c>
      <c r="R137" s="87">
        <f t="shared" si="26"/>
        <v>45950724.162500009</v>
      </c>
      <c r="S137" s="127">
        <f t="shared" si="20"/>
        <v>551408689.95000017</v>
      </c>
      <c r="T137" s="128">
        <f t="shared" si="21"/>
        <v>0.12444620504863575</v>
      </c>
    </row>
    <row r="138" spans="1:20">
      <c r="A138" s="137" t="str">
        <f t="shared" si="17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6651000</v>
      </c>
      <c r="P138" s="91">
        <f>SUM(DataEx!FC322)</f>
        <v>6651000</v>
      </c>
      <c r="Q138" s="91">
        <f>SUM(DataEx!FD322)</f>
        <v>6651000</v>
      </c>
      <c r="R138" s="91">
        <f>SUM(DataEx!FE322)</f>
        <v>6651000</v>
      </c>
      <c r="S138" s="125">
        <f t="shared" si="20"/>
        <v>79812000</v>
      </c>
      <c r="T138" s="126">
        <f t="shared" si="21"/>
        <v>1.8012593378320431E-2</v>
      </c>
    </row>
    <row r="139" spans="1:20">
      <c r="A139" s="137" t="str">
        <f t="shared" si="17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1699899.96</v>
      </c>
      <c r="P139" s="91">
        <f>SUM(DataEx!FC330)</f>
        <v>1699899.96</v>
      </c>
      <c r="Q139" s="91">
        <f>SUM(DataEx!FD330)</f>
        <v>1699899.96</v>
      </c>
      <c r="R139" s="91">
        <f>SUM(DataEx!FE330)</f>
        <v>1699899.96</v>
      </c>
      <c r="S139" s="125">
        <f t="shared" si="20"/>
        <v>20398799.520000007</v>
      </c>
      <c r="T139" s="126">
        <f t="shared" si="21"/>
        <v>4.6037598501433132E-3</v>
      </c>
    </row>
    <row r="140" spans="1:20">
      <c r="A140" s="137" t="str">
        <f t="shared" si="17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9.6069148577038549E-2</v>
      </c>
    </row>
    <row r="141" spans="1:20">
      <c r="A141" s="137" t="str">
        <f t="shared" si="17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1375008.3333333333</v>
      </c>
      <c r="P141" s="91">
        <f>SUM(DataEx!FC344)</f>
        <v>1375008.3333333333</v>
      </c>
      <c r="Q141" s="91">
        <f>SUM(DataEx!FD344)</f>
        <v>1375008.3333333333</v>
      </c>
      <c r="R141" s="91">
        <f>SUM(DataEx!FE344)</f>
        <v>1375008.3333333333</v>
      </c>
      <c r="S141" s="125">
        <f t="shared" si="20"/>
        <v>16500100.000000002</v>
      </c>
      <c r="T141" s="126">
        <f t="shared" si="21"/>
        <v>3.7238709968629401E-3</v>
      </c>
    </row>
    <row r="142" spans="1:20">
      <c r="A142" s="137" t="str">
        <f t="shared" si="17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752083.33333333337</v>
      </c>
      <c r="P142" s="91">
        <f>SUM(DataEx!FC346)</f>
        <v>752083.33333333337</v>
      </c>
      <c r="Q142" s="91">
        <f>SUM(DataEx!FD346)</f>
        <v>752083.33333333337</v>
      </c>
      <c r="R142" s="91">
        <f>SUM(DataEx!FE346)</f>
        <v>752083.33333333337</v>
      </c>
      <c r="S142" s="125">
        <f t="shared" si="20"/>
        <v>9024999.9999999981</v>
      </c>
      <c r="T142" s="126">
        <f t="shared" si="21"/>
        <v>2.0368322462705089E-3</v>
      </c>
    </row>
    <row r="143" spans="1:20">
      <c r="A143" s="137" t="str">
        <f t="shared" si="17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15295211.558333334</v>
      </c>
      <c r="P143" s="85">
        <f>SUM(DataEx!FC350)</f>
        <v>15295211.558333334</v>
      </c>
      <c r="Q143" s="85">
        <f>SUM(DataEx!FD350)</f>
        <v>15295211.558333334</v>
      </c>
      <c r="R143" s="85">
        <f>SUM(DataEx!FE350)</f>
        <v>15295211.558333334</v>
      </c>
      <c r="S143" s="127">
        <f>+SUM(G143:R143)</f>
        <v>192142538.69999999</v>
      </c>
      <c r="T143" s="128">
        <f t="shared" si="21"/>
        <v>4.3364223679162248E-2</v>
      </c>
    </row>
    <row r="144" spans="1:20">
      <c r="A144" s="137" t="str">
        <f t="shared" si="17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26990416.666666664</v>
      </c>
      <c r="P144" s="85">
        <f>SUM(DataEx!FC368)</f>
        <v>26990416.666666664</v>
      </c>
      <c r="Q144" s="85">
        <f>SUM(DataEx!FD368)</f>
        <v>27490416.670000002</v>
      </c>
      <c r="R144" s="85">
        <f>SUM(DataEx!FE368)</f>
        <v>27490416.66</v>
      </c>
      <c r="S144" s="127">
        <f t="shared" si="20"/>
        <v>291774999.99666667</v>
      </c>
      <c r="T144" s="128">
        <f t="shared" si="21"/>
        <v>6.5850053035876835E-2</v>
      </c>
    </row>
    <row r="145" spans="1:20">
      <c r="A145" s="137" t="str">
        <f t="shared" si="17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6.4885260330858278E-4</v>
      </c>
    </row>
    <row r="146" spans="1:20">
      <c r="A146" s="137" t="str">
        <f t="shared" si="17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1246269.3720000002</v>
      </c>
      <c r="P146" s="91">
        <f>SUM(DataEx!FC394)</f>
        <v>1246269.3720000002</v>
      </c>
      <c r="Q146" s="91">
        <f>SUM(DataEx!FD394)</f>
        <v>1246269.3720000002</v>
      </c>
      <c r="R146" s="91">
        <f>SUM(DataEx!FE394)</f>
        <v>1246269.3720000002</v>
      </c>
      <c r="S146" s="125">
        <f t="shared" si="20"/>
        <v>13057693.139999999</v>
      </c>
      <c r="T146" s="126">
        <f t="shared" si="21"/>
        <v>2.9469618226545392E-3</v>
      </c>
    </row>
    <row r="147" spans="1:20">
      <c r="A147" s="137" t="str">
        <f t="shared" si="17"/>
        <v>462p</v>
      </c>
      <c r="B147" s="503" t="str">
        <f>+VLOOKUP(LEFT($A147,LEN(A147)-1)*1,Master!$D$25:$G$223,4,FALSE)</f>
        <v>Repayment of Guarantees</v>
      </c>
      <c r="C147" s="504"/>
      <c r="D147" s="504"/>
      <c r="E147" s="504"/>
      <c r="F147" s="504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1" t="str">
        <f>+VLOOKUP(LEFT($A149,LEN(A149)-1)*1,Master!$D$25:$G$223,4,FALSE)</f>
        <v>Surplus / deficit</v>
      </c>
      <c r="C149" s="512"/>
      <c r="D149" s="512"/>
      <c r="E149" s="512"/>
      <c r="F149" s="512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30357594.729703128</v>
      </c>
      <c r="P149" s="97">
        <f t="shared" si="27"/>
        <v>-7115497.9492367506</v>
      </c>
      <c r="Q149" s="97">
        <f t="shared" si="27"/>
        <v>-21744835.354449928</v>
      </c>
      <c r="R149" s="97">
        <f t="shared" si="27"/>
        <v>37629426.643876016</v>
      </c>
      <c r="S149" s="113">
        <f t="shared" si="20"/>
        <v>-77387248.00778769</v>
      </c>
      <c r="T149" s="114">
        <f t="shared" si="21"/>
        <v>-1.7465356475611656E-2</v>
      </c>
    </row>
    <row r="150" spans="1:20" ht="13.5" thickBot="1">
      <c r="A150" s="138" t="str">
        <f>+CONCATENATE(A56,"p")</f>
        <v>1001p</v>
      </c>
      <c r="B150" s="513" t="str">
        <f>+VLOOKUP(LEFT($A150,LEN(A150)-1)*1,Master!$D$25:$G$223,4,FALSE)</f>
        <v>Primary balance</v>
      </c>
      <c r="C150" s="514"/>
      <c r="D150" s="514"/>
      <c r="E150" s="514"/>
      <c r="F150" s="514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37480319.729703128</v>
      </c>
      <c r="P150" s="98">
        <f t="shared" si="28"/>
        <v>7227.0507632493973</v>
      </c>
      <c r="Q150" s="98">
        <f t="shared" si="28"/>
        <v>-14622110.354449928</v>
      </c>
      <c r="R150" s="98">
        <f t="shared" si="28"/>
        <v>44752151.643876016</v>
      </c>
      <c r="S150" s="113">
        <f t="shared" si="20"/>
        <v>8085451.9922123104</v>
      </c>
      <c r="T150" s="114">
        <f t="shared" si="21"/>
        <v>1.8247877388820129E-3</v>
      </c>
    </row>
    <row r="151" spans="1:20">
      <c r="A151" s="138" t="str">
        <f>+CONCATENATE(A57,"p")</f>
        <v>46p</v>
      </c>
      <c r="B151" s="515" t="str">
        <f>+VLOOKUP(LEFT($A151,LEN(A151)-1)*1,Master!$D$25:$G$223,4,FALSE)</f>
        <v>Repayment of Debt</v>
      </c>
      <c r="C151" s="516"/>
      <c r="D151" s="516"/>
      <c r="E151" s="516"/>
      <c r="F151" s="516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21341585.159562141</v>
      </c>
      <c r="P151" s="87">
        <f t="shared" si="29"/>
        <v>8527904.0295741875</v>
      </c>
      <c r="Q151" s="87">
        <f t="shared" si="29"/>
        <v>10654232.024569688</v>
      </c>
      <c r="R151" s="87">
        <f t="shared" si="29"/>
        <v>24552542.391243692</v>
      </c>
      <c r="S151" s="109">
        <f t="shared" si="20"/>
        <v>181752774.81000003</v>
      </c>
      <c r="T151" s="110">
        <f t="shared" si="21"/>
        <v>4.1019380895529131E-2</v>
      </c>
    </row>
    <row r="152" spans="1:20">
      <c r="A152" s="138" t="str">
        <f>+CONCATENATE(A58,"p")</f>
        <v>4611p</v>
      </c>
      <c r="B152" s="509" t="str">
        <f>+VLOOKUP(LEFT($A152,LEN(A152)-1)*1,Master!$D$25:$G$223,4,FALSE)</f>
        <v>Repayment of Domestic Debt</v>
      </c>
      <c r="C152" s="510"/>
      <c r="D152" s="510"/>
      <c r="E152" s="510"/>
      <c r="F152" s="510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1.143972552077456E-2</v>
      </c>
    </row>
    <row r="153" spans="1:20">
      <c r="A153" s="138" t="str">
        <f>+CONCATENATE(A59,"p")</f>
        <v>4612p</v>
      </c>
      <c r="B153" s="503" t="str">
        <f>+VLOOKUP(LEFT($A153,LEN(A153)-1)*1,Master!$D$25:$G$223,4,FALSE)</f>
        <v>Repayment of Foreign Debt</v>
      </c>
      <c r="C153" s="504"/>
      <c r="D153" s="504"/>
      <c r="E153" s="504"/>
      <c r="F153" s="504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8947929.8245770223</v>
      </c>
      <c r="S153" s="107">
        <f t="shared" si="20"/>
        <v>100600000.00000001</v>
      </c>
      <c r="T153" s="108">
        <f t="shared" si="21"/>
        <v>2.2704191022139976E-2</v>
      </c>
    </row>
    <row r="154" spans="1:20">
      <c r="A154" s="138" t="str">
        <f>+CONCATENATE(A53,"p")</f>
        <v>4630p</v>
      </c>
      <c r="B154" s="503" t="str">
        <f>+VLOOKUP(LEFT($A154,LEN(A154)-1)*1,Master!$D$25:$G$223,4,FALSE)</f>
        <v>Repayments of Arrears</v>
      </c>
      <c r="C154" s="504"/>
      <c r="D154" s="504"/>
      <c r="E154" s="504"/>
      <c r="F154" s="504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2757457.9166666665</v>
      </c>
      <c r="P154" s="100">
        <f>SUM(DataEx!FC393)</f>
        <v>2852457.9166666665</v>
      </c>
      <c r="Q154" s="100">
        <f>SUM(DataEx!FD393)</f>
        <v>2847457.9166666665</v>
      </c>
      <c r="R154" s="100">
        <f>SUM(DataEx!FE393)</f>
        <v>3402457.9166666665</v>
      </c>
      <c r="S154" s="107">
        <f t="shared" si="20"/>
        <v>30464495.000000004</v>
      </c>
      <c r="T154" s="108">
        <f t="shared" si="21"/>
        <v>6.8754643526145942E-3</v>
      </c>
    </row>
    <row r="155" spans="1:20" ht="13.5" thickBot="1">
      <c r="A155" s="138"/>
      <c r="B155" s="433" t="s">
        <v>340</v>
      </c>
      <c r="C155" s="434"/>
      <c r="D155" s="434"/>
      <c r="E155" s="434"/>
      <c r="F155" s="434"/>
      <c r="G155" s="440">
        <f>+DataEx!ET377</f>
        <v>0</v>
      </c>
      <c r="H155" s="440">
        <f>+DataEx!EU377</f>
        <v>0</v>
      </c>
      <c r="I155" s="440">
        <f>+DataEx!EV377</f>
        <v>0</v>
      </c>
      <c r="J155" s="440">
        <f>+DataEx!EW377</f>
        <v>0</v>
      </c>
      <c r="K155" s="440">
        <f>+DataEx!EX377</f>
        <v>70000000</v>
      </c>
      <c r="L155" s="440">
        <f>+DataEx!EY377</f>
        <v>0</v>
      </c>
      <c r="M155" s="440">
        <f>+DataEx!EZ377</f>
        <v>0</v>
      </c>
      <c r="N155" s="440">
        <f>+DataEx!FA377</f>
        <v>0</v>
      </c>
      <c r="O155" s="440">
        <f>+DataEx!FB377</f>
        <v>0</v>
      </c>
      <c r="P155" s="440">
        <f>+DataEx!FC377</f>
        <v>0</v>
      </c>
      <c r="Q155" s="440">
        <f>+DataEx!FD377</f>
        <v>0</v>
      </c>
      <c r="R155" s="440">
        <f>+DataEx!FE377</f>
        <v>0</v>
      </c>
      <c r="S155" s="107">
        <f t="shared" si="20"/>
        <v>70000000</v>
      </c>
      <c r="T155" s="108">
        <f t="shared" si="21"/>
        <v>1.5798144846419462E-2</v>
      </c>
    </row>
    <row r="156" spans="1:20" ht="13.5" thickBot="1">
      <c r="A156" s="138" t="str">
        <f t="shared" ref="A156:A161" si="30">+CONCATENATE(A61,"p")</f>
        <v>1002p</v>
      </c>
      <c r="B156" s="505" t="str">
        <f>+VLOOKUP(LEFT($A156,LEN(A156)-1)*1,Master!$D$25:$G$223,4,FALSE)</f>
        <v>Financing needs</v>
      </c>
      <c r="C156" s="506"/>
      <c r="D156" s="506"/>
      <c r="E156" s="506"/>
      <c r="F156" s="506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9016009.5701409876</v>
      </c>
      <c r="P156" s="79">
        <f t="shared" si="31"/>
        <v>-15643401.978810938</v>
      </c>
      <c r="Q156" s="79">
        <f t="shared" si="31"/>
        <v>-32399067.379019618</v>
      </c>
      <c r="R156" s="79">
        <f t="shared" si="31"/>
        <v>13076884.252632324</v>
      </c>
      <c r="S156" s="117">
        <f t="shared" si="20"/>
        <v>-329140022.81778777</v>
      </c>
      <c r="T156" s="118">
        <f t="shared" si="21"/>
        <v>-7.4282882217560256E-2</v>
      </c>
    </row>
    <row r="157" spans="1:20" ht="13.5" thickBot="1">
      <c r="A157" s="138" t="str">
        <f t="shared" si="30"/>
        <v>1003p</v>
      </c>
      <c r="B157" s="507" t="str">
        <f>+VLOOKUP(LEFT($A157,LEN(A157)-1)*1,Master!$D$25:$G$223,4,FALSE)</f>
        <v>Financing</v>
      </c>
      <c r="C157" s="508"/>
      <c r="D157" s="508"/>
      <c r="E157" s="508"/>
      <c r="F157" s="508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-9016009.5701409876</v>
      </c>
      <c r="P157" s="97">
        <f t="shared" si="32"/>
        <v>15643401.978810938</v>
      </c>
      <c r="Q157" s="97">
        <f t="shared" si="32"/>
        <v>32399067.379019618</v>
      </c>
      <c r="R157" s="97">
        <f t="shared" si="32"/>
        <v>-13076884.25263232</v>
      </c>
      <c r="S157" s="119">
        <f t="shared" si="20"/>
        <v>329140022.81778777</v>
      </c>
      <c r="T157" s="120">
        <f t="shared" si="21"/>
        <v>7.4282882217560256E-2</v>
      </c>
    </row>
    <row r="158" spans="1:20">
      <c r="A158" s="138" t="str">
        <f t="shared" si="30"/>
        <v>7511p</v>
      </c>
      <c r="B158" s="509" t="str">
        <f>+VLOOKUP(LEFT($A158,LEN(A158)-1)*1,Master!$D$25:$G$223,4,FALSE)</f>
        <v>Domestic Loans and Borrowings</v>
      </c>
      <c r="C158" s="510"/>
      <c r="D158" s="510"/>
      <c r="E158" s="510"/>
      <c r="F158" s="510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3" t="str">
        <f>+VLOOKUP(LEFT($A159,LEN(A159)-1)*1,Master!$D$25:$G$223,4,FALSE)</f>
        <v>Foreign Loans and Borrowings</v>
      </c>
      <c r="C159" s="504"/>
      <c r="D159" s="504"/>
      <c r="E159" s="504"/>
      <c r="F159" s="504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24658333.329999998</v>
      </c>
      <c r="S159" s="107">
        <f t="shared" si="20"/>
        <v>295899999.95999992</v>
      </c>
      <c r="T159" s="108">
        <f t="shared" si="21"/>
        <v>6.6781015134622743E-2</v>
      </c>
    </row>
    <row r="160" spans="1:20">
      <c r="A160" s="138" t="str">
        <f t="shared" si="30"/>
        <v>72p</v>
      </c>
      <c r="B160" s="503" t="str">
        <f>+VLOOKUP(LEFT($A160,LEN(A160)-1)*1,Master!$D$25:$G$223,4,FALSE)</f>
        <v>Revenues from Selling Assets</v>
      </c>
      <c r="C160" s="504"/>
      <c r="D160" s="504"/>
      <c r="E160" s="504"/>
      <c r="F160" s="504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0</v>
      </c>
      <c r="S160" s="107">
        <f t="shared" si="20"/>
        <v>0</v>
      </c>
      <c r="T160" s="108">
        <f t="shared" si="21"/>
        <v>0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Increase / decrease of deposits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-33674342.900140986</v>
      </c>
      <c r="P161" s="101">
        <f t="shared" si="33"/>
        <v>-9014931.3511890601</v>
      </c>
      <c r="Q161" s="101">
        <f t="shared" si="33"/>
        <v>7740734.0490196198</v>
      </c>
      <c r="R161" s="101">
        <f t="shared" si="33"/>
        <v>-37735217.582632318</v>
      </c>
      <c r="S161" s="111">
        <f t="shared" si="20"/>
        <v>33240022.857787743</v>
      </c>
      <c r="T161" s="112">
        <f t="shared" si="21"/>
        <v>7.5018670829374943E-3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4.28515625" style="303" customWidth="1"/>
    <col min="9" max="9" width="14.5703125" style="303" customWidth="1"/>
    <col min="10" max="10" width="16.5703125" style="303" customWidth="1"/>
    <col min="11" max="11" width="17.140625" style="303" customWidth="1"/>
    <col min="12" max="12" width="14.85546875" style="303" customWidth="1"/>
    <col min="13" max="13" width="15.7109375" style="303" customWidth="1"/>
    <col min="14" max="14" width="14" style="303" customWidth="1"/>
    <col min="15" max="15" width="15" style="303" customWidth="1"/>
    <col min="16" max="16" width="13.85546875" style="303" customWidth="1"/>
    <col min="17" max="17" width="14.28515625" style="303" customWidth="1"/>
    <col min="18" max="18" width="19.1406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556" t="str">
        <f>+[1]Master!G249</f>
        <v>Ostvarenje budžeta</v>
      </c>
      <c r="C7" s="456"/>
      <c r="D7" s="456"/>
      <c r="E7" s="456"/>
      <c r="F7" s="456"/>
      <c r="G7" s="464">
        <v>2017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+[1]Master!G246</f>
        <v>BDP</v>
      </c>
      <c r="T7" s="261">
        <v>4299000000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4" t="str">
        <f>+[1]Master!G243</f>
        <v>Jan - Dec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497" t="str">
        <f>+VLOOKUP($A10,[1]Master!$D$25:$G$223,4,FALSE)</f>
        <v>Prihodi budžeta</v>
      </c>
      <c r="C10" s="498"/>
      <c r="D10" s="498"/>
      <c r="E10" s="498"/>
      <c r="F10" s="498"/>
      <c r="G10" s="426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99" t="str">
        <f>+VLOOKUP($A11,[1]Master!$D$25:$G$223,4,FALSE)</f>
        <v>Porezi</v>
      </c>
      <c r="C11" s="500"/>
      <c r="D11" s="500"/>
      <c r="E11" s="500"/>
      <c r="F11" s="500"/>
      <c r="G11" s="428">
        <f t="shared" ref="G11:R11" si="2">+SUM(G12:G18)</f>
        <v>53512170.450000003</v>
      </c>
      <c r="H11" s="427">
        <f t="shared" si="2"/>
        <v>50615120.200000003</v>
      </c>
      <c r="I11" s="427">
        <f t="shared" si="2"/>
        <v>90524246.909999996</v>
      </c>
      <c r="J11" s="427">
        <f t="shared" si="2"/>
        <v>81677988.170000002</v>
      </c>
      <c r="K11" s="427">
        <f t="shared" si="2"/>
        <v>77800336.479999989</v>
      </c>
      <c r="L11" s="427">
        <f t="shared" si="2"/>
        <v>85282444.409999996</v>
      </c>
      <c r="M11" s="427">
        <f t="shared" si="2"/>
        <v>89248400.649999991</v>
      </c>
      <c r="N11" s="427">
        <f t="shared" si="2"/>
        <v>99153787.180000007</v>
      </c>
      <c r="O11" s="427">
        <f t="shared" si="2"/>
        <v>92913520.620000005</v>
      </c>
      <c r="P11" s="427">
        <f t="shared" si="2"/>
        <v>86378572.320000008</v>
      </c>
      <c r="Q11" s="427">
        <f t="shared" si="2"/>
        <v>74654697.830000013</v>
      </c>
      <c r="R11" s="427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5" t="str">
        <f>+VLOOKUP($A12,[1]Master!$D$25:$G$223,4,FALSE)</f>
        <v>Porez na dohodak fizičkih lica</v>
      </c>
      <c r="C12" s="486"/>
      <c r="D12" s="486"/>
      <c r="E12" s="486"/>
      <c r="F12" s="486"/>
      <c r="G12" s="429">
        <v>3855468.97</v>
      </c>
      <c r="H12" s="429">
        <v>7751521.5300000003</v>
      </c>
      <c r="I12" s="429">
        <v>9093379.6300000008</v>
      </c>
      <c r="J12" s="429">
        <v>8729072.4399999995</v>
      </c>
      <c r="K12" s="429">
        <v>9825835.5299999993</v>
      </c>
      <c r="L12" s="429">
        <v>9719543.6799999997</v>
      </c>
      <c r="M12" s="429">
        <v>10577855.74</v>
      </c>
      <c r="N12" s="429">
        <v>10476522.35</v>
      </c>
      <c r="O12" s="429">
        <v>9609655.3800000008</v>
      </c>
      <c r="P12" s="429">
        <v>10226839.18</v>
      </c>
      <c r="Q12" s="429">
        <v>7670634.21</v>
      </c>
      <c r="R12" s="429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5" t="str">
        <f>+VLOOKUP($A13,[1]Master!$D$25:$G$223,4,FALSE)</f>
        <v>Porez na dobit pravnih lica</v>
      </c>
      <c r="C13" s="486"/>
      <c r="D13" s="486"/>
      <c r="E13" s="486"/>
      <c r="F13" s="486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5" t="str">
        <f>+VLOOKUP($A14,[1]Master!$D$25:$G$223,4,FALSE)</f>
        <v>Porez na promet nepokretnosti</v>
      </c>
      <c r="C14" s="486"/>
      <c r="D14" s="486"/>
      <c r="E14" s="486"/>
      <c r="F14" s="486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5" t="str">
        <f>+VLOOKUP($A15,[1]Master!$D$25:$G$223,4,FALSE)</f>
        <v>Porez na dodatu vrijednost</v>
      </c>
      <c r="C15" s="486"/>
      <c r="D15" s="486"/>
      <c r="E15" s="486"/>
      <c r="F15" s="486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5" t="str">
        <f>+VLOOKUP($A16,[1]Master!$D$25:$G$223,4,FALSE)</f>
        <v>Akcize</v>
      </c>
      <c r="C16" s="486"/>
      <c r="D16" s="486"/>
      <c r="E16" s="486"/>
      <c r="F16" s="486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5" t="str">
        <f>+VLOOKUP($A17,[1]Master!$D$25:$G$223,4,FALSE)</f>
        <v>Porez na međunarodnu trgovinu i transakcije</v>
      </c>
      <c r="C17" s="486"/>
      <c r="D17" s="486"/>
      <c r="E17" s="486"/>
      <c r="F17" s="486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5" t="str">
        <f>+VLOOKUP($A18,[1]Master!$D$25:$G$223,4,FALSE)</f>
        <v>Ostali državni porezi</v>
      </c>
      <c r="C18" s="486"/>
      <c r="D18" s="486"/>
      <c r="E18" s="486"/>
      <c r="F18" s="486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5" t="str">
        <f>+VLOOKUP($A19,[1]Master!$D$25:$G$223,4,FALSE)</f>
        <v>Doprinosi</v>
      </c>
      <c r="C19" s="496"/>
      <c r="D19" s="496"/>
      <c r="E19" s="496"/>
      <c r="F19" s="496"/>
      <c r="G19" s="430">
        <f>+INDEX([1]DataEx!$1:$1048576,MATCH('2017'!$A19,[1]DataEx!$D:$D,0),MATCH('2017'!G$6,[1]DataEx!$7:$7,0))</f>
        <v>15942566.910000002</v>
      </c>
      <c r="H19" s="430">
        <f>+INDEX([1]DataEx!$1:$1048576,MATCH('2017'!$A19,[1]DataEx!$D:$D,0),MATCH('2017'!H$6,[1]DataEx!$7:$7,0))</f>
        <v>32105522.039999999</v>
      </c>
      <c r="I19" s="430">
        <f>+INDEX([1]DataEx!$1:$1048576,MATCH('2017'!$A19,[1]DataEx!$D:$D,0),MATCH('2017'!I$6,[1]DataEx!$7:$7,0))</f>
        <v>37652066.75</v>
      </c>
      <c r="J19" s="430">
        <f>+INDEX([1]DataEx!$1:$1048576,MATCH('2017'!$A19,[1]DataEx!$D:$D,0),MATCH('2017'!J$6,[1]DataEx!$7:$7,0))</f>
        <v>35977730.460000001</v>
      </c>
      <c r="K19" s="430">
        <f>+INDEX([1]DataEx!$1:$1048576,MATCH('2017'!$A19,[1]DataEx!$D:$D,0),MATCH('2017'!K$6,[1]DataEx!$7:$7,0))</f>
        <v>40567246.729999997</v>
      </c>
      <c r="L19" s="430">
        <f>+INDEX([1]DataEx!$1:$1048576,MATCH('2017'!$A19,[1]DataEx!$D:$D,0),MATCH('2017'!L$6,[1]DataEx!$7:$7,0))</f>
        <v>40389805.469999999</v>
      </c>
      <c r="M19" s="430">
        <f>+INDEX([1]DataEx!$1:$1048576,MATCH('2017'!$A19,[1]DataEx!$D:$D,0),MATCH('2017'!M$6,[1]DataEx!$7:$7,0))</f>
        <v>44393326.049999997</v>
      </c>
      <c r="N19" s="430">
        <f>+INDEX([1]DataEx!$1:$1048576,MATCH('2017'!$A19,[1]DataEx!$D:$D,0),MATCH('2017'!N$6,[1]DataEx!$7:$7,0))</f>
        <v>43764113.43</v>
      </c>
      <c r="O19" s="430">
        <f>+INDEX([1]DataEx!$1:$1048576,MATCH('2017'!$A19,[1]DataEx!$D:$D,0),MATCH('2017'!O$6,[1]DataEx!$7:$7,0))</f>
        <v>39922755.840000004</v>
      </c>
      <c r="P19" s="430">
        <f>+INDEX([1]DataEx!$1:$1048576,MATCH('2017'!$A19,[1]DataEx!$D:$D,0),MATCH('2017'!P$6,[1]DataEx!$7:$7,0))</f>
        <v>42882136.189999998</v>
      </c>
      <c r="Q19" s="430">
        <f>+INDEX([1]DataEx!$1:$1048576,MATCH('2017'!$A19,[1]DataEx!$D:$D,0),MATCH('2017'!Q$6,[1]DataEx!$7:$7,0))</f>
        <v>43774643.869999997</v>
      </c>
      <c r="R19" s="430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5" t="str">
        <f>+VLOOKUP($A20,[1]Master!$D$25:$G$223,4,FALSE)</f>
        <v>Doprinosi za penzijsko i invalidsko osiguranje</v>
      </c>
      <c r="C20" s="486"/>
      <c r="D20" s="486"/>
      <c r="E20" s="486"/>
      <c r="F20" s="486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5" t="str">
        <f>+VLOOKUP($A21,[1]Master!$D$25:$G$223,4,FALSE)</f>
        <v>Doprinosi za zdravstveno osiguranje</v>
      </c>
      <c r="C21" s="486"/>
      <c r="D21" s="486"/>
      <c r="E21" s="486"/>
      <c r="F21" s="486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5" t="str">
        <f>+VLOOKUP($A22,[1]Master!$D$25:$G$223,4,FALSE)</f>
        <v>Doprinosi za osiguranje od nezaposlenosti</v>
      </c>
      <c r="C22" s="486"/>
      <c r="D22" s="486"/>
      <c r="E22" s="486"/>
      <c r="F22" s="486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5" t="str">
        <f>+VLOOKUP($A23,[1]Master!$D$25:$G$223,4,FALSE)</f>
        <v>Ostali doprinosi</v>
      </c>
      <c r="C23" s="486"/>
      <c r="D23" s="486"/>
      <c r="E23" s="486"/>
      <c r="F23" s="486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7" t="str">
        <f>+VLOOKUP($A24,[1]Master!$D$25:$G$223,4,FALSE)</f>
        <v>Takse</v>
      </c>
      <c r="C24" s="488"/>
      <c r="D24" s="488"/>
      <c r="E24" s="488"/>
      <c r="F24" s="488"/>
      <c r="G24" s="430">
        <v>579949.69999999995</v>
      </c>
      <c r="H24" s="430">
        <v>799058.78</v>
      </c>
      <c r="I24" s="430">
        <v>1000001.89</v>
      </c>
      <c r="J24" s="430">
        <v>900446.92</v>
      </c>
      <c r="K24" s="430">
        <v>1044119.04</v>
      </c>
      <c r="L24" s="430">
        <v>1380660.13</v>
      </c>
      <c r="M24" s="430">
        <v>1483988.38</v>
      </c>
      <c r="N24" s="430">
        <v>1598254.37</v>
      </c>
      <c r="O24" s="430">
        <v>1300121.74</v>
      </c>
      <c r="P24" s="430">
        <v>1269238.77</v>
      </c>
      <c r="Q24" s="430">
        <v>1101076.77</v>
      </c>
      <c r="R24" s="430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7" t="str">
        <f>+VLOOKUP($A25,[1]Master!$D$25:$G$223,4,FALSE)</f>
        <v>Naknade</v>
      </c>
      <c r="C25" s="488"/>
      <c r="D25" s="488"/>
      <c r="E25" s="488"/>
      <c r="F25" s="488"/>
      <c r="G25" s="430">
        <v>1745843.13</v>
      </c>
      <c r="H25" s="430">
        <v>1266650.8400000001</v>
      </c>
      <c r="I25" s="430">
        <v>1508161.35</v>
      </c>
      <c r="J25" s="430">
        <v>1901163.79</v>
      </c>
      <c r="K25" s="430">
        <v>1513570.26</v>
      </c>
      <c r="L25" s="430">
        <v>830213.16</v>
      </c>
      <c r="M25" s="430">
        <v>1705945.14</v>
      </c>
      <c r="N25" s="430">
        <v>1608311.46</v>
      </c>
      <c r="O25" s="430">
        <v>1107710.8999999999</v>
      </c>
      <c r="P25" s="430">
        <v>1997706.83</v>
      </c>
      <c r="Q25" s="430">
        <v>793640.92</v>
      </c>
      <c r="R25" s="430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7" t="str">
        <f>+VLOOKUP($A26,[1]Master!$D$25:$G$223,4,FALSE)</f>
        <v>Ostali prihodi</v>
      </c>
      <c r="C26" s="488"/>
      <c r="D26" s="488"/>
      <c r="E26" s="488"/>
      <c r="F26" s="488"/>
      <c r="G26" s="430">
        <v>1549598.76</v>
      </c>
      <c r="H26" s="430">
        <v>2362534.5499999998</v>
      </c>
      <c r="I26" s="430">
        <v>2237749.3199999998</v>
      </c>
      <c r="J26" s="430">
        <v>3537625.59</v>
      </c>
      <c r="K26" s="430">
        <v>2195275.86</v>
      </c>
      <c r="L26" s="430">
        <v>3677729.73</v>
      </c>
      <c r="M26" s="430">
        <v>5924157.2800000003</v>
      </c>
      <c r="N26" s="430">
        <v>2465692.11</v>
      </c>
      <c r="O26" s="430">
        <v>1761653.61</v>
      </c>
      <c r="P26" s="430">
        <v>3080830.83</v>
      </c>
      <c r="Q26" s="430">
        <v>1891187.54</v>
      </c>
      <c r="R26" s="430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7" t="str">
        <f>+VLOOKUP($A27,[1]Master!$D$25:$G$223,4,FALSE)</f>
        <v>Primici od otplate kredita i sredstva prenesena iz prethodne godine</v>
      </c>
      <c r="C27" s="488"/>
      <c r="D27" s="488"/>
      <c r="E27" s="488"/>
      <c r="F27" s="488"/>
      <c r="G27" s="430">
        <v>150350.67000000001</v>
      </c>
      <c r="H27" s="430">
        <v>500193.46</v>
      </c>
      <c r="I27" s="430">
        <v>126045.79</v>
      </c>
      <c r="J27" s="430">
        <v>67133.97</v>
      </c>
      <c r="K27" s="430">
        <v>340170.16</v>
      </c>
      <c r="L27" s="430">
        <v>1431878.17</v>
      </c>
      <c r="M27" s="430">
        <v>588856.99</v>
      </c>
      <c r="N27" s="430">
        <v>142813.88</v>
      </c>
      <c r="O27" s="430">
        <v>182139.62</v>
      </c>
      <c r="P27" s="430">
        <v>603855.75</v>
      </c>
      <c r="Q27" s="430">
        <v>987894.53</v>
      </c>
      <c r="R27" s="430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89" t="str">
        <f>+VLOOKUP($A28,[1]Master!$D$25:$G$223,4,FALSE)</f>
        <v>Donacije i transferi</v>
      </c>
      <c r="C28" s="490"/>
      <c r="D28" s="490"/>
      <c r="E28" s="490"/>
      <c r="F28" s="490"/>
      <c r="G28" s="430">
        <v>198902.46</v>
      </c>
      <c r="H28" s="430">
        <v>1119540.18</v>
      </c>
      <c r="I28" s="430">
        <v>2133451.14</v>
      </c>
      <c r="J28" s="430">
        <v>849572.77</v>
      </c>
      <c r="K28" s="430">
        <v>1895943.06</v>
      </c>
      <c r="L28" s="430">
        <v>1063223.94</v>
      </c>
      <c r="M28" s="430">
        <v>2617220.7200000002</v>
      </c>
      <c r="N28" s="430">
        <v>693924.15</v>
      </c>
      <c r="O28" s="430">
        <v>1500964.26</v>
      </c>
      <c r="P28" s="430">
        <v>2652981.5699999998</v>
      </c>
      <c r="Q28" s="430">
        <v>2284497.5299999998</v>
      </c>
      <c r="R28" s="430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5" t="str">
        <f>+VLOOKUP($A29,[1]Master!$D$25:$G$223,4,FALSE)</f>
        <v>Budžetki izdaci</v>
      </c>
      <c r="C29" s="476"/>
      <c r="D29" s="476"/>
      <c r="E29" s="476"/>
      <c r="F29" s="476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91" t="str">
        <f>+VLOOKUP($A30,[1]Master!$D$25:$G$223,4,FALSE)</f>
        <v>Tekući izdaci</v>
      </c>
      <c r="C30" s="492"/>
      <c r="D30" s="492"/>
      <c r="E30" s="492"/>
      <c r="F30" s="492"/>
      <c r="G30" s="431">
        <f>+G29-G49</f>
        <v>95081211.609999985</v>
      </c>
      <c r="H30" s="431">
        <f t="shared" ref="H30:R30" si="6">+H29-H49</f>
        <v>105058194.66999999</v>
      </c>
      <c r="I30" s="431">
        <f t="shared" si="6"/>
        <v>159051074.73999998</v>
      </c>
      <c r="J30" s="431">
        <f t="shared" si="6"/>
        <v>134270687.53</v>
      </c>
      <c r="K30" s="431">
        <f t="shared" si="6"/>
        <v>127056839.55</v>
      </c>
      <c r="L30" s="431">
        <f t="shared" si="6"/>
        <v>125448006.67</v>
      </c>
      <c r="M30" s="431">
        <f t="shared" si="6"/>
        <v>135015939.43000001</v>
      </c>
      <c r="N30" s="431">
        <f t="shared" si="6"/>
        <v>119078138.24000001</v>
      </c>
      <c r="O30" s="431">
        <f t="shared" si="6"/>
        <v>117563216.00999998</v>
      </c>
      <c r="P30" s="431">
        <f t="shared" si="6"/>
        <v>126782294.63000003</v>
      </c>
      <c r="Q30" s="431">
        <f t="shared" si="6"/>
        <v>119362889.43000001</v>
      </c>
      <c r="R30" s="431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3" t="str">
        <f>+VLOOKUP($A31,[1]Master!$D$25:$G$223,4,FALSE)</f>
        <v>Tekući budžetski izdaci</v>
      </c>
      <c r="C31" s="494"/>
      <c r="D31" s="494"/>
      <c r="E31" s="494"/>
      <c r="F31" s="494"/>
      <c r="G31" s="427">
        <f>+SUM(G32:G41)</f>
        <v>43671166.869999997</v>
      </c>
      <c r="H31" s="427">
        <f t="shared" ref="H31:R31" si="7">+SUM(H32:H41)</f>
        <v>48408706.909999989</v>
      </c>
      <c r="I31" s="427">
        <f t="shared" si="7"/>
        <v>96989262.820000008</v>
      </c>
      <c r="J31" s="427">
        <f t="shared" si="7"/>
        <v>70965970.75</v>
      </c>
      <c r="K31" s="427">
        <f t="shared" si="7"/>
        <v>64485987.470000006</v>
      </c>
      <c r="L31" s="427">
        <f t="shared" si="7"/>
        <v>61416603.619999997</v>
      </c>
      <c r="M31" s="427">
        <f t="shared" si="7"/>
        <v>59163591.209999993</v>
      </c>
      <c r="N31" s="427">
        <f t="shared" si="7"/>
        <v>55546071.519999996</v>
      </c>
      <c r="O31" s="427">
        <f t="shared" si="7"/>
        <v>56191213.159999996</v>
      </c>
      <c r="P31" s="427">
        <f t="shared" si="7"/>
        <v>60486450.390000001</v>
      </c>
      <c r="Q31" s="427">
        <f t="shared" si="7"/>
        <v>60535623.090000004</v>
      </c>
      <c r="R31" s="427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5" t="str">
        <f>+VLOOKUP($A32,[1]Master!$D$25:$G$223,4,FALSE)</f>
        <v>Bruto zarade i doprinosi na teret poslodavca</v>
      </c>
      <c r="C32" s="486"/>
      <c r="D32" s="486"/>
      <c r="E32" s="486"/>
      <c r="F32" s="486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5" t="str">
        <f>+VLOOKUP($A33,[1]Master!$D$25:$G$223,4,FALSE)</f>
        <v>Ostala lična primanja</v>
      </c>
      <c r="C33" s="486"/>
      <c r="D33" s="486"/>
      <c r="E33" s="486"/>
      <c r="F33" s="486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5" t="str">
        <f>+VLOOKUP($A34,[1]Master!$D$25:$G$223,4,FALSE)</f>
        <v>Rashodi za materijal</v>
      </c>
      <c r="C34" s="486"/>
      <c r="D34" s="486"/>
      <c r="E34" s="486"/>
      <c r="F34" s="486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5" t="str">
        <f>+VLOOKUP($A35,[1]Master!$D$25:$G$223,4,FALSE)</f>
        <v>Rashodi za usluge</v>
      </c>
      <c r="C35" s="486"/>
      <c r="D35" s="486"/>
      <c r="E35" s="486"/>
      <c r="F35" s="486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5" t="str">
        <f>+VLOOKUP($A36,[1]Master!$D$25:$G$223,4,FALSE)</f>
        <v>Rashodi za tekuće održavanje</v>
      </c>
      <c r="C36" s="486"/>
      <c r="D36" s="486"/>
      <c r="E36" s="486"/>
      <c r="F36" s="486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5" t="str">
        <f>+VLOOKUP($A37,[1]Master!$D$25:$G$223,4,FALSE)</f>
        <v>Kamate</v>
      </c>
      <c r="C37" s="486"/>
      <c r="D37" s="486"/>
      <c r="E37" s="486"/>
      <c r="F37" s="486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5" t="str">
        <f>+VLOOKUP($A38,[1]Master!$D$25:$G$223,4,FALSE)</f>
        <v>Renta</v>
      </c>
      <c r="C38" s="486"/>
      <c r="D38" s="486"/>
      <c r="E38" s="486"/>
      <c r="F38" s="486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5" t="str">
        <f>+VLOOKUP($A39,[1]Master!$D$25:$G$223,4,FALSE)</f>
        <v>Subvencije</v>
      </c>
      <c r="C39" s="486"/>
      <c r="D39" s="486"/>
      <c r="E39" s="486"/>
      <c r="F39" s="486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5" t="str">
        <f>+VLOOKUP($A40,[1]Master!$D$25:$G$223,4,FALSE)</f>
        <v>Ostali izdaci</v>
      </c>
      <c r="C40" s="486"/>
      <c r="D40" s="486"/>
      <c r="E40" s="486"/>
      <c r="F40" s="486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5" t="str">
        <f>+VLOOKUP($A41,[1]Master!$D$25:$G$223,4,FALSE)</f>
        <v>Kapitalni izdaci u tekućem budžetu</v>
      </c>
      <c r="C41" s="486"/>
      <c r="D41" s="486"/>
      <c r="E41" s="486"/>
      <c r="F41" s="486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1" t="str">
        <f>+VLOOKUP($A42,[1]Master!$D$25:$G$223,4,FALSE)</f>
        <v>Transferi za socijalnu zaštitu</v>
      </c>
      <c r="C42" s="482"/>
      <c r="D42" s="482"/>
      <c r="E42" s="482"/>
      <c r="F42" s="482"/>
      <c r="G42" s="430">
        <f>+SUM(G43:G47)</f>
        <v>43853641.199999996</v>
      </c>
      <c r="H42" s="430">
        <f t="shared" ref="H42:R42" si="8">+SUM(H43:H47)</f>
        <v>46694958.479999997</v>
      </c>
      <c r="I42" s="430">
        <f t="shared" si="8"/>
        <v>46060225.379999995</v>
      </c>
      <c r="J42" s="430">
        <f t="shared" si="8"/>
        <v>45239884.829999998</v>
      </c>
      <c r="K42" s="430">
        <f t="shared" si="8"/>
        <v>45683297.689999998</v>
      </c>
      <c r="L42" s="430">
        <f t="shared" si="8"/>
        <v>45402922.969999999</v>
      </c>
      <c r="M42" s="430">
        <f t="shared" si="8"/>
        <v>45267241.289999999</v>
      </c>
      <c r="N42" s="430">
        <f t="shared" si="8"/>
        <v>42270056.32</v>
      </c>
      <c r="O42" s="430">
        <f t="shared" si="8"/>
        <v>44046758.639999993</v>
      </c>
      <c r="P42" s="430">
        <f t="shared" si="8"/>
        <v>44748876.500000007</v>
      </c>
      <c r="Q42" s="430">
        <f t="shared" si="8"/>
        <v>43633580.93999999</v>
      </c>
      <c r="R42" s="430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5" t="str">
        <f>+VLOOKUP($A43,[1]Master!$D$25:$G$223,4,FALSE)</f>
        <v>Prava iz oblasti socijalne zaštite</v>
      </c>
      <c r="C43" s="486"/>
      <c r="D43" s="486"/>
      <c r="E43" s="486"/>
      <c r="F43" s="486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5" t="str">
        <f>+VLOOKUP($A44,[1]Master!$D$25:$G$223,4,FALSE)</f>
        <v>Sredstva za tehnološke viškove</v>
      </c>
      <c r="C44" s="486"/>
      <c r="D44" s="486"/>
      <c r="E44" s="486"/>
      <c r="F44" s="486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5" t="str">
        <f>+VLOOKUP($A45,[1]Master!$D$25:$G$223,4,FALSE)</f>
        <v>Prava iz oblasti penzijskog i invalidskog osiguranja</v>
      </c>
      <c r="C45" s="486"/>
      <c r="D45" s="486"/>
      <c r="E45" s="486"/>
      <c r="F45" s="486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5" t="str">
        <f>+VLOOKUP($A46,[1]Master!$D$25:$G$223,4,FALSE)</f>
        <v>Ostala prava iz oblasti zdravstvene zaštite</v>
      </c>
      <c r="C46" s="486"/>
      <c r="D46" s="486"/>
      <c r="E46" s="486"/>
      <c r="F46" s="486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5" t="str">
        <f>+VLOOKUP($A47,[1]Master!$D$25:$G$223,4,FALSE)</f>
        <v>Ostala prava iz zdravstvenog osiguranja</v>
      </c>
      <c r="C47" s="486"/>
      <c r="D47" s="486"/>
      <c r="E47" s="486"/>
      <c r="F47" s="486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3" t="str">
        <f>+VLOOKUP($A48,[1]Master!$D$25:$G$223,4,FALSE)</f>
        <v xml:space="preserve">Transferi institucijama, pojedincima, nevladinom i javnom sektoru </v>
      </c>
      <c r="C48" s="484"/>
      <c r="D48" s="484"/>
      <c r="E48" s="484"/>
      <c r="F48" s="484"/>
      <c r="G48" s="430">
        <v>5367351.82</v>
      </c>
      <c r="H48" s="430">
        <v>7878426.2999999998</v>
      </c>
      <c r="I48" s="430">
        <v>12624632.02</v>
      </c>
      <c r="J48" s="430">
        <v>15717196.880000001</v>
      </c>
      <c r="K48" s="430">
        <v>10712461.529999999</v>
      </c>
      <c r="L48" s="430">
        <v>13588572.92</v>
      </c>
      <c r="M48" s="430">
        <v>17165199.760000002</v>
      </c>
      <c r="N48" s="430">
        <v>15793377.119999999</v>
      </c>
      <c r="O48" s="430">
        <v>13743974.02</v>
      </c>
      <c r="P48" s="430">
        <v>13251144.24</v>
      </c>
      <c r="Q48" s="430">
        <v>11142113.050000001</v>
      </c>
      <c r="R48" s="430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3" t="str">
        <f>+VLOOKUP($A49,[1]Master!$D$25:$G$223,4,FALSE)</f>
        <v>Kapitalni budžet</v>
      </c>
      <c r="C49" s="484"/>
      <c r="D49" s="484"/>
      <c r="E49" s="484"/>
      <c r="F49" s="484"/>
      <c r="G49" s="430">
        <v>109644.44</v>
      </c>
      <c r="H49" s="430">
        <v>1491590.34</v>
      </c>
      <c r="I49" s="430">
        <v>7362820.4900000002</v>
      </c>
      <c r="J49" s="430">
        <v>6918517.2599999998</v>
      </c>
      <c r="K49" s="430">
        <v>2511744.17</v>
      </c>
      <c r="L49" s="430">
        <v>22683622.390000001</v>
      </c>
      <c r="M49" s="430">
        <v>10754440.220000001</v>
      </c>
      <c r="N49" s="430">
        <v>29296079.120000001</v>
      </c>
      <c r="O49" s="430">
        <v>19940301.670000002</v>
      </c>
      <c r="P49" s="430">
        <v>29993285.289999999</v>
      </c>
      <c r="Q49" s="430">
        <v>37935759.630000003</v>
      </c>
      <c r="R49" s="430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3" t="str">
        <f>+VLOOKUP($A50,[1]Master!$D$25:$G$223,4,FALSE)</f>
        <v>Pozajmice i krediti</v>
      </c>
      <c r="C50" s="454"/>
      <c r="D50" s="454"/>
      <c r="E50" s="454"/>
      <c r="F50" s="454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3" t="str">
        <f>+VLOOKUP($A51,[1]Master!$D$25:$G$223,4,FALSE)</f>
        <v>Rezerve</v>
      </c>
      <c r="C51" s="454"/>
      <c r="D51" s="454"/>
      <c r="E51" s="454"/>
      <c r="F51" s="454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1" t="str">
        <f>+VLOOKUP($A52,[1]Master!$D$25:$G$223,4,FALSE)</f>
        <v>Otplata garancija</v>
      </c>
      <c r="C52" s="472"/>
      <c r="D52" s="472"/>
      <c r="E52" s="472"/>
      <c r="F52" s="472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1" t="str">
        <f>+VLOOKUP($A53,[1]Master!$D$25:$G$223,4,TRUE)</f>
        <v>Otplata obaveza iz prethodnih godina</v>
      </c>
      <c r="C53" s="472"/>
      <c r="D53" s="472"/>
      <c r="E53" s="472"/>
      <c r="F53" s="472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7" t="str">
        <f>+VLOOKUP($A54,[1]Master!$D$25:$G$225,4,FALSE)</f>
        <v>Neto povećanje obaveza</v>
      </c>
      <c r="C54" s="558"/>
      <c r="D54" s="558"/>
      <c r="E54" s="558"/>
      <c r="F54" s="558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7" t="str">
        <f>+VLOOKUP($A55,[1]Master!$D$25:$G$223,4,FALSE)</f>
        <v>Suficit / deficit</v>
      </c>
      <c r="C55" s="478"/>
      <c r="D55" s="478"/>
      <c r="E55" s="478"/>
      <c r="F55" s="478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46" t="s">
        <v>778</v>
      </c>
      <c r="C56" s="447"/>
      <c r="D56" s="447"/>
      <c r="E56" s="447"/>
      <c r="F56" s="447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79" t="str">
        <f>+VLOOKUP($A57,[1]Master!$D$25:$G$223,4,FALSE)</f>
        <v>Primarni bilans</v>
      </c>
      <c r="C57" s="480"/>
      <c r="D57" s="480"/>
      <c r="E57" s="480"/>
      <c r="F57" s="480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1" t="str">
        <f>+VLOOKUP($A58,[1]Master!$D$25:$G$223,4,FALSE)</f>
        <v>Otplata dugova</v>
      </c>
      <c r="C58" s="482"/>
      <c r="D58" s="482"/>
      <c r="E58" s="482"/>
      <c r="F58" s="482"/>
      <c r="G58" s="432">
        <f t="shared" ref="G58:R58" si="12">+SUM(G59:G60)</f>
        <v>18311638.189999998</v>
      </c>
      <c r="H58" s="432">
        <f t="shared" si="12"/>
        <v>42352594.400000006</v>
      </c>
      <c r="I58" s="432">
        <f t="shared" si="12"/>
        <v>36492059.539999999</v>
      </c>
      <c r="J58" s="432">
        <f t="shared" si="12"/>
        <v>65432249.010000005</v>
      </c>
      <c r="K58" s="432">
        <f t="shared" si="12"/>
        <v>6070178.8200000003</v>
      </c>
      <c r="L58" s="432">
        <f t="shared" si="12"/>
        <v>29898962.890000001</v>
      </c>
      <c r="M58" s="432">
        <f t="shared" si="12"/>
        <v>35563936.18</v>
      </c>
      <c r="N58" s="432">
        <f t="shared" si="12"/>
        <v>68410518.010000005</v>
      </c>
      <c r="O58" s="432">
        <f t="shared" si="12"/>
        <v>13074495.76</v>
      </c>
      <c r="P58" s="432">
        <f t="shared" si="12"/>
        <v>7199515.9700000007</v>
      </c>
      <c r="Q58" s="432">
        <f t="shared" si="12"/>
        <v>7022219.0999999996</v>
      </c>
      <c r="R58" s="432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69" t="str">
        <f>+VLOOKUP($A59,[1]Master!$D$25:$G$223,4,FALSE)</f>
        <v>Otplata hartija od vrijednosti i kredita rezidentima</v>
      </c>
      <c r="C59" s="470"/>
      <c r="D59" s="470"/>
      <c r="E59" s="470"/>
      <c r="F59" s="470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3" t="str">
        <f>+VLOOKUP($A60,[1]Master!$D$25:$G$223,4,FALSE)</f>
        <v>Otplata hartija od vrijednosti i kredita nerezidentima</v>
      </c>
      <c r="C60" s="454"/>
      <c r="D60" s="454"/>
      <c r="E60" s="454"/>
      <c r="F60" s="454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3" t="str">
        <f>+VLOOKUP($A61,[1]Master!$D$25:$G$223,4,FALSE)</f>
        <v>Nedostajuća sredstva</v>
      </c>
      <c r="C61" s="474"/>
      <c r="D61" s="474"/>
      <c r="E61" s="474"/>
      <c r="F61" s="474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5" t="str">
        <f>+VLOOKUP($A62,[1]Master!$D$25:$G$223,4,FALSE)</f>
        <v>Finansiranje</v>
      </c>
      <c r="C62" s="476"/>
      <c r="D62" s="476"/>
      <c r="E62" s="476"/>
      <c r="F62" s="476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69" t="str">
        <f>+VLOOKUP($A63,[1]Master!$D$25:$G$223,4,FALSE)</f>
        <v>Pozajmice i krediti od domaćih izvora</v>
      </c>
      <c r="C63" s="470"/>
      <c r="D63" s="470"/>
      <c r="E63" s="470"/>
      <c r="F63" s="470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3" t="str">
        <f>+VLOOKUP($A64,[1]Master!$D$25:$G$223,4,FALSE)</f>
        <v>Pozajmice i krediti od inostranih izvora</v>
      </c>
      <c r="C64" s="454"/>
      <c r="D64" s="454"/>
      <c r="E64" s="454"/>
      <c r="F64" s="454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3" t="str">
        <f>+VLOOKUP($A65,[1]Master!$D$25:$G$223,4,FALSE)</f>
        <v>Primici od prodaje imovine</v>
      </c>
      <c r="C65" s="454"/>
      <c r="D65" s="454"/>
      <c r="E65" s="454"/>
      <c r="F65" s="454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7" t="str">
        <f>+[1]Master!G250</f>
        <v>Plan ostvarenja budžeta</v>
      </c>
      <c r="C102" s="538"/>
      <c r="D102" s="538"/>
      <c r="E102" s="538"/>
      <c r="F102" s="538"/>
      <c r="G102" s="531">
        <v>2017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BDP</v>
      </c>
      <c r="T102" s="116">
        <f>+T7</f>
        <v>4299000000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1" t="str">
        <f>+[1]Master!G244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+VLOOKUP(LEFT($A105,LEN(A105)-1)*1,[1]Master!$D$25:$G$223,4,FALSE)</f>
        <v>Prihodi budžeta</v>
      </c>
      <c r="C105" s="534"/>
      <c r="D105" s="534"/>
      <c r="E105" s="534"/>
      <c r="F105" s="534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5" t="str">
        <f>+VLOOKUP(LEFT($A106,LEN(A106)-1)*1,[1]Master!$D$25:$G$223,4,FALSE)</f>
        <v>Porezi</v>
      </c>
      <c r="C106" s="536"/>
      <c r="D106" s="536"/>
      <c r="E106" s="536"/>
      <c r="F106" s="536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7" t="str">
        <f>+VLOOKUP(LEFT($A107,LEN(A107)-1)*1,[1]Master!$D$25:$G$223,4,FALSE)</f>
        <v>Porez na dohodak fizičkih lica</v>
      </c>
      <c r="C107" s="518"/>
      <c r="D107" s="518"/>
      <c r="E107" s="518"/>
      <c r="F107" s="518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7" t="str">
        <f>+VLOOKUP(LEFT($A108,LEN(A108)-1)*1,[1]Master!$D$25:$G$223,4,FALSE)</f>
        <v>Porez na dobit pravnih lica</v>
      </c>
      <c r="C108" s="518"/>
      <c r="D108" s="518"/>
      <c r="E108" s="518"/>
      <c r="F108" s="518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7" t="str">
        <f>+VLOOKUP(LEFT($A109,LEN(A109)-1)*1,[1]Master!$D$25:$G$223,4,FALSE)</f>
        <v>Porez na promet nepokretnosti</v>
      </c>
      <c r="C109" s="518"/>
      <c r="D109" s="518"/>
      <c r="E109" s="518"/>
      <c r="F109" s="518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7" t="str">
        <f>+VLOOKUP(LEFT($A110,LEN(A110)-1)*1,[1]Master!$D$25:$G$223,4,FALSE)</f>
        <v>Porez na dodatu vrijednost</v>
      </c>
      <c r="C110" s="518"/>
      <c r="D110" s="518"/>
      <c r="E110" s="518"/>
      <c r="F110" s="518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7" t="str">
        <f>+VLOOKUP(LEFT($A111,LEN(A111)-1)*1,[1]Master!$D$25:$G$223,4,FALSE)</f>
        <v>Akcize</v>
      </c>
      <c r="C111" s="518"/>
      <c r="D111" s="518"/>
      <c r="E111" s="518"/>
      <c r="F111" s="518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7" t="str">
        <f>+VLOOKUP(LEFT($A112,LEN(A112)-1)*1,[1]Master!$D$25:$G$223,4,FALSE)</f>
        <v>Porez na međunarodnu trgovinu i transakcije</v>
      </c>
      <c r="C112" s="518"/>
      <c r="D112" s="518"/>
      <c r="E112" s="518"/>
      <c r="F112" s="518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7" t="str">
        <f>+VLOOKUP(LEFT($A113,LEN(A113)-1)*1,[1]Master!$D$25:$G$223,4,FALSE)</f>
        <v>Ostali državni porezi</v>
      </c>
      <c r="C113" s="518"/>
      <c r="D113" s="518"/>
      <c r="E113" s="518"/>
      <c r="F113" s="518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29" t="str">
        <f>+VLOOKUP(LEFT($A114,LEN(A114)-1)*1,[1]Master!$D$25:$G$223,4,FALSE)</f>
        <v>Doprinosi</v>
      </c>
      <c r="C114" s="530"/>
      <c r="D114" s="530"/>
      <c r="E114" s="530"/>
      <c r="F114" s="530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7" t="str">
        <f>+VLOOKUP(LEFT($A115,LEN(A115)-1)*1,[1]Master!$D$25:$G$223,4,FALSE)</f>
        <v>Doprinosi za penzijsko i invalidsko osiguranje</v>
      </c>
      <c r="C115" s="518"/>
      <c r="D115" s="518"/>
      <c r="E115" s="518"/>
      <c r="F115" s="518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7" t="str">
        <f>+VLOOKUP(LEFT($A116,LEN(A116)-1)*1,[1]Master!$D$25:$G$223,4,FALSE)</f>
        <v>Doprinosi za zdravstveno osiguranje</v>
      </c>
      <c r="C116" s="518"/>
      <c r="D116" s="518"/>
      <c r="E116" s="518"/>
      <c r="F116" s="518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7" t="str">
        <f>+VLOOKUP(LEFT($A117,LEN(A117)-1)*1,[1]Master!$D$25:$G$223,4,FALSE)</f>
        <v>Doprinosi za osiguranje od nezaposlenosti</v>
      </c>
      <c r="C117" s="518"/>
      <c r="D117" s="518"/>
      <c r="E117" s="518"/>
      <c r="F117" s="518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7" t="str">
        <f>+VLOOKUP(LEFT($A118,LEN(A118)-1)*1,[1]Master!$D$25:$G$223,4,FALSE)</f>
        <v>Ostali doprinosi</v>
      </c>
      <c r="C118" s="518"/>
      <c r="D118" s="518"/>
      <c r="E118" s="518"/>
      <c r="F118" s="518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1" t="str">
        <f>+VLOOKUP(LEFT($A119,LEN(A119)-1)*1,[1]Master!$D$25:$G$223,4,FALSE)</f>
        <v>Takse</v>
      </c>
      <c r="C119" s="522"/>
      <c r="D119" s="522"/>
      <c r="E119" s="522"/>
      <c r="F119" s="522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1" t="str">
        <f>+VLOOKUP(LEFT($A120,LEN(A120)-1)*1,[1]Master!$D$25:$G$223,4,FALSE)</f>
        <v>Naknade</v>
      </c>
      <c r="C120" s="522"/>
      <c r="D120" s="522"/>
      <c r="E120" s="522"/>
      <c r="F120" s="522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1" t="str">
        <f>+VLOOKUP(LEFT($A121,LEN(A121)-1)*1,[1]Master!$D$25:$G$223,4,FALSE)</f>
        <v>Ostali prihodi</v>
      </c>
      <c r="C121" s="522"/>
      <c r="D121" s="522"/>
      <c r="E121" s="522"/>
      <c r="F121" s="522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1" t="str">
        <f>+VLOOKUP(LEFT($A122,LEN(A122)-1)*1,[1]Master!$D$25:$G$223,4,FALSE)</f>
        <v>Primici od otplate kredita i sredstva prenesena iz prethodne godine</v>
      </c>
      <c r="C122" s="522"/>
      <c r="D122" s="522"/>
      <c r="E122" s="522"/>
      <c r="F122" s="522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3" t="str">
        <f>+VLOOKUP(LEFT($A123,LEN(A123)-1)*1,[1]Master!$D$25:$G$223,4,FALSE)</f>
        <v>Donacije i transferi</v>
      </c>
      <c r="C123" s="524"/>
      <c r="D123" s="524"/>
      <c r="E123" s="524"/>
      <c r="F123" s="524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07" t="str">
        <f>+VLOOKUP(LEFT($A124,LEN(A124)-1)*1,[1]Master!$D$25:$G$223,4,FALSE)</f>
        <v>Budžetki izdaci</v>
      </c>
      <c r="C124" s="508"/>
      <c r="D124" s="508"/>
      <c r="E124" s="508"/>
      <c r="F124" s="508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5" t="str">
        <f>+VLOOKUP(LEFT($A125,LEN(A125)-1)*1,[1]Master!$D$25:$G$223,4,FALSE)</f>
        <v>Tekući izdaci</v>
      </c>
      <c r="C125" s="526"/>
      <c r="D125" s="526"/>
      <c r="E125" s="526"/>
      <c r="F125" s="526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7" t="str">
        <f>+VLOOKUP(LEFT($A126,LEN(A126)-1)*1,[1]Master!$D$25:$G$223,4,FALSE)</f>
        <v>Tekući budžetski izdaci</v>
      </c>
      <c r="C126" s="528"/>
      <c r="D126" s="528"/>
      <c r="E126" s="528"/>
      <c r="F126" s="528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7" t="str">
        <f>+VLOOKUP(LEFT($A127,LEN(A127)-1)*1,[1]Master!$D$25:$G$223,4,FALSE)</f>
        <v>Bruto zarade i doprinosi na teret poslodavca</v>
      </c>
      <c r="C127" s="518"/>
      <c r="D127" s="518"/>
      <c r="E127" s="518"/>
      <c r="F127" s="518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7" t="str">
        <f>+VLOOKUP(LEFT($A128,LEN(A128)-1)*1,[1]Master!$D$25:$G$223,4,FALSE)</f>
        <v>Ostala lična primanja</v>
      </c>
      <c r="C128" s="518"/>
      <c r="D128" s="518"/>
      <c r="E128" s="518"/>
      <c r="F128" s="518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7" t="str">
        <f>+VLOOKUP(LEFT($A129,LEN(A129)-1)*1,[1]Master!$D$25:$G$223,4,FALSE)</f>
        <v>Rashodi za materijal</v>
      </c>
      <c r="C129" s="518"/>
      <c r="D129" s="518"/>
      <c r="E129" s="518"/>
      <c r="F129" s="518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7" t="str">
        <f>+VLOOKUP(LEFT($A130,LEN(A130)-1)*1,[1]Master!$D$25:$G$223,4,FALSE)</f>
        <v>Rashodi za usluge</v>
      </c>
      <c r="C130" s="518"/>
      <c r="D130" s="518"/>
      <c r="E130" s="518"/>
      <c r="F130" s="518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7" t="str">
        <f>+VLOOKUP(LEFT($A131,LEN(A131)-1)*1,[1]Master!$D$25:$G$223,4,FALSE)</f>
        <v>Rashodi za tekuće održavanje</v>
      </c>
      <c r="C131" s="518"/>
      <c r="D131" s="518"/>
      <c r="E131" s="518"/>
      <c r="F131" s="518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7" t="str">
        <f>+VLOOKUP(LEFT($A132,LEN(A132)-1)*1,[1]Master!$D$25:$G$223,4,FALSE)</f>
        <v>Kamate</v>
      </c>
      <c r="C132" s="518"/>
      <c r="D132" s="518"/>
      <c r="E132" s="518"/>
      <c r="F132" s="518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7" t="str">
        <f>+VLOOKUP(LEFT($A133,LEN(A133)-1)*1,[1]Master!$D$25:$G$223,4,FALSE)</f>
        <v>Renta</v>
      </c>
      <c r="C133" s="518"/>
      <c r="D133" s="518"/>
      <c r="E133" s="518"/>
      <c r="F133" s="518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7" t="str">
        <f>+VLOOKUP(LEFT($A134,LEN(A134)-1)*1,[1]Master!$D$25:$G$223,4,FALSE)</f>
        <v>Subvencije</v>
      </c>
      <c r="C134" s="518"/>
      <c r="D134" s="518"/>
      <c r="E134" s="518"/>
      <c r="F134" s="518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7" t="str">
        <f>+VLOOKUP(LEFT($A135,LEN(A135)-1)*1,[1]Master!$D$25:$G$223,4,FALSE)</f>
        <v>Ostali izdaci</v>
      </c>
      <c r="C135" s="518"/>
      <c r="D135" s="518"/>
      <c r="E135" s="518"/>
      <c r="F135" s="518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7" t="str">
        <f>+VLOOKUP(LEFT($A136,LEN(A136)-1)*1,[1]Master!$D$25:$G$223,4,FALSE)</f>
        <v>Kapitalni izdaci u tekućem budžetu</v>
      </c>
      <c r="C136" s="518"/>
      <c r="D136" s="518"/>
      <c r="E136" s="518"/>
      <c r="F136" s="518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5" t="str">
        <f>+VLOOKUP(LEFT($A137,LEN(A137)-1)*1,[1]Master!$D$25:$G$223,4,FALSE)</f>
        <v>Transferi za socijalnu zaštitu</v>
      </c>
      <c r="C137" s="516"/>
      <c r="D137" s="516"/>
      <c r="E137" s="516"/>
      <c r="F137" s="516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7" t="str">
        <f>+VLOOKUP(LEFT($A138,LEN(A138)-1)*1,[1]Master!$D$25:$G$223,4,FALSE)</f>
        <v>Prava iz oblasti socijalne zaštite</v>
      </c>
      <c r="C138" s="518"/>
      <c r="D138" s="518"/>
      <c r="E138" s="518"/>
      <c r="F138" s="518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7" t="str">
        <f>+VLOOKUP(LEFT($A139,LEN(A139)-1)*1,[1]Master!$D$25:$G$223,4,FALSE)</f>
        <v>Sredstva za tehnološke viškove</v>
      </c>
      <c r="C139" s="518"/>
      <c r="D139" s="518"/>
      <c r="E139" s="518"/>
      <c r="F139" s="518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7" t="str">
        <f>+VLOOKUP(LEFT($A140,LEN(A140)-1)*1,[1]Master!$D$25:$G$223,4,FALSE)</f>
        <v>Prava iz oblasti penzijskog i invalidskog osiguranja</v>
      </c>
      <c r="C140" s="518"/>
      <c r="D140" s="518"/>
      <c r="E140" s="518"/>
      <c r="F140" s="518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7" t="str">
        <f>+VLOOKUP(LEFT($A141,LEN(A141)-1)*1,[1]Master!$D$25:$G$223,4,FALSE)</f>
        <v>Ostala prava iz oblasti zdravstvene zaštite</v>
      </c>
      <c r="C141" s="518"/>
      <c r="D141" s="518"/>
      <c r="E141" s="518"/>
      <c r="F141" s="518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7" t="str">
        <f>+VLOOKUP(LEFT($A142,LEN(A142)-1)*1,[1]Master!$D$25:$G$223,4,FALSE)</f>
        <v>Ostala prava iz zdravstvenog osiguranja</v>
      </c>
      <c r="C142" s="518"/>
      <c r="D142" s="518"/>
      <c r="E142" s="518"/>
      <c r="F142" s="518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19" t="str">
        <f>+VLOOKUP(LEFT($A143,LEN(A143)-1)*1,[1]Master!$D$25:$G$223,4,FALSE)</f>
        <v xml:space="preserve">Transferi institucijama, pojedincima, nevladinom i javnom sektoru </v>
      </c>
      <c r="C143" s="520"/>
      <c r="D143" s="520"/>
      <c r="E143" s="520"/>
      <c r="F143" s="520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19" t="str">
        <f>+VLOOKUP(LEFT($A144,LEN(A144)-1)*1,[1]Master!$D$25:$G$223,4,FALSE)</f>
        <v>Kapitalni budžet</v>
      </c>
      <c r="C144" s="520"/>
      <c r="D144" s="520"/>
      <c r="E144" s="520"/>
      <c r="F144" s="520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3" t="str">
        <f>+VLOOKUP(LEFT($A145,LEN(A145)-1)*1,[1]Master!$D$25:$G$223,4,FALSE)</f>
        <v>Pozajmice i krediti</v>
      </c>
      <c r="C145" s="504"/>
      <c r="D145" s="504"/>
      <c r="E145" s="504"/>
      <c r="F145" s="504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3" t="str">
        <f>+VLOOKUP(LEFT($A146,LEN(A146)-1)*1,[1]Master!$D$25:$G$223,4,FALSE)</f>
        <v>Rezerve</v>
      </c>
      <c r="C146" s="504"/>
      <c r="D146" s="504"/>
      <c r="E146" s="504"/>
      <c r="F146" s="504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3" t="str">
        <f>+VLOOKUP(LEFT($A147,LEN(A147)-1)*1,[1]Master!$D$25:$G$223,4,FALSE)</f>
        <v>Otplata garancija</v>
      </c>
      <c r="C147" s="504"/>
      <c r="D147" s="504"/>
      <c r="E147" s="504"/>
      <c r="F147" s="504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21" t="s">
        <v>699</v>
      </c>
      <c r="C148" s="422"/>
      <c r="D148" s="422"/>
      <c r="E148" s="422"/>
      <c r="F148" s="422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1" t="str">
        <f>+VLOOKUP(LEFT($A149,LEN(A149)-1)*1,[1]Master!$D$25:$G$223,4,FALSE)</f>
        <v>Suficit / deficit</v>
      </c>
      <c r="C149" s="512"/>
      <c r="D149" s="512"/>
      <c r="E149" s="512"/>
      <c r="F149" s="512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3" t="str">
        <f>+VLOOKUP(LEFT($A150,LEN(A150)-1)*1,[1]Master!$D$25:$G$223,4,FALSE)</f>
        <v>Primarni bilans</v>
      </c>
      <c r="C150" s="514"/>
      <c r="D150" s="514"/>
      <c r="E150" s="514"/>
      <c r="F150" s="514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5" t="str">
        <f>+VLOOKUP(LEFT($A151,LEN(A151)-1)*1,[1]Master!$D$25:$G$223,4,FALSE)</f>
        <v>Otplata dugova</v>
      </c>
      <c r="C151" s="516"/>
      <c r="D151" s="516"/>
      <c r="E151" s="516"/>
      <c r="F151" s="516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9" t="str">
        <f>+VLOOKUP(LEFT($A152,LEN(A152)-1)*1,[1]Master!$D$25:$G$223,4,FALSE)</f>
        <v>Otplata hartija od vrijednosti i kredita rezidentima</v>
      </c>
      <c r="C152" s="510"/>
      <c r="D152" s="510"/>
      <c r="E152" s="510"/>
      <c r="F152" s="510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3" t="str">
        <f>+VLOOKUP(LEFT($A153,LEN(A153)-1)*1,[1]Master!$D$25:$G$223,4,FALSE)</f>
        <v>Otplata hartija od vrijednosti i kredita nerezidentima</v>
      </c>
      <c r="C153" s="504"/>
      <c r="D153" s="504"/>
      <c r="E153" s="504"/>
      <c r="F153" s="504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7" t="str">
        <f>+VLOOKUP(LEFT($A154,LEN(A154)-1)*1,[1]Master!$D$25:$G$223,4,FALSE)</f>
        <v>Otplata obaveza iz prethodnih godina</v>
      </c>
      <c r="C154" s="558"/>
      <c r="D154" s="558"/>
      <c r="E154" s="558"/>
      <c r="F154" s="558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5" t="str">
        <f>+VLOOKUP(LEFT($A155,LEN(A155)-1)*1,[1]Master!$D$25:$G$223,4,FALSE)</f>
        <v>Nedostajuća sredstva</v>
      </c>
      <c r="C155" s="506"/>
      <c r="D155" s="506"/>
      <c r="E155" s="506"/>
      <c r="F155" s="506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07" t="str">
        <f>+VLOOKUP(LEFT($A156,LEN(A156)-1)*1,[1]Master!$D$25:$G$223,4,FALSE)</f>
        <v>Finansiranje</v>
      </c>
      <c r="C156" s="508"/>
      <c r="D156" s="508"/>
      <c r="E156" s="508"/>
      <c r="F156" s="508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9" t="str">
        <f>+VLOOKUP(LEFT($A157,LEN(A157)-1)*1,[1]Master!$D$25:$G$223,4,FALSE)</f>
        <v>Pozajmice i krediti od domaćih izvora</v>
      </c>
      <c r="C157" s="510"/>
      <c r="D157" s="510"/>
      <c r="E157" s="510"/>
      <c r="F157" s="510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3" t="str">
        <f>+VLOOKUP(LEFT($A158,LEN(A158)-1)*1,[1]Master!$D$25:$G$223,4,FALSE)</f>
        <v>Pozajmice i krediti od inostranih izvora</v>
      </c>
      <c r="C158" s="504"/>
      <c r="D158" s="504"/>
      <c r="E158" s="504"/>
      <c r="F158" s="504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3" t="str">
        <f>+VLOOKUP(LEFT($A159,LEN(A159)-1)*1,[1]Master!$D$25:$G$223,4,FALSE)</f>
        <v>Primici od prodaje imovine</v>
      </c>
      <c r="C159" s="504"/>
      <c r="D159" s="504"/>
      <c r="E159" s="504"/>
      <c r="F159" s="504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50" activePane="bottomLeft" state="frozen"/>
      <selection pane="bottomLeft" activeCell="V5" sqref="V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2016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3954200000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tr">
        <f>+Master!G243</f>
        <v>Jan - Aug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1" t="str">
        <f>+VLOOKUP($A53,Master!$D$25:$G$223,4,TRUE)</f>
        <v>Repayments of Arrears</v>
      </c>
      <c r="C53" s="472"/>
      <c r="D53" s="472"/>
      <c r="E53" s="472"/>
      <c r="F53" s="472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7" t="str">
        <f>+VLOOKUP($A54,Master!$D$25:$G$225,4,FALSE)</f>
        <v>Net increase of liabilities</v>
      </c>
      <c r="C54" s="558"/>
      <c r="D54" s="558"/>
      <c r="E54" s="558"/>
      <c r="F54" s="558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6" t="s">
        <v>778</v>
      </c>
      <c r="C56" s="447"/>
      <c r="D56" s="447"/>
      <c r="E56" s="447"/>
      <c r="F56" s="447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79" t="str">
        <f>+VLOOKUP($A57,Master!$D$25:$G$223,4,FALSE)</f>
        <v>Primary balance</v>
      </c>
      <c r="C57" s="480"/>
      <c r="D57" s="480"/>
      <c r="E57" s="480"/>
      <c r="F57" s="480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1" t="str">
        <f>+VLOOKUP($A58,Master!$D$25:$G$223,4,FALSE)</f>
        <v>Repayment of Debt</v>
      </c>
      <c r="C58" s="482"/>
      <c r="D58" s="482"/>
      <c r="E58" s="482"/>
      <c r="F58" s="482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69" t="str">
        <f>+VLOOKUP($A59,Master!$D$25:$G$223,4,FALSE)</f>
        <v>Repayment of Domestic Debt</v>
      </c>
      <c r="C59" s="470"/>
      <c r="D59" s="470"/>
      <c r="E59" s="470"/>
      <c r="F59" s="470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3" t="str">
        <f>+VLOOKUP($A60,Master!$D$25:$G$223,4,FALSE)</f>
        <v>Repayment of Foreign Debt</v>
      </c>
      <c r="C60" s="454"/>
      <c r="D60" s="454"/>
      <c r="E60" s="454"/>
      <c r="F60" s="454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3" t="str">
        <f>+VLOOKUP($A61,Master!$D$25:$G$223,4,FALSE)</f>
        <v>Financing needs</v>
      </c>
      <c r="C61" s="474"/>
      <c r="D61" s="474"/>
      <c r="E61" s="474"/>
      <c r="F61" s="474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5" t="str">
        <f>+VLOOKUP($A62,Master!$D$25:$G$223,4,FALSE)</f>
        <v>Financing</v>
      </c>
      <c r="C62" s="476"/>
      <c r="D62" s="476"/>
      <c r="E62" s="476"/>
      <c r="F62" s="476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69" t="str">
        <f>+VLOOKUP($A63,Master!$D$25:$G$223,4,FALSE)</f>
        <v>Domestic Loans and Borrowings</v>
      </c>
      <c r="C63" s="470"/>
      <c r="D63" s="470"/>
      <c r="E63" s="470"/>
      <c r="F63" s="470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3" t="str">
        <f>+VLOOKUP($A64,Master!$D$25:$G$223,4,FALSE)</f>
        <v>Foreign Loans and Borrowings</v>
      </c>
      <c r="C64" s="454"/>
      <c r="D64" s="454"/>
      <c r="E64" s="454"/>
      <c r="F64" s="454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3" t="str">
        <f>+VLOOKUP($A65,Master!$D$25:$G$223,4,FALSE)</f>
        <v>Revenues from Selling Assets</v>
      </c>
      <c r="C65" s="454"/>
      <c r="D65" s="454"/>
      <c r="E65" s="454"/>
      <c r="F65" s="454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7" t="str">
        <f>+Master!G250</f>
        <v>Planned Budget Execution</v>
      </c>
      <c r="C102" s="538"/>
      <c r="D102" s="538"/>
      <c r="E102" s="538"/>
      <c r="F102" s="538"/>
      <c r="G102" s="531">
        <v>2016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GDP</v>
      </c>
      <c r="T102" s="116">
        <f>+T7</f>
        <v>3954200000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1" t="str">
        <f>+Master!G244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+VLOOKUP(LEFT($A105,LEN(A105)-1)*1,Master!$D$25:$G$223,4,FALSE)</f>
        <v>Total Revenues</v>
      </c>
      <c r="C105" s="534"/>
      <c r="D105" s="534"/>
      <c r="E105" s="534"/>
      <c r="F105" s="534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5" t="str">
        <f>+VLOOKUP(LEFT($A106,LEN(A106)-1)*1,Master!$D$25:$G$223,4,FALSE)</f>
        <v>Taxes</v>
      </c>
      <c r="C106" s="536"/>
      <c r="D106" s="536"/>
      <c r="E106" s="536"/>
      <c r="F106" s="536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7" t="str">
        <f>+VLOOKUP(LEFT($A107,LEN(A107)-1)*1,Master!$D$25:$G$223,4,FALSE)</f>
        <v>Personal Income Tax</v>
      </c>
      <c r="C107" s="518"/>
      <c r="D107" s="518"/>
      <c r="E107" s="518"/>
      <c r="F107" s="518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7" t="str">
        <f>+VLOOKUP(LEFT($A108,LEN(A108)-1)*1,Master!$D$25:$G$223,4,FALSE)</f>
        <v>Corporate Income Tax</v>
      </c>
      <c r="C108" s="518"/>
      <c r="D108" s="518"/>
      <c r="E108" s="518"/>
      <c r="F108" s="518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7" t="str">
        <f>+VLOOKUP(LEFT($A109,LEN(A109)-1)*1,Master!$D$25:$G$223,4,FALSE)</f>
        <v xml:space="preserve">Taxes on Sales of Property </v>
      </c>
      <c r="C109" s="518"/>
      <c r="D109" s="518"/>
      <c r="E109" s="518"/>
      <c r="F109" s="518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7" t="str">
        <f>+VLOOKUP(LEFT($A110,LEN(A110)-1)*1,Master!$D$25:$G$223,4,FALSE)</f>
        <v>Value Added Tax</v>
      </c>
      <c r="C110" s="518"/>
      <c r="D110" s="518"/>
      <c r="E110" s="518"/>
      <c r="F110" s="518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7" t="str">
        <f>+VLOOKUP(LEFT($A111,LEN(A111)-1)*1,Master!$D$25:$G$223,4,FALSE)</f>
        <v>Excises</v>
      </c>
      <c r="C111" s="518"/>
      <c r="D111" s="518"/>
      <c r="E111" s="518"/>
      <c r="F111" s="518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7" t="str">
        <f>+VLOOKUP(LEFT($A112,LEN(A112)-1)*1,Master!$D$25:$G$223,4,FALSE)</f>
        <v>Tax on International Trade and Transactions</v>
      </c>
      <c r="C112" s="518"/>
      <c r="D112" s="518"/>
      <c r="E112" s="518"/>
      <c r="F112" s="518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3" t="str">
        <f>+VLOOKUP(LEFT($A147,LEN(A147)-1)*1,Master!$D$25:$G$223,4,FALSE)</f>
        <v>Repayment of Guarantees</v>
      </c>
      <c r="C147" s="504"/>
      <c r="D147" s="504"/>
      <c r="E147" s="504"/>
      <c r="F147" s="504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699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1" t="str">
        <f>+VLOOKUP(LEFT($A149,LEN(A149)-1)*1,Master!$D$25:$G$223,4,FALSE)</f>
        <v>Surplus / deficit</v>
      </c>
      <c r="C149" s="512"/>
      <c r="D149" s="512"/>
      <c r="E149" s="512"/>
      <c r="F149" s="512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3" t="str">
        <f>+VLOOKUP(LEFT($A150,LEN(A150)-1)*1,Master!$D$25:$G$223,4,FALSE)</f>
        <v>Primary balance</v>
      </c>
      <c r="C150" s="514"/>
      <c r="D150" s="514"/>
      <c r="E150" s="514"/>
      <c r="F150" s="514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5" t="str">
        <f>+VLOOKUP(LEFT($A151,LEN(A151)-1)*1,Master!$D$25:$G$223,4,FALSE)</f>
        <v>Repayment of Debt</v>
      </c>
      <c r="C151" s="516"/>
      <c r="D151" s="516"/>
      <c r="E151" s="516"/>
      <c r="F151" s="516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9" t="str">
        <f>+VLOOKUP(LEFT($A152,LEN(A152)-1)*1,Master!$D$25:$G$223,4,FALSE)</f>
        <v>Repayment of Domestic Debt</v>
      </c>
      <c r="C152" s="510"/>
      <c r="D152" s="510"/>
      <c r="E152" s="510"/>
      <c r="F152" s="510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3" t="str">
        <f>+VLOOKUP(LEFT($A153,LEN(A153)-1)*1,Master!$D$25:$G$223,4,FALSE)</f>
        <v>Repayment of Foreign Debt</v>
      </c>
      <c r="C153" s="504"/>
      <c r="D153" s="504"/>
      <c r="E153" s="504"/>
      <c r="F153" s="504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7" t="str">
        <f>+VLOOKUP(LEFT($A154,LEN(A154)-1)*1,Master!$D$25:$G$223,4,FALSE)</f>
        <v>Repayments of Arrears</v>
      </c>
      <c r="C154" s="558"/>
      <c r="D154" s="558"/>
      <c r="E154" s="558"/>
      <c r="F154" s="558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5" t="str">
        <f>+VLOOKUP(LEFT($A155,LEN(A155)-1)*1,Master!$D$25:$G$223,4,FALSE)</f>
        <v>Financing needs</v>
      </c>
      <c r="C155" s="506"/>
      <c r="D155" s="506"/>
      <c r="E155" s="506"/>
      <c r="F155" s="506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07" t="str">
        <f>+VLOOKUP(LEFT($A156,LEN(A156)-1)*1,Master!$D$25:$G$223,4,FALSE)</f>
        <v>Financing</v>
      </c>
      <c r="C156" s="508"/>
      <c r="D156" s="508"/>
      <c r="E156" s="508"/>
      <c r="F156" s="508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9" t="str">
        <f>+VLOOKUP(LEFT($A157,LEN(A157)-1)*1,Master!$D$25:$G$223,4,FALSE)</f>
        <v>Domestic Loans and Borrowings</v>
      </c>
      <c r="C157" s="510"/>
      <c r="D157" s="510"/>
      <c r="E157" s="510"/>
      <c r="F157" s="510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3" t="str">
        <f>+VLOOKUP(LEFT($A158,LEN(A158)-1)*1,Master!$D$25:$G$223,4,FALSE)</f>
        <v>Foreign Loans and Borrowings</v>
      </c>
      <c r="C158" s="504"/>
      <c r="D158" s="504"/>
      <c r="E158" s="504"/>
      <c r="F158" s="504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3" t="str">
        <f>+VLOOKUP(LEFT($A159,LEN(A159)-1)*1,Master!$D$25:$G$223,4,FALSE)</f>
        <v>Revenues from Selling Assets</v>
      </c>
      <c r="C159" s="504"/>
      <c r="D159" s="504"/>
      <c r="E159" s="504"/>
      <c r="F159" s="504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+VLOOKUP(LEFT($A160,LEN(A160)-1)*1,Master!$D$25:$G$223,4,FALSE)</f>
        <v>Increase / decrease of deposits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W29" sqref="W29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2015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3655000000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">
        <v>740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1" t="str">
        <f>+VLOOKUP($A53,Master!$D$25:$G$223,4,TRUE)</f>
        <v>Repayments of Arrears</v>
      </c>
      <c r="C53" s="472"/>
      <c r="D53" s="472"/>
      <c r="E53" s="472"/>
      <c r="F53" s="472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7" t="str">
        <f>+VLOOKUP($A54,Master!$D$25:$G$225,4,FALSE)</f>
        <v>Net increase of liabilities</v>
      </c>
      <c r="C54" s="558"/>
      <c r="D54" s="558"/>
      <c r="E54" s="558"/>
      <c r="F54" s="558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7" t="str">
        <f>+VLOOKUP($A55,Master!$D$25:$G$223,4,FALSE)</f>
        <v>Surplus / deficit</v>
      </c>
      <c r="C55" s="478"/>
      <c r="D55" s="478"/>
      <c r="E55" s="478"/>
      <c r="F55" s="478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46" t="s">
        <v>778</v>
      </c>
      <c r="C56" s="447"/>
      <c r="D56" s="447"/>
      <c r="E56" s="447"/>
      <c r="F56" s="447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79" t="str">
        <f>+VLOOKUP($A57,Master!$D$25:$G$223,4,FALSE)</f>
        <v>Primary balance</v>
      </c>
      <c r="C57" s="480"/>
      <c r="D57" s="480"/>
      <c r="E57" s="480"/>
      <c r="F57" s="480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1" t="str">
        <f>+VLOOKUP($A58,Master!$D$25:$G$223,4,FALSE)</f>
        <v>Repayment of Debt</v>
      </c>
      <c r="C58" s="482"/>
      <c r="D58" s="482"/>
      <c r="E58" s="482"/>
      <c r="F58" s="482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69" t="str">
        <f>+VLOOKUP($A59,Master!$D$25:$G$223,4,FALSE)</f>
        <v>Repayment of Domestic Debt</v>
      </c>
      <c r="C59" s="470"/>
      <c r="D59" s="470"/>
      <c r="E59" s="470"/>
      <c r="F59" s="470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3" t="str">
        <f>+VLOOKUP($A60,Master!$D$25:$G$223,4,FALSE)</f>
        <v>Repayment of Foreign Debt</v>
      </c>
      <c r="C60" s="454"/>
      <c r="D60" s="454"/>
      <c r="E60" s="454"/>
      <c r="F60" s="454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3" t="str">
        <f>+VLOOKUP($A61,Master!$D$25:$G$223,4,FALSE)</f>
        <v>Financing needs</v>
      </c>
      <c r="C61" s="474"/>
      <c r="D61" s="474"/>
      <c r="E61" s="474"/>
      <c r="F61" s="474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5" t="str">
        <f>+VLOOKUP($A62,Master!$D$25:$G$223,4,FALSE)</f>
        <v>Financing</v>
      </c>
      <c r="C62" s="476"/>
      <c r="D62" s="476"/>
      <c r="E62" s="476"/>
      <c r="F62" s="476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69" t="str">
        <f>+VLOOKUP($A63,Master!$D$25:$G$223,4,FALSE)</f>
        <v>Domestic Loans and Borrowings</v>
      </c>
      <c r="C63" s="470"/>
      <c r="D63" s="470"/>
      <c r="E63" s="470"/>
      <c r="F63" s="470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3" t="str">
        <f>+VLOOKUP($A64,Master!$D$25:$G$223,4,FALSE)</f>
        <v>Foreign Loans and Borrowings</v>
      </c>
      <c r="C64" s="454"/>
      <c r="D64" s="454"/>
      <c r="E64" s="454"/>
      <c r="F64" s="454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3" t="str">
        <f>+VLOOKUP($A65,Master!$D$25:$G$223,4,FALSE)</f>
        <v>Revenues from Selling Assets</v>
      </c>
      <c r="C65" s="454"/>
      <c r="D65" s="454"/>
      <c r="E65" s="454"/>
      <c r="F65" s="454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50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7" t="str">
        <f>+Master!G250</f>
        <v>Planned Budget Execution</v>
      </c>
      <c r="C102" s="538"/>
      <c r="D102" s="538"/>
      <c r="E102" s="538"/>
      <c r="F102" s="538"/>
      <c r="G102" s="531">
        <v>2015</v>
      </c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32"/>
      <c r="S102" s="115" t="str">
        <f>+S7</f>
        <v>GDP</v>
      </c>
      <c r="T102" s="116">
        <f>+T7</f>
        <v>3655000000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1" t="str">
        <f>+Master!G244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+VLOOKUP(LEFT($A105,LEN(A105)-1)*1,Master!$D$25:$G$223,4,FALSE)</f>
        <v>Total Revenues</v>
      </c>
      <c r="C105" s="534"/>
      <c r="D105" s="534"/>
      <c r="E105" s="534"/>
      <c r="F105" s="534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5" t="str">
        <f>+VLOOKUP(LEFT($A106,LEN(A106)-1)*1,Master!$D$25:$G$223,4,FALSE)</f>
        <v>Taxes</v>
      </c>
      <c r="C106" s="536"/>
      <c r="D106" s="536"/>
      <c r="E106" s="536"/>
      <c r="F106" s="536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7" t="str">
        <f>+VLOOKUP(LEFT($A107,LEN(A107)-1)*1,Master!$D$25:$G$223,4,FALSE)</f>
        <v>Personal Income Tax</v>
      </c>
      <c r="C107" s="518"/>
      <c r="D107" s="518"/>
      <c r="E107" s="518"/>
      <c r="F107" s="518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7" t="str">
        <f>+VLOOKUP(LEFT($A108,LEN(A108)-1)*1,Master!$D$25:$G$223,4,FALSE)</f>
        <v>Corporate Income Tax</v>
      </c>
      <c r="C108" s="518"/>
      <c r="D108" s="518"/>
      <c r="E108" s="518"/>
      <c r="F108" s="518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7" t="str">
        <f>+VLOOKUP(LEFT($A109,LEN(A109)-1)*1,Master!$D$25:$G$223,4,FALSE)</f>
        <v xml:space="preserve">Taxes on Sales of Property </v>
      </c>
      <c r="C109" s="518"/>
      <c r="D109" s="518"/>
      <c r="E109" s="518"/>
      <c r="F109" s="518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7" t="str">
        <f>+VLOOKUP(LEFT($A110,LEN(A110)-1)*1,Master!$D$25:$G$223,4,FALSE)</f>
        <v>Value Added Tax</v>
      </c>
      <c r="C110" s="518"/>
      <c r="D110" s="518"/>
      <c r="E110" s="518"/>
      <c r="F110" s="518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7" t="str">
        <f>+VLOOKUP(LEFT($A111,LEN(A111)-1)*1,Master!$D$25:$G$223,4,FALSE)</f>
        <v>Excises</v>
      </c>
      <c r="C111" s="518"/>
      <c r="D111" s="518"/>
      <c r="E111" s="518"/>
      <c r="F111" s="518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7" t="str">
        <f>+VLOOKUP(LEFT($A112,LEN(A112)-1)*1,Master!$D$25:$G$223,4,FALSE)</f>
        <v>Tax on International Trade and Transactions</v>
      </c>
      <c r="C112" s="518"/>
      <c r="D112" s="518"/>
      <c r="E112" s="518"/>
      <c r="F112" s="518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7" t="str">
        <f>+VLOOKUP(LEFT($A147,LEN(A147)-1)*1,Master!$D$25:$G$223,4,FALSE)</f>
        <v>Repayment of Guarantees</v>
      </c>
      <c r="C147" s="558"/>
      <c r="D147" s="558"/>
      <c r="E147" s="558"/>
      <c r="F147" s="558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1" t="str">
        <f>+VLOOKUP(LEFT($A148,LEN(A148)-1)*1,Master!$D$25:$G$223,4,FALSE)</f>
        <v>Surplus / deficit</v>
      </c>
      <c r="C148" s="512"/>
      <c r="D148" s="512"/>
      <c r="E148" s="512"/>
      <c r="F148" s="512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3" t="str">
        <f>+VLOOKUP(LEFT($A149,LEN(A149)-1)*1,Master!$D$25:$G$223,4,FALSE)</f>
        <v>Primary balance</v>
      </c>
      <c r="C149" s="514"/>
      <c r="D149" s="514"/>
      <c r="E149" s="514"/>
      <c r="F149" s="514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5" t="str">
        <f>+VLOOKUP(LEFT($A150,LEN(A150)-1)*1,Master!$D$25:$G$223,4,FALSE)</f>
        <v>Repayment of Debt</v>
      </c>
      <c r="C150" s="516"/>
      <c r="D150" s="516"/>
      <c r="E150" s="516"/>
      <c r="F150" s="516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9" t="str">
        <f>+VLOOKUP(LEFT($A151,LEN(A151)-1)*1,Master!$D$25:$G$223,4,FALSE)</f>
        <v>Repayment of Domestic Debt</v>
      </c>
      <c r="C151" s="510"/>
      <c r="D151" s="510"/>
      <c r="E151" s="510"/>
      <c r="F151" s="510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3" t="str">
        <f>+VLOOKUP(LEFT($A152,LEN(A152)-1)*1,Master!$D$25:$G$223,4,FALSE)</f>
        <v>Repayment of Foreign Debt</v>
      </c>
      <c r="C152" s="504"/>
      <c r="D152" s="504"/>
      <c r="E152" s="504"/>
      <c r="F152" s="504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7" t="str">
        <f>+VLOOKUP(LEFT($A153,LEN(A153)-1)*1,Master!$D$25:$G$223,4,FALSE)</f>
        <v>Repayments of Arrears</v>
      </c>
      <c r="C153" s="558"/>
      <c r="D153" s="558"/>
      <c r="E153" s="558"/>
      <c r="F153" s="558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5" t="str">
        <f>+VLOOKUP(LEFT($A154,LEN(A154)-1)*1,Master!$D$25:$G$223,4,FALSE)</f>
        <v>Financing needs</v>
      </c>
      <c r="C154" s="506"/>
      <c r="D154" s="506"/>
      <c r="E154" s="506"/>
      <c r="F154" s="506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07" t="str">
        <f>+VLOOKUP(LEFT($A155,LEN(A155)-1)*1,Master!$D$25:$G$223,4,FALSE)</f>
        <v>Financing</v>
      </c>
      <c r="C155" s="508"/>
      <c r="D155" s="508"/>
      <c r="E155" s="508"/>
      <c r="F155" s="508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9" t="str">
        <f>+VLOOKUP(LEFT($A156,LEN(A156)-1)*1,Master!$D$25:$G$223,4,FALSE)</f>
        <v>Domestic Loans and Borrowings</v>
      </c>
      <c r="C156" s="510"/>
      <c r="D156" s="510"/>
      <c r="E156" s="510"/>
      <c r="F156" s="510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3" t="str">
        <f>+VLOOKUP(LEFT($A157,LEN(A157)-1)*1,Master!$D$25:$G$223,4,FALSE)</f>
        <v>Foreign Loans and Borrowings</v>
      </c>
      <c r="C157" s="504"/>
      <c r="D157" s="504"/>
      <c r="E157" s="504"/>
      <c r="F157" s="504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3" t="str">
        <f>+VLOOKUP(LEFT($A158,LEN(A158)-1)*1,Master!$D$25:$G$223,4,FALSE)</f>
        <v>Revenues from Selling Assets</v>
      </c>
      <c r="C158" s="504"/>
      <c r="D158" s="504"/>
      <c r="E158" s="504"/>
      <c r="F158" s="504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556" t="str">
        <f>+Master!G249</f>
        <v>Budget Execution</v>
      </c>
      <c r="C7" s="456"/>
      <c r="D7" s="456"/>
      <c r="E7" s="456"/>
      <c r="F7" s="456"/>
      <c r="G7" s="464">
        <v>2014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8"/>
      <c r="S7" s="260" t="str">
        <f>+Master!G246</f>
        <v>GDP</v>
      </c>
      <c r="T7" s="261">
        <v>3457880000</v>
      </c>
    </row>
    <row r="8" spans="1:20" ht="16.5" customHeight="1">
      <c r="A8" s="169"/>
      <c r="B8" s="457"/>
      <c r="C8" s="458"/>
      <c r="D8" s="458"/>
      <c r="E8" s="458"/>
      <c r="F8" s="459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4" t="s">
        <v>705</v>
      </c>
      <c r="T8" s="468"/>
    </row>
    <row r="9" spans="1:20" ht="13.5" thickBot="1">
      <c r="A9" s="169"/>
      <c r="B9" s="460"/>
      <c r="C9" s="461"/>
      <c r="D9" s="461"/>
      <c r="E9" s="461"/>
      <c r="F9" s="462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7" t="str">
        <f>+VLOOKUP($A10,Master!$D$25:$G$223,4,FALSE)</f>
        <v>Total Revenues</v>
      </c>
      <c r="C10" s="498"/>
      <c r="D10" s="498"/>
      <c r="E10" s="498"/>
      <c r="F10" s="498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9" t="str">
        <f>+VLOOKUP($A11,Master!$D$25:$G$223,4,FALSE)</f>
        <v>Taxes</v>
      </c>
      <c r="C11" s="500"/>
      <c r="D11" s="500"/>
      <c r="E11" s="500"/>
      <c r="F11" s="500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5" t="str">
        <f>+VLOOKUP($A12,Master!$D$25:$G$223,4,FALSE)</f>
        <v>Personal Income Tax</v>
      </c>
      <c r="C12" s="486"/>
      <c r="D12" s="486"/>
      <c r="E12" s="486"/>
      <c r="F12" s="486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5" t="str">
        <f>+VLOOKUP($A13,Master!$D$25:$G$223,4,FALSE)</f>
        <v>Corporate Income Tax</v>
      </c>
      <c r="C13" s="486"/>
      <c r="D13" s="486"/>
      <c r="E13" s="486"/>
      <c r="F13" s="486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5" t="str">
        <f>+VLOOKUP($A14,Master!$D$25:$G$223,4,FALSE)</f>
        <v xml:space="preserve">Taxes on Sales of Property </v>
      </c>
      <c r="C14" s="486"/>
      <c r="D14" s="486"/>
      <c r="E14" s="486"/>
      <c r="F14" s="486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5" t="str">
        <f>+VLOOKUP($A15,Master!$D$25:$G$223,4,FALSE)</f>
        <v>Value Added Tax</v>
      </c>
      <c r="C15" s="486"/>
      <c r="D15" s="486"/>
      <c r="E15" s="486"/>
      <c r="F15" s="486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5" t="str">
        <f>+VLOOKUP($A16,Master!$D$25:$G$223,4,FALSE)</f>
        <v>Excises</v>
      </c>
      <c r="C16" s="486"/>
      <c r="D16" s="486"/>
      <c r="E16" s="486"/>
      <c r="F16" s="486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5" t="str">
        <f>+VLOOKUP($A17,Master!$D$25:$G$223,4,FALSE)</f>
        <v>Tax on International Trade and Transactions</v>
      </c>
      <c r="C17" s="486"/>
      <c r="D17" s="486"/>
      <c r="E17" s="486"/>
      <c r="F17" s="486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5" t="str">
        <f>+VLOOKUP($A18,Master!$D$25:$G$223,4,FALSE)</f>
        <v>Other Republic Taxes</v>
      </c>
      <c r="C18" s="486"/>
      <c r="D18" s="486"/>
      <c r="E18" s="486"/>
      <c r="F18" s="486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5" t="str">
        <f>+VLOOKUP($A19,Master!$D$25:$G$223,4,FALSE)</f>
        <v>Contributions</v>
      </c>
      <c r="C19" s="496"/>
      <c r="D19" s="496"/>
      <c r="E19" s="496"/>
      <c r="F19" s="496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5" t="str">
        <f>+VLOOKUP($A20,Master!$D$25:$G$223,4,FALSE)</f>
        <v>Contributions for Pension and Disability Insurance</v>
      </c>
      <c r="C20" s="486"/>
      <c r="D20" s="486"/>
      <c r="E20" s="486"/>
      <c r="F20" s="486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5" t="str">
        <f>+VLOOKUP($A21,Master!$D$25:$G$223,4,FALSE)</f>
        <v>Contributions for Health Insurance</v>
      </c>
      <c r="C21" s="486"/>
      <c r="D21" s="486"/>
      <c r="E21" s="486"/>
      <c r="F21" s="486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5" t="str">
        <f>+VLOOKUP($A22,Master!$D$25:$G$223,4,FALSE)</f>
        <v>Contributions for  Unemployment Insurance</v>
      </c>
      <c r="C22" s="486"/>
      <c r="D22" s="486"/>
      <c r="E22" s="486"/>
      <c r="F22" s="486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5" t="str">
        <f>+VLOOKUP($A23,Master!$D$25:$G$223,4,FALSE)</f>
        <v>Other contributions</v>
      </c>
      <c r="C23" s="486"/>
      <c r="D23" s="486"/>
      <c r="E23" s="486"/>
      <c r="F23" s="486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7" t="str">
        <f>+VLOOKUP($A24,Master!$D$25:$G$223,4,FALSE)</f>
        <v>Duties</v>
      </c>
      <c r="C24" s="488"/>
      <c r="D24" s="488"/>
      <c r="E24" s="488"/>
      <c r="F24" s="488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7" t="str">
        <f>+VLOOKUP($A25,Master!$D$25:$G$223,4,FALSE)</f>
        <v>Fees</v>
      </c>
      <c r="C25" s="488"/>
      <c r="D25" s="488"/>
      <c r="E25" s="488"/>
      <c r="F25" s="488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7" t="str">
        <f>+VLOOKUP($A26,Master!$D$25:$G$223,4,FALSE)</f>
        <v>Other revenues</v>
      </c>
      <c r="C26" s="488"/>
      <c r="D26" s="488"/>
      <c r="E26" s="488"/>
      <c r="F26" s="488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7" t="str">
        <f>+VLOOKUP($A27,Master!$D$25:$G$223,4,FALSE)</f>
        <v>Receipts from Repayment of Loans and Funds Carried over from Previous Year</v>
      </c>
      <c r="C27" s="488"/>
      <c r="D27" s="488"/>
      <c r="E27" s="488"/>
      <c r="F27" s="488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9" t="str">
        <f>+VLOOKUP($A28,Master!$D$25:$G$223,4,FALSE)</f>
        <v>Grants and Transfers</v>
      </c>
      <c r="C28" s="490"/>
      <c r="D28" s="490"/>
      <c r="E28" s="490"/>
      <c r="F28" s="490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5" t="str">
        <f>+VLOOKUP($A29,Master!$D$25:$G$223,4,FALSE)</f>
        <v>Total Expenditures</v>
      </c>
      <c r="C29" s="476"/>
      <c r="D29" s="476"/>
      <c r="E29" s="476"/>
      <c r="F29" s="476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1" t="str">
        <f>+VLOOKUP($A30,Master!$D$25:$G$223,4,FALSE)</f>
        <v>Current Expenditures</v>
      </c>
      <c r="C30" s="492"/>
      <c r="D30" s="492"/>
      <c r="E30" s="492"/>
      <c r="F30" s="492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3" t="str">
        <f>+VLOOKUP($A31,Master!$D$25:$G$223,4,FALSE)</f>
        <v>Current Budgetary Expenditures</v>
      </c>
      <c r="C31" s="494"/>
      <c r="D31" s="494"/>
      <c r="E31" s="494"/>
      <c r="F31" s="494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5" t="str">
        <f>+VLOOKUP($A32,Master!$D$25:$G$223,4,FALSE)</f>
        <v>Gross Salaries and Contributions</v>
      </c>
      <c r="C32" s="486"/>
      <c r="D32" s="486"/>
      <c r="E32" s="486"/>
      <c r="F32" s="486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5" t="str">
        <f>+VLOOKUP($A33,Master!$D$25:$G$223,4,FALSE)</f>
        <v>Other Personal Income</v>
      </c>
      <c r="C33" s="486"/>
      <c r="D33" s="486"/>
      <c r="E33" s="486"/>
      <c r="F33" s="486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5" t="str">
        <f>+VLOOKUP($A34,Master!$D$25:$G$223,4,FALSE)</f>
        <v>Expenditures for Supplies</v>
      </c>
      <c r="C34" s="486"/>
      <c r="D34" s="486"/>
      <c r="E34" s="486"/>
      <c r="F34" s="486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5" t="str">
        <f>+VLOOKUP($A35,Master!$D$25:$G$223,4,FALSE)</f>
        <v>Expenditures for Services</v>
      </c>
      <c r="C35" s="486"/>
      <c r="D35" s="486"/>
      <c r="E35" s="486"/>
      <c r="F35" s="486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5" t="str">
        <f>+VLOOKUP($A36,Master!$D$25:$G$223,4,FALSE)</f>
        <v>Current Maintenance</v>
      </c>
      <c r="C36" s="486"/>
      <c r="D36" s="486"/>
      <c r="E36" s="486"/>
      <c r="F36" s="486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5" t="str">
        <f>+VLOOKUP($A37,Master!$D$25:$G$223,4,FALSE)</f>
        <v>Interests</v>
      </c>
      <c r="C37" s="486"/>
      <c r="D37" s="486"/>
      <c r="E37" s="486"/>
      <c r="F37" s="486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5" t="str">
        <f>+VLOOKUP($A38,Master!$D$25:$G$223,4,FALSE)</f>
        <v>Rent</v>
      </c>
      <c r="C38" s="486"/>
      <c r="D38" s="486"/>
      <c r="E38" s="486"/>
      <c r="F38" s="486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5" t="str">
        <f>+VLOOKUP($A39,Master!$D$25:$G$223,4,FALSE)</f>
        <v>Subsidies</v>
      </c>
      <c r="C39" s="486"/>
      <c r="D39" s="486"/>
      <c r="E39" s="486"/>
      <c r="F39" s="486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5" t="str">
        <f>+VLOOKUP($A40,Master!$D$25:$G$223,4,FALSE)</f>
        <v>Other expenditures</v>
      </c>
      <c r="C40" s="486"/>
      <c r="D40" s="486"/>
      <c r="E40" s="486"/>
      <c r="F40" s="486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5" t="str">
        <f>+VLOOKUP($A41,Master!$D$25:$G$223,4,FALSE)</f>
        <v>Current Capital Expenditure</v>
      </c>
      <c r="C41" s="486"/>
      <c r="D41" s="486"/>
      <c r="E41" s="486"/>
      <c r="F41" s="486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1" t="str">
        <f>+VLOOKUP($A42,Master!$D$25:$G$223,4,FALSE)</f>
        <v>Social Security Transfers</v>
      </c>
      <c r="C42" s="482"/>
      <c r="D42" s="482"/>
      <c r="E42" s="482"/>
      <c r="F42" s="482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5" t="str">
        <f>+VLOOKUP($A43,Master!$D$25:$G$223,4,FALSE)</f>
        <v>Social Security</v>
      </c>
      <c r="C43" s="486"/>
      <c r="D43" s="486"/>
      <c r="E43" s="486"/>
      <c r="F43" s="486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5" t="str">
        <f>+VLOOKUP($A44,Master!$D$25:$G$223,4,FALSE)</f>
        <v>Funds for redundant labor</v>
      </c>
      <c r="C44" s="486"/>
      <c r="D44" s="486"/>
      <c r="E44" s="486"/>
      <c r="F44" s="486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5" t="str">
        <f>+VLOOKUP($A45,Master!$D$25:$G$223,4,FALSE)</f>
        <v>Pension and Disability Insurance</v>
      </c>
      <c r="C45" s="486"/>
      <c r="D45" s="486"/>
      <c r="E45" s="486"/>
      <c r="F45" s="486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5" t="str">
        <f>+VLOOKUP($A46,Master!$D$25:$G$223,4,FALSE)</f>
        <v>Other Health Care Transfers</v>
      </c>
      <c r="C46" s="486"/>
      <c r="D46" s="486"/>
      <c r="E46" s="486"/>
      <c r="F46" s="486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5" t="str">
        <f>+VLOOKUP($A47,Master!$D$25:$G$223,4,FALSE)</f>
        <v>Other Health Care Insurance</v>
      </c>
      <c r="C47" s="486"/>
      <c r="D47" s="486"/>
      <c r="E47" s="486"/>
      <c r="F47" s="486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3" t="str">
        <f>+VLOOKUP($A48,Master!$D$25:$G$223,4,FALSE)</f>
        <v xml:space="preserve">Transfers to Institutions, Individuals, NGO and Public Sector </v>
      </c>
      <c r="C48" s="484"/>
      <c r="D48" s="484"/>
      <c r="E48" s="484"/>
      <c r="F48" s="484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3" t="str">
        <f>+VLOOKUP($A49,Master!$D$25:$G$223,4,FALSE)</f>
        <v>Capital Expenditure</v>
      </c>
      <c r="C49" s="484"/>
      <c r="D49" s="484"/>
      <c r="E49" s="484"/>
      <c r="F49" s="484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3" t="str">
        <f>+VLOOKUP($A50,Master!$D$25:$G$223,4,FALSE)</f>
        <v>Credits and Borrowings</v>
      </c>
      <c r="C50" s="454"/>
      <c r="D50" s="454"/>
      <c r="E50" s="454"/>
      <c r="F50" s="454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3" t="str">
        <f>+VLOOKUP($A51,Master!$D$25:$G$223,4,FALSE)</f>
        <v>Reserves</v>
      </c>
      <c r="C51" s="454"/>
      <c r="D51" s="454"/>
      <c r="E51" s="454"/>
      <c r="F51" s="454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1" t="str">
        <f>+VLOOKUP($A52,Master!$D$25:$G$223,4,FALSE)</f>
        <v>Repayment of Guarantees</v>
      </c>
      <c r="C52" s="472"/>
      <c r="D52" s="472"/>
      <c r="E52" s="472"/>
      <c r="F52" s="472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1" t="str">
        <f>+VLOOKUP($A53,Master!$D$25:$G$223,4,TRUE)</f>
        <v>Repayments of Arrears</v>
      </c>
      <c r="C53" s="472"/>
      <c r="D53" s="472"/>
      <c r="E53" s="472"/>
      <c r="F53" s="472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7" t="str">
        <f>+VLOOKUP($A54,Master!$D$25:$G$225,4,FALSE)</f>
        <v>Net increase of liabilities</v>
      </c>
      <c r="C54" s="558"/>
      <c r="D54" s="558"/>
      <c r="E54" s="558"/>
      <c r="F54" s="558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9" t="str">
        <f>+VLOOKUP($A55,Master!$D$25:$G$223,4,FALSE)</f>
        <v>Surplus / deficit</v>
      </c>
      <c r="C55" s="560"/>
      <c r="D55" s="560"/>
      <c r="E55" s="560"/>
      <c r="F55" s="560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9" t="str">
        <f>+VLOOKUP($A56,Master!$D$25:$G$223,4,FALSE)</f>
        <v>Primary balance</v>
      </c>
      <c r="C56" s="480"/>
      <c r="D56" s="480"/>
      <c r="E56" s="480"/>
      <c r="F56" s="480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1" t="str">
        <f>+VLOOKUP($A57,Master!$D$25:$G$223,4,FALSE)</f>
        <v>Repayment of Debt</v>
      </c>
      <c r="C57" s="482"/>
      <c r="D57" s="482"/>
      <c r="E57" s="482"/>
      <c r="F57" s="482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9" t="str">
        <f>+VLOOKUP($A58,Master!$D$25:$G$223,4,FALSE)</f>
        <v>Repayment of Domestic Debt</v>
      </c>
      <c r="C58" s="470"/>
      <c r="D58" s="470"/>
      <c r="E58" s="470"/>
      <c r="F58" s="470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3" t="str">
        <f>+VLOOKUP($A59,Master!$D$25:$G$223,4,FALSE)</f>
        <v>Repayment of Foreign Debt</v>
      </c>
      <c r="C59" s="454"/>
      <c r="D59" s="454"/>
      <c r="E59" s="454"/>
      <c r="F59" s="454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3" t="str">
        <f>+VLOOKUP($A60,Master!$D$25:$G$223,4,FALSE)</f>
        <v>Financing needs</v>
      </c>
      <c r="C60" s="474"/>
      <c r="D60" s="474"/>
      <c r="E60" s="474"/>
      <c r="F60" s="474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5" t="str">
        <f>+VLOOKUP($A61,Master!$D$25:$G$223,4,FALSE)</f>
        <v>Financing</v>
      </c>
      <c r="C61" s="476"/>
      <c r="D61" s="476"/>
      <c r="E61" s="476"/>
      <c r="F61" s="476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9" t="str">
        <f>+VLOOKUP($A62,Master!$D$25:$G$223,4,FALSE)</f>
        <v>Domestic Loans and Borrowings</v>
      </c>
      <c r="C62" s="470"/>
      <c r="D62" s="470"/>
      <c r="E62" s="470"/>
      <c r="F62" s="470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3" t="str">
        <f>+VLOOKUP($A63,Master!$D$25:$G$223,4,FALSE)</f>
        <v>Foreign Loans and Borrowings</v>
      </c>
      <c r="C63" s="454"/>
      <c r="D63" s="454"/>
      <c r="E63" s="454"/>
      <c r="F63" s="454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3" t="str">
        <f>+VLOOKUP($A64,Master!$D$25:$G$223,4,FALSE)</f>
        <v>Revenues from Selling Assets</v>
      </c>
      <c r="C64" s="454"/>
      <c r="D64" s="454"/>
      <c r="E64" s="454"/>
      <c r="F64" s="454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7" t="str">
        <f>+Master!G250</f>
        <v>Planned Budget Execution</v>
      </c>
      <c r="C101" s="538"/>
      <c r="D101" s="538"/>
      <c r="E101" s="538"/>
      <c r="F101" s="538"/>
      <c r="G101" s="531">
        <v>2014</v>
      </c>
      <c r="H101" s="545"/>
      <c r="I101" s="545"/>
      <c r="J101" s="545"/>
      <c r="K101" s="545"/>
      <c r="L101" s="545"/>
      <c r="M101" s="545"/>
      <c r="N101" s="545"/>
      <c r="O101" s="545"/>
      <c r="P101" s="545"/>
      <c r="Q101" s="545"/>
      <c r="R101" s="532"/>
      <c r="S101" s="115" t="str">
        <f>+S7</f>
        <v>GDP</v>
      </c>
      <c r="T101" s="116">
        <v>3393200615</v>
      </c>
    </row>
    <row r="102" spans="1:21" ht="15.75" customHeight="1">
      <c r="B102" s="539"/>
      <c r="C102" s="540"/>
      <c r="D102" s="540"/>
      <c r="E102" s="540"/>
      <c r="F102" s="541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31" t="str">
        <f>+Master!G244</f>
        <v>Jan - Dec</v>
      </c>
      <c r="T102" s="532">
        <f>+T8</f>
        <v>0</v>
      </c>
    </row>
    <row r="103" spans="1:21" ht="13.5" thickBot="1">
      <c r="B103" s="542"/>
      <c r="C103" s="543"/>
      <c r="D103" s="543"/>
      <c r="E103" s="543"/>
      <c r="F103" s="54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7" t="str">
        <f t="shared" ref="A104:A111" si="16">+CONCATENATE(A10,"p")</f>
        <v>7p</v>
      </c>
      <c r="B104" s="533" t="str">
        <f>+VLOOKUP(LEFT($A104,LEN(A104)-1)*1,Master!$D$25:$G$223,4,FALSE)</f>
        <v>Total Revenues</v>
      </c>
      <c r="C104" s="534"/>
      <c r="D104" s="534"/>
      <c r="E104" s="534"/>
      <c r="F104" s="534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5" t="str">
        <f>+VLOOKUP(LEFT($A105,LEN(A105)-1)*1,Master!$D$25:$G$223,4,FALSE)</f>
        <v>Taxes</v>
      </c>
      <c r="C105" s="536"/>
      <c r="D105" s="536"/>
      <c r="E105" s="536"/>
      <c r="F105" s="536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7" t="str">
        <f>+VLOOKUP(LEFT($A106,LEN(A106)-1)*1,Master!$D$25:$G$223,4,FALSE)</f>
        <v>Personal Income Tax</v>
      </c>
      <c r="C106" s="518"/>
      <c r="D106" s="518"/>
      <c r="E106" s="518"/>
      <c r="F106" s="518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7" t="str">
        <f>+VLOOKUP(LEFT($A107,LEN(A107)-1)*1,Master!$D$25:$G$223,4,FALSE)</f>
        <v>Corporate Income Tax</v>
      </c>
      <c r="C107" s="518"/>
      <c r="D107" s="518"/>
      <c r="E107" s="518"/>
      <c r="F107" s="518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7" t="str">
        <f>+VLOOKUP(LEFT($A108,LEN(A108)-1)*1,Master!$D$25:$G$223,4,FALSE)</f>
        <v xml:space="preserve">Taxes on Sales of Property </v>
      </c>
      <c r="C108" s="518"/>
      <c r="D108" s="518"/>
      <c r="E108" s="518"/>
      <c r="F108" s="518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7" t="str">
        <f>+VLOOKUP(LEFT($A109,LEN(A109)-1)*1,Master!$D$25:$G$223,4,FALSE)</f>
        <v>Value Added Tax</v>
      </c>
      <c r="C109" s="518"/>
      <c r="D109" s="518"/>
      <c r="E109" s="518"/>
      <c r="F109" s="518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7" t="str">
        <f>+VLOOKUP(LEFT($A110,LEN(A110)-1)*1,Master!$D$25:$G$223,4,FALSE)</f>
        <v>Excises</v>
      </c>
      <c r="C110" s="518"/>
      <c r="D110" s="518"/>
      <c r="E110" s="518"/>
      <c r="F110" s="518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7" t="str">
        <f>+VLOOKUP(LEFT($A111,LEN(A111)-1)*1,Master!$D$25:$G$223,4,FALSE)</f>
        <v>Tax on International Trade and Transactions</v>
      </c>
      <c r="C111" s="518"/>
      <c r="D111" s="518"/>
      <c r="E111" s="518"/>
      <c r="F111" s="518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7" t="e">
        <f>+VLOOKUP(LEFT($A112,LEN(A112)-1)*1,Master!$D$25:$G$223,4,FALSE)</f>
        <v>#REF!</v>
      </c>
      <c r="C112" s="518"/>
      <c r="D112" s="518"/>
      <c r="E112" s="518"/>
      <c r="F112" s="518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7" t="str">
        <f>+VLOOKUP(LEFT($A113,LEN(A113)-1)*1,Master!$D$25:$G$223,4,FALSE)</f>
        <v>Other Republic Taxes</v>
      </c>
      <c r="C113" s="518"/>
      <c r="D113" s="518"/>
      <c r="E113" s="518"/>
      <c r="F113" s="518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9" t="str">
        <f>+VLOOKUP(LEFT($A114,LEN(A114)-1)*1,Master!$D$25:$G$223,4,FALSE)</f>
        <v>Contributions</v>
      </c>
      <c r="C114" s="530"/>
      <c r="D114" s="530"/>
      <c r="E114" s="530"/>
      <c r="F114" s="530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7" t="str">
        <f>+VLOOKUP(LEFT($A115,LEN(A115)-1)*1,Master!$D$25:$G$223,4,FALSE)</f>
        <v>Contributions for Pension and Disability Insurance</v>
      </c>
      <c r="C115" s="518"/>
      <c r="D115" s="518"/>
      <c r="E115" s="518"/>
      <c r="F115" s="518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7" t="str">
        <f>+VLOOKUP(LEFT($A116,LEN(A116)-1)*1,Master!$D$25:$G$223,4,FALSE)</f>
        <v>Contributions for Health Insurance</v>
      </c>
      <c r="C116" s="518"/>
      <c r="D116" s="518"/>
      <c r="E116" s="518"/>
      <c r="F116" s="518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7" t="str">
        <f>+VLOOKUP(LEFT($A117,LEN(A117)-1)*1,Master!$D$25:$G$223,4,FALSE)</f>
        <v>Contributions for  Unemployment Insurance</v>
      </c>
      <c r="C117" s="518"/>
      <c r="D117" s="518"/>
      <c r="E117" s="518"/>
      <c r="F117" s="518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7" t="str">
        <f>+VLOOKUP(LEFT($A118,LEN(A118)-1)*1,Master!$D$25:$G$223,4,FALSE)</f>
        <v>Other contributions</v>
      </c>
      <c r="C118" s="518"/>
      <c r="D118" s="518"/>
      <c r="E118" s="518"/>
      <c r="F118" s="518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1" t="str">
        <f>+VLOOKUP(LEFT($A119,LEN(A119)-1)*1,Master!$D$25:$G$223,4,FALSE)</f>
        <v>Duties</v>
      </c>
      <c r="C119" s="522"/>
      <c r="D119" s="522"/>
      <c r="E119" s="522"/>
      <c r="F119" s="522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1" t="str">
        <f>+VLOOKUP(LEFT($A120,LEN(A120)-1)*1,Master!$D$25:$G$223,4,FALSE)</f>
        <v>Fees</v>
      </c>
      <c r="C120" s="522"/>
      <c r="D120" s="522"/>
      <c r="E120" s="522"/>
      <c r="F120" s="522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1" t="str">
        <f>+VLOOKUP(LEFT($A121,LEN(A121)-1)*1,Master!$D$25:$G$223,4,FALSE)</f>
        <v>Other revenues</v>
      </c>
      <c r="C121" s="522"/>
      <c r="D121" s="522"/>
      <c r="E121" s="522"/>
      <c r="F121" s="522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1" t="str">
        <f>+VLOOKUP(LEFT($A122,LEN(A122)-1)*1,Master!$D$25:$G$223,4,FALSE)</f>
        <v>Receipts from Repayment of Loans and Funds Carried over from Previous Year</v>
      </c>
      <c r="C122" s="522"/>
      <c r="D122" s="522"/>
      <c r="E122" s="522"/>
      <c r="F122" s="522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3" t="str">
        <f>+VLOOKUP(LEFT($A123,LEN(A123)-1)*1,Master!$D$25:$G$223,4,FALSE)</f>
        <v>Grants and Transfers</v>
      </c>
      <c r="C123" s="524"/>
      <c r="D123" s="524"/>
      <c r="E123" s="524"/>
      <c r="F123" s="524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7" t="str">
        <f>+VLOOKUP(LEFT($A124,LEN(A124)-1)*1,Master!$D$25:$G$223,4,FALSE)</f>
        <v>Total Expenditures</v>
      </c>
      <c r="C124" s="508"/>
      <c r="D124" s="508"/>
      <c r="E124" s="508"/>
      <c r="F124" s="508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5" t="str">
        <f>+VLOOKUP(LEFT($A125,LEN(A125)-1)*1,Master!$D$25:$G$223,4,FALSE)</f>
        <v>Current Expenditures</v>
      </c>
      <c r="C125" s="526"/>
      <c r="D125" s="526"/>
      <c r="E125" s="526"/>
      <c r="F125" s="526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7" t="str">
        <f>+VLOOKUP(LEFT($A126,LEN(A126)-1)*1,Master!$D$25:$G$223,4,FALSE)</f>
        <v>Current Budgetary Expenditures</v>
      </c>
      <c r="C126" s="528"/>
      <c r="D126" s="528"/>
      <c r="E126" s="528"/>
      <c r="F126" s="528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7" t="str">
        <f>+VLOOKUP(LEFT($A127,LEN(A127)-1)*1,Master!$D$25:$G$223,4,FALSE)</f>
        <v>Gross Salaries and Contributions</v>
      </c>
      <c r="C127" s="518"/>
      <c r="D127" s="518"/>
      <c r="E127" s="518"/>
      <c r="F127" s="518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7" t="str">
        <f>+VLOOKUP(LEFT($A128,LEN(A128)-1)*1,Master!$D$25:$G$223,4,FALSE)</f>
        <v>Other Personal Income</v>
      </c>
      <c r="C128" s="518"/>
      <c r="D128" s="518"/>
      <c r="E128" s="518"/>
      <c r="F128" s="518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7" t="str">
        <f>+VLOOKUP(LEFT($A129,LEN(A129)-1)*1,Master!$D$25:$G$223,4,FALSE)</f>
        <v>Expenditures for Supplies</v>
      </c>
      <c r="C129" s="518"/>
      <c r="D129" s="518"/>
      <c r="E129" s="518"/>
      <c r="F129" s="518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7" t="str">
        <f>+VLOOKUP(LEFT($A130,LEN(A130)-1)*1,Master!$D$25:$G$223,4,FALSE)</f>
        <v>Expenditures for Services</v>
      </c>
      <c r="C130" s="518"/>
      <c r="D130" s="518"/>
      <c r="E130" s="518"/>
      <c r="F130" s="518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7" t="str">
        <f>+VLOOKUP(LEFT($A131,LEN(A131)-1)*1,Master!$D$25:$G$223,4,FALSE)</f>
        <v>Current Maintenance</v>
      </c>
      <c r="C131" s="518"/>
      <c r="D131" s="518"/>
      <c r="E131" s="518"/>
      <c r="F131" s="518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7" t="str">
        <f>+VLOOKUP(LEFT($A132,LEN(A132)-1)*1,Master!$D$25:$G$223,4,FALSE)</f>
        <v>Interests</v>
      </c>
      <c r="C132" s="518"/>
      <c r="D132" s="518"/>
      <c r="E132" s="518"/>
      <c r="F132" s="518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7" t="str">
        <f>+VLOOKUP(LEFT($A133,LEN(A133)-1)*1,Master!$D$25:$G$223,4,FALSE)</f>
        <v>Rent</v>
      </c>
      <c r="C133" s="518"/>
      <c r="D133" s="518"/>
      <c r="E133" s="518"/>
      <c r="F133" s="518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7" t="str">
        <f>+VLOOKUP(LEFT($A134,LEN(A134)-1)*1,Master!$D$25:$G$223,4,FALSE)</f>
        <v>Subsidies</v>
      </c>
      <c r="C134" s="518"/>
      <c r="D134" s="518"/>
      <c r="E134" s="518"/>
      <c r="F134" s="518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7" t="str">
        <f>+VLOOKUP(LEFT($A135,LEN(A135)-1)*1,Master!$D$25:$G$223,4,FALSE)</f>
        <v>Other expenditures</v>
      </c>
      <c r="C135" s="518"/>
      <c r="D135" s="518"/>
      <c r="E135" s="518"/>
      <c r="F135" s="518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7" t="str">
        <f>+VLOOKUP(LEFT($A136,LEN(A136)-1)*1,Master!$D$25:$G$223,4,FALSE)</f>
        <v>Current Capital Expenditure</v>
      </c>
      <c r="C136" s="518"/>
      <c r="D136" s="518"/>
      <c r="E136" s="518"/>
      <c r="F136" s="518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7" t="str">
        <f>+VLOOKUP(LEFT($A138,LEN(A138)-1)*1,Master!$D$25:$G$223,4,FALSE)</f>
        <v>Social Security</v>
      </c>
      <c r="C138" s="518"/>
      <c r="D138" s="518"/>
      <c r="E138" s="518"/>
      <c r="F138" s="518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7" t="str">
        <f>+VLOOKUP(LEFT($A139,LEN(A139)-1)*1,Master!$D$25:$G$223,4,FALSE)</f>
        <v>Funds for redundant labor</v>
      </c>
      <c r="C139" s="518"/>
      <c r="D139" s="518"/>
      <c r="E139" s="518"/>
      <c r="F139" s="518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7" t="str">
        <f>+VLOOKUP(LEFT($A140,LEN(A140)-1)*1,Master!$D$25:$G$223,4,FALSE)</f>
        <v>Pension and Disability Insurance</v>
      </c>
      <c r="C140" s="518"/>
      <c r="D140" s="518"/>
      <c r="E140" s="518"/>
      <c r="F140" s="518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7" t="str">
        <f>+VLOOKUP(LEFT($A141,LEN(A141)-1)*1,Master!$D$25:$G$223,4,FALSE)</f>
        <v>Other Health Care Transfers</v>
      </c>
      <c r="C141" s="518"/>
      <c r="D141" s="518"/>
      <c r="E141" s="518"/>
      <c r="F141" s="518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7" t="str">
        <f>+VLOOKUP(LEFT($A142,LEN(A142)-1)*1,Master!$D$25:$G$223,4,FALSE)</f>
        <v>Other Health Care Insurance</v>
      </c>
      <c r="C142" s="518"/>
      <c r="D142" s="518"/>
      <c r="E142" s="518"/>
      <c r="F142" s="518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9" t="str">
        <f>+VLOOKUP(LEFT($A143,LEN(A143)-1)*1,Master!$D$25:$G$223,4,FALSE)</f>
        <v xml:space="preserve">Transfers to Institutions, Individuals, NGO and Public Sector </v>
      </c>
      <c r="C143" s="520"/>
      <c r="D143" s="520"/>
      <c r="E143" s="520"/>
      <c r="F143" s="520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9" t="str">
        <f>+VLOOKUP(LEFT($A144,LEN(A144)-1)*1,Master!$D$25:$G$223,4,FALSE)</f>
        <v>Capital Expenditure</v>
      </c>
      <c r="C144" s="520"/>
      <c r="D144" s="520"/>
      <c r="E144" s="520"/>
      <c r="F144" s="520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3" t="str">
        <f>+VLOOKUP(LEFT($A145,LEN(A145)-1)*1,Master!$D$25:$G$223,4,FALSE)</f>
        <v>Credits and Borrowings</v>
      </c>
      <c r="C145" s="504"/>
      <c r="D145" s="504"/>
      <c r="E145" s="504"/>
      <c r="F145" s="504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3" t="str">
        <f>+VLOOKUP(LEFT($A146,LEN(A146)-1)*1,Master!$D$25:$G$223,4,FALSE)</f>
        <v>Reserves</v>
      </c>
      <c r="C146" s="504"/>
      <c r="D146" s="504"/>
      <c r="E146" s="504"/>
      <c r="F146" s="504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7" t="str">
        <f>+VLOOKUP(LEFT($A147,LEN(A147)-1)*1,Master!$D$25:$G$223,4,FALSE)</f>
        <v>Repayment of Guarantees</v>
      </c>
      <c r="C147" s="558"/>
      <c r="D147" s="558"/>
      <c r="E147" s="558"/>
      <c r="F147" s="558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1" t="str">
        <f>+VLOOKUP(LEFT($A148,LEN(A148)-1)*1,Master!$D$25:$G$223,4,FALSE)</f>
        <v>Surplus / deficit</v>
      </c>
      <c r="C148" s="512"/>
      <c r="D148" s="512"/>
      <c r="E148" s="512"/>
      <c r="F148" s="512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3" t="str">
        <f>+VLOOKUP(LEFT($A149,LEN(A149)-1)*1,Master!$D$25:$G$223,4,FALSE)</f>
        <v>Primary balance</v>
      </c>
      <c r="C149" s="514"/>
      <c r="D149" s="514"/>
      <c r="E149" s="514"/>
      <c r="F149" s="514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5" t="str">
        <f>+VLOOKUP(LEFT($A150,LEN(A150)-1)*1,Master!$D$25:$G$223,4,FALSE)</f>
        <v>Repayment of Debt</v>
      </c>
      <c r="C150" s="516"/>
      <c r="D150" s="516"/>
      <c r="E150" s="516"/>
      <c r="F150" s="516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9" t="str">
        <f>+VLOOKUP(LEFT($A151,LEN(A151)-1)*1,Master!$D$25:$G$223,4,FALSE)</f>
        <v>Repayment of Domestic Debt</v>
      </c>
      <c r="C151" s="510"/>
      <c r="D151" s="510"/>
      <c r="E151" s="510"/>
      <c r="F151" s="510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3" t="str">
        <f>+VLOOKUP(LEFT($A152,LEN(A152)-1)*1,Master!$D$25:$G$223,4,FALSE)</f>
        <v>Repayment of Foreign Debt</v>
      </c>
      <c r="C152" s="504"/>
      <c r="D152" s="504"/>
      <c r="E152" s="504"/>
      <c r="F152" s="504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7" t="str">
        <f>+VLOOKUP(LEFT($A153,LEN(A153)-1)*1,Master!$D$25:$G$223,4,FALSE)</f>
        <v>Repayments of Arrears</v>
      </c>
      <c r="C153" s="558"/>
      <c r="D153" s="558"/>
      <c r="E153" s="558"/>
      <c r="F153" s="558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5" t="str">
        <f>+VLOOKUP(LEFT($A154,LEN(A154)-1)*1,Master!$D$25:$G$223,4,FALSE)</f>
        <v>Financing needs</v>
      </c>
      <c r="C154" s="506"/>
      <c r="D154" s="506"/>
      <c r="E154" s="506"/>
      <c r="F154" s="506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7" t="str">
        <f>+VLOOKUP(LEFT($A155,LEN(A155)-1)*1,Master!$D$25:$G$223,4,FALSE)</f>
        <v>Financing</v>
      </c>
      <c r="C155" s="508"/>
      <c r="D155" s="508"/>
      <c r="E155" s="508"/>
      <c r="F155" s="508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9" t="str">
        <f>+VLOOKUP(LEFT($A156,LEN(A156)-1)*1,Master!$D$25:$G$223,4,FALSE)</f>
        <v>Domestic Loans and Borrowings</v>
      </c>
      <c r="C156" s="510"/>
      <c r="D156" s="510"/>
      <c r="E156" s="510"/>
      <c r="F156" s="510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3" t="str">
        <f>+VLOOKUP(LEFT($A157,LEN(A157)-1)*1,Master!$D$25:$G$223,4,FALSE)</f>
        <v>Foreign Loans and Borrowings</v>
      </c>
      <c r="C157" s="504"/>
      <c r="D157" s="504"/>
      <c r="E157" s="504"/>
      <c r="F157" s="504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3" t="str">
        <f>+VLOOKUP(LEFT($A158,LEN(A158)-1)*1,Master!$D$25:$G$223,4,FALSE)</f>
        <v>Revenues from Selling Assets</v>
      </c>
      <c r="C158" s="504"/>
      <c r="D158" s="504"/>
      <c r="E158" s="504"/>
      <c r="F158" s="504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37" t="str">
        <f>+Master!G249</f>
        <v>Budget Execution</v>
      </c>
      <c r="C7" s="538"/>
      <c r="D7" s="538"/>
      <c r="E7" s="538"/>
      <c r="F7" s="538"/>
      <c r="G7" s="531">
        <v>2013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32"/>
      <c r="V7" s="360"/>
      <c r="W7" s="115" t="str">
        <f>+Master!G246</f>
        <v>GDP</v>
      </c>
      <c r="X7" s="116">
        <v>3327000000</v>
      </c>
    </row>
    <row r="8" spans="1:24" ht="16.5" customHeight="1">
      <c r="B8" s="539"/>
      <c r="C8" s="540"/>
      <c r="D8" s="540"/>
      <c r="E8" s="540"/>
      <c r="F8" s="541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31" t="s">
        <v>706</v>
      </c>
      <c r="X8" s="532"/>
    </row>
    <row r="9" spans="1:24" ht="13.5" thickBot="1">
      <c r="B9" s="542"/>
      <c r="C9" s="543"/>
      <c r="D9" s="543"/>
      <c r="E9" s="543"/>
      <c r="F9" s="544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533" t="str">
        <f>+VLOOKUP($A10,Master!$D$25:$G$223,4,FALSE)</f>
        <v>Total Revenues</v>
      </c>
      <c r="C10" s="534"/>
      <c r="D10" s="534"/>
      <c r="E10" s="534"/>
      <c r="F10" s="534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5" t="str">
        <f>+VLOOKUP($A11,Master!$D$25:$G$223,4,FALSE)</f>
        <v>Taxes</v>
      </c>
      <c r="C11" s="536"/>
      <c r="D11" s="536"/>
      <c r="E11" s="536"/>
      <c r="F11" s="536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7" t="str">
        <f>+VLOOKUP($A12,Master!$D$25:$G$223,4,FALSE)</f>
        <v>Personal Income Tax</v>
      </c>
      <c r="C12" s="518"/>
      <c r="D12" s="518"/>
      <c r="E12" s="518"/>
      <c r="F12" s="518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7" t="str">
        <f>+VLOOKUP($A13,Master!$D$25:$G$223,4,FALSE)</f>
        <v>Corporate Income Tax</v>
      </c>
      <c r="C13" s="518"/>
      <c r="D13" s="518"/>
      <c r="E13" s="518"/>
      <c r="F13" s="518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7" t="str">
        <f>+VLOOKUP($A14,Master!$D$25:$G$223,4,FALSE)</f>
        <v xml:space="preserve">Taxes on Sales of Property </v>
      </c>
      <c r="C14" s="518"/>
      <c r="D14" s="518"/>
      <c r="E14" s="518"/>
      <c r="F14" s="518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7" t="str">
        <f>+VLOOKUP($A15,Master!$D$25:$G$223,4,FALSE)</f>
        <v>Value Added Tax</v>
      </c>
      <c r="C15" s="518"/>
      <c r="D15" s="518"/>
      <c r="E15" s="518"/>
      <c r="F15" s="518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7" t="str">
        <f>+VLOOKUP($A16,Master!$D$25:$G$223,4,FALSE)</f>
        <v>Excises</v>
      </c>
      <c r="C16" s="518"/>
      <c r="D16" s="518"/>
      <c r="E16" s="518"/>
      <c r="F16" s="518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7" t="str">
        <f>+VLOOKUP($A17,Master!$D$25:$G$223,4,FALSE)</f>
        <v>Tax on International Trade and Transactions</v>
      </c>
      <c r="C17" s="518"/>
      <c r="D17" s="518"/>
      <c r="E17" s="518"/>
      <c r="F17" s="518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7" t="e">
        <f>+VLOOKUP($A18,Master!$D$25:$G$223,4,FALSE)</f>
        <v>#N/A</v>
      </c>
      <c r="C18" s="518"/>
      <c r="D18" s="518"/>
      <c r="E18" s="518"/>
      <c r="F18" s="518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7" t="str">
        <f>+VLOOKUP($A19,Master!$D$25:$G$223,4,FALSE)</f>
        <v>Other Republic Taxes</v>
      </c>
      <c r="C19" s="518"/>
      <c r="D19" s="518"/>
      <c r="E19" s="518"/>
      <c r="F19" s="518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9" t="str">
        <f>+VLOOKUP($A20,Master!$D$25:$G$223,4,FALSE)</f>
        <v>Contributions</v>
      </c>
      <c r="C20" s="530"/>
      <c r="D20" s="530"/>
      <c r="E20" s="530"/>
      <c r="F20" s="53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7" t="str">
        <f>+VLOOKUP($A21,Master!$D$25:$G$223,4,FALSE)</f>
        <v>Contributions for Pension and Disability Insurance</v>
      </c>
      <c r="C21" s="518"/>
      <c r="D21" s="518"/>
      <c r="E21" s="518"/>
      <c r="F21" s="518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7" t="str">
        <f>+VLOOKUP($A22,Master!$D$25:$G$223,4,FALSE)</f>
        <v>Contributions for Health Insurance</v>
      </c>
      <c r="C22" s="518"/>
      <c r="D22" s="518"/>
      <c r="E22" s="518"/>
      <c r="F22" s="518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7" t="str">
        <f>+VLOOKUP($A23,Master!$D$25:$G$223,4,FALSE)</f>
        <v>Contributions for  Unemployment Insurance</v>
      </c>
      <c r="C23" s="518"/>
      <c r="D23" s="518"/>
      <c r="E23" s="518"/>
      <c r="F23" s="518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7" t="str">
        <f>+VLOOKUP($A24,Master!$D$25:$G$223,4,FALSE)</f>
        <v>Other contributions</v>
      </c>
      <c r="C24" s="518"/>
      <c r="D24" s="518"/>
      <c r="E24" s="518"/>
      <c r="F24" s="518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1" t="str">
        <f>+VLOOKUP($A25,Master!$D$25:$G$223,4,FALSE)</f>
        <v>Duties</v>
      </c>
      <c r="C25" s="522"/>
      <c r="D25" s="522"/>
      <c r="E25" s="522"/>
      <c r="F25" s="522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1" t="str">
        <f>+VLOOKUP($A26,Master!$D$25:$G$223,4,FALSE)</f>
        <v>Fees</v>
      </c>
      <c r="C26" s="522"/>
      <c r="D26" s="522"/>
      <c r="E26" s="522"/>
      <c r="F26" s="522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1" t="str">
        <f>+VLOOKUP($A27,Master!$D$25:$G$223,4,FALSE)</f>
        <v>Other revenues</v>
      </c>
      <c r="C27" s="522"/>
      <c r="D27" s="522"/>
      <c r="E27" s="522"/>
      <c r="F27" s="522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1" t="str">
        <f>+VLOOKUP($A28,Master!$D$25:$G$223,4,FALSE)</f>
        <v>Receipts from Repayment of Loans and Funds Carried over from Previous Year</v>
      </c>
      <c r="C28" s="522"/>
      <c r="D28" s="522"/>
      <c r="E28" s="522"/>
      <c r="F28" s="522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3" t="str">
        <f>+VLOOKUP($A29,Master!$D$25:$G$223,4,FALSE)</f>
        <v>Grants and Transfers</v>
      </c>
      <c r="C29" s="524"/>
      <c r="D29" s="524"/>
      <c r="E29" s="524"/>
      <c r="F29" s="52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7" t="str">
        <f>+VLOOKUP($A30,Master!$D$25:$G$223,4,FALSE)</f>
        <v>Total Expenditures</v>
      </c>
      <c r="C30" s="508"/>
      <c r="D30" s="508"/>
      <c r="E30" s="508"/>
      <c r="F30" s="508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5" t="str">
        <f>+VLOOKUP($A31,Master!$D$25:$G$223,4,FALSE)</f>
        <v>Current Expenditures</v>
      </c>
      <c r="C31" s="526"/>
      <c r="D31" s="526"/>
      <c r="E31" s="526"/>
      <c r="F31" s="526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7" t="str">
        <f>+VLOOKUP($A32,Master!$D$25:$G$223,4,FALSE)</f>
        <v>Current Budgetary Expenditures</v>
      </c>
      <c r="C32" s="528"/>
      <c r="D32" s="528"/>
      <c r="E32" s="528"/>
      <c r="F32" s="528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7" t="str">
        <f>+VLOOKUP($A33,Master!$D$25:$G$223,4,FALSE)</f>
        <v>Gross Salaries and Contributions</v>
      </c>
      <c r="C33" s="518"/>
      <c r="D33" s="518"/>
      <c r="E33" s="518"/>
      <c r="F33" s="518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7" t="str">
        <f>+VLOOKUP($A34,Master!$D$25:$G$223,4,FALSE)</f>
        <v>Other Personal Income</v>
      </c>
      <c r="C34" s="518"/>
      <c r="D34" s="518"/>
      <c r="E34" s="518"/>
      <c r="F34" s="518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7" t="str">
        <f>+VLOOKUP($A35,Master!$D$25:$G$223,4,FALSE)</f>
        <v>Expenditures for Supplies</v>
      </c>
      <c r="C35" s="518"/>
      <c r="D35" s="518"/>
      <c r="E35" s="518"/>
      <c r="F35" s="518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7" t="str">
        <f>+VLOOKUP($A36,Master!$D$25:$G$223,4,FALSE)</f>
        <v>Expenditures for Services</v>
      </c>
      <c r="C36" s="518"/>
      <c r="D36" s="518"/>
      <c r="E36" s="518"/>
      <c r="F36" s="518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7" t="str">
        <f>+VLOOKUP($A37,Master!$D$25:$G$223,4,FALSE)</f>
        <v>Current Maintenance</v>
      </c>
      <c r="C37" s="518"/>
      <c r="D37" s="518"/>
      <c r="E37" s="518"/>
      <c r="F37" s="518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7" t="str">
        <f>+VLOOKUP($A38,Master!$D$25:$G$223,4,FALSE)</f>
        <v>Interests</v>
      </c>
      <c r="C38" s="518"/>
      <c r="D38" s="518"/>
      <c r="E38" s="518"/>
      <c r="F38" s="518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7" t="str">
        <f>+VLOOKUP($A39,Master!$D$25:$G$223,4,FALSE)</f>
        <v>Rent</v>
      </c>
      <c r="C39" s="518"/>
      <c r="D39" s="518"/>
      <c r="E39" s="518"/>
      <c r="F39" s="518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7" t="str">
        <f>+VLOOKUP($A40,Master!$D$25:$G$223,4,FALSE)</f>
        <v>Subsidies</v>
      </c>
      <c r="C40" s="518"/>
      <c r="D40" s="518"/>
      <c r="E40" s="518"/>
      <c r="F40" s="518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7" t="str">
        <f>+VLOOKUP($A41,Master!$D$25:$G$223,4,FALSE)</f>
        <v>Other expenditures</v>
      </c>
      <c r="C41" s="518"/>
      <c r="D41" s="518"/>
      <c r="E41" s="518"/>
      <c r="F41" s="518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7" t="str">
        <f>+VLOOKUP($A42,Master!$D$25:$G$223,4,FALSE)</f>
        <v>Current Capital Expenditure</v>
      </c>
      <c r="C42" s="518"/>
      <c r="D42" s="518"/>
      <c r="E42" s="518"/>
      <c r="F42" s="518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5" t="str">
        <f>+VLOOKUP($A43,Master!$D$25:$G$223,4,FALSE)</f>
        <v>Social Security Transfers</v>
      </c>
      <c r="C43" s="516"/>
      <c r="D43" s="516"/>
      <c r="E43" s="516"/>
      <c r="F43" s="516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7" t="str">
        <f>+VLOOKUP($A44,Master!$D$25:$G$223,4,FALSE)</f>
        <v>Social Security</v>
      </c>
      <c r="C44" s="518"/>
      <c r="D44" s="518"/>
      <c r="E44" s="518"/>
      <c r="F44" s="518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7" t="str">
        <f>+VLOOKUP($A45,Master!$D$25:$G$223,4,FALSE)</f>
        <v>Funds for redundant labor</v>
      </c>
      <c r="C45" s="518"/>
      <c r="D45" s="518"/>
      <c r="E45" s="518"/>
      <c r="F45" s="518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7" t="str">
        <f>+VLOOKUP($A46,Master!$D$25:$G$223,4,FALSE)</f>
        <v>Pension and Disability Insurance</v>
      </c>
      <c r="C46" s="518"/>
      <c r="D46" s="518"/>
      <c r="E46" s="518"/>
      <c r="F46" s="518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7" t="str">
        <f>+VLOOKUP($A47,Master!$D$25:$G$223,4,FALSE)</f>
        <v>Other Health Care Transfers</v>
      </c>
      <c r="C47" s="518"/>
      <c r="D47" s="518"/>
      <c r="E47" s="518"/>
      <c r="F47" s="518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7" t="str">
        <f>+VLOOKUP($A48,Master!$D$25:$G$223,4,FALSE)</f>
        <v>Other Health Care Insurance</v>
      </c>
      <c r="C48" s="518"/>
      <c r="D48" s="518"/>
      <c r="E48" s="518"/>
      <c r="F48" s="518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9" t="str">
        <f>+VLOOKUP($A49,Master!$D$25:$G$223,4,FALSE)</f>
        <v xml:space="preserve">Transfers to Institutions, Individuals, NGO and Public Sector </v>
      </c>
      <c r="C49" s="520"/>
      <c r="D49" s="520"/>
      <c r="E49" s="520"/>
      <c r="F49" s="520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9" t="str">
        <f>+VLOOKUP($A50,Master!$D$25:$G$223,4,FALSE)</f>
        <v>Capital Expenditure</v>
      </c>
      <c r="C50" s="520"/>
      <c r="D50" s="520"/>
      <c r="E50" s="520"/>
      <c r="F50" s="520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3" t="str">
        <f>+VLOOKUP($A51,Master!$D$25:$G$223,4,FALSE)</f>
        <v>Credits and Borrowings</v>
      </c>
      <c r="C51" s="504"/>
      <c r="D51" s="504"/>
      <c r="E51" s="504"/>
      <c r="F51" s="50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3" t="str">
        <f>+VLOOKUP($A52,Master!$D$25:$G$223,4,FALSE)</f>
        <v>Reserves</v>
      </c>
      <c r="C52" s="504"/>
      <c r="D52" s="504"/>
      <c r="E52" s="504"/>
      <c r="F52" s="50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7" t="str">
        <f>+VLOOKUP($A53,Master!$D$25:$G$223,4,FALSE)</f>
        <v>Repayment of Guarantees</v>
      </c>
      <c r="C53" s="558"/>
      <c r="D53" s="558"/>
      <c r="E53" s="558"/>
      <c r="F53" s="558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7" t="str">
        <f>+VLOOKUP($A54,Master!$D$25:$G$223,4,FALSE)</f>
        <v>Repayments of Arrears</v>
      </c>
      <c r="C54" s="558"/>
      <c r="D54" s="558"/>
      <c r="E54" s="558"/>
      <c r="F54" s="558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7" t="str">
        <f>+VLOOKUP($A55,Master!$D$25:$G$225,4,FALSE)</f>
        <v>Net increase of liabilities</v>
      </c>
      <c r="C55" s="558"/>
      <c r="D55" s="558"/>
      <c r="E55" s="558"/>
      <c r="F55" s="558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1" t="str">
        <f>+VLOOKUP($A56,Master!$D$25:$G$223,4,FALSE)</f>
        <v>Surplus / deficit</v>
      </c>
      <c r="C56" s="512"/>
      <c r="D56" s="512"/>
      <c r="E56" s="512"/>
      <c r="F56" s="512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3" t="str">
        <f>+VLOOKUP($A57,Master!$D$25:$G$223,4,FALSE)</f>
        <v>Primary balance</v>
      </c>
      <c r="C57" s="514"/>
      <c r="D57" s="514"/>
      <c r="E57" s="514"/>
      <c r="F57" s="514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5" t="str">
        <f>+VLOOKUP($A58,Master!$D$25:$G$223,4,FALSE)</f>
        <v>Repayment of Debt</v>
      </c>
      <c r="C58" s="516"/>
      <c r="D58" s="516"/>
      <c r="E58" s="516"/>
      <c r="F58" s="516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9" t="str">
        <f>+VLOOKUP($A59,Master!$D$25:$G$223,4,FALSE)</f>
        <v>Repayment of Domestic Debt</v>
      </c>
      <c r="C59" s="510"/>
      <c r="D59" s="510"/>
      <c r="E59" s="510"/>
      <c r="F59" s="510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3" t="str">
        <f>+VLOOKUP($A60,Master!$D$25:$G$223,4,FALSE)</f>
        <v>Repayment of Foreign Debt</v>
      </c>
      <c r="C60" s="504"/>
      <c r="D60" s="504"/>
      <c r="E60" s="504"/>
      <c r="F60" s="50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5" t="str">
        <f>+VLOOKUP($A61,Master!$D$25:$G$223,4,FALSE)</f>
        <v>Financing needs</v>
      </c>
      <c r="C61" s="506"/>
      <c r="D61" s="506"/>
      <c r="E61" s="506"/>
      <c r="F61" s="506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7" t="str">
        <f>+VLOOKUP($A62,Master!$D$25:$G$223,4,FALSE)</f>
        <v>Financing</v>
      </c>
      <c r="C62" s="508"/>
      <c r="D62" s="508"/>
      <c r="E62" s="508"/>
      <c r="F62" s="508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9" t="str">
        <f>+VLOOKUP($A63,Master!$D$25:$G$223,4,FALSE)</f>
        <v>Domestic Loans and Borrowings</v>
      </c>
      <c r="C63" s="510"/>
      <c r="D63" s="510"/>
      <c r="E63" s="510"/>
      <c r="F63" s="510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3" t="str">
        <f>+VLOOKUP($A64,Master!$D$25:$G$223,4,FALSE)</f>
        <v>Foreign Loans and Borrowings</v>
      </c>
      <c r="C64" s="504"/>
      <c r="D64" s="504"/>
      <c r="E64" s="504"/>
      <c r="F64" s="50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3" t="str">
        <f>+VLOOKUP($A65,Master!$D$25:$G$223,4,FALSE)</f>
        <v>Revenues from Selling Assets</v>
      </c>
      <c r="C65" s="504"/>
      <c r="D65" s="504"/>
      <c r="E65" s="504"/>
      <c r="F65" s="50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6" t="str">
        <f>+Master!G250</f>
        <v>Planned Budget Execution</v>
      </c>
      <c r="C102" s="456"/>
      <c r="D102" s="456"/>
      <c r="E102" s="456"/>
      <c r="F102" s="456"/>
      <c r="G102" s="464">
        <v>2013</v>
      </c>
      <c r="H102" s="465"/>
      <c r="I102" s="465"/>
      <c r="J102" s="465"/>
      <c r="K102" s="465"/>
      <c r="L102" s="465"/>
      <c r="M102" s="465"/>
      <c r="N102" s="465"/>
      <c r="O102" s="465"/>
      <c r="P102" s="465"/>
      <c r="Q102" s="465"/>
      <c r="R102" s="465"/>
      <c r="S102" s="465"/>
      <c r="T102" s="465"/>
      <c r="U102" s="468"/>
      <c r="V102" s="363"/>
      <c r="W102" s="260" t="str">
        <f>+W7</f>
        <v>GDP</v>
      </c>
      <c r="X102" s="261">
        <v>3393200615</v>
      </c>
    </row>
    <row r="103" spans="1:24" ht="15.75" customHeight="1">
      <c r="A103" s="169"/>
      <c r="B103" s="457"/>
      <c r="C103" s="458"/>
      <c r="D103" s="458"/>
      <c r="E103" s="458"/>
      <c r="F103" s="459"/>
      <c r="G103" s="170" t="str">
        <f t="shared" ref="G103:U103" si="20">+G8</f>
        <v>January</v>
      </c>
      <c r="H103" s="170" t="str">
        <f t="shared" si="20"/>
        <v>February</v>
      </c>
      <c r="I103" s="170" t="str">
        <f t="shared" si="20"/>
        <v>March</v>
      </c>
      <c r="J103" s="170"/>
      <c r="K103" s="170" t="str">
        <f t="shared" si="20"/>
        <v>April</v>
      </c>
      <c r="L103" s="170" t="str">
        <f t="shared" si="20"/>
        <v>May</v>
      </c>
      <c r="M103" s="170" t="str">
        <f t="shared" si="20"/>
        <v>June</v>
      </c>
      <c r="N103" s="170"/>
      <c r="O103" s="170" t="str">
        <f t="shared" si="20"/>
        <v>July</v>
      </c>
      <c r="P103" s="170" t="str">
        <f t="shared" si="20"/>
        <v>August</v>
      </c>
      <c r="Q103" s="170" t="str">
        <f t="shared" si="20"/>
        <v>September</v>
      </c>
      <c r="R103" s="170"/>
      <c r="S103" s="170" t="str">
        <f t="shared" si="20"/>
        <v>October</v>
      </c>
      <c r="T103" s="170" t="str">
        <f t="shared" si="20"/>
        <v>November</v>
      </c>
      <c r="U103" s="170" t="str">
        <f t="shared" si="20"/>
        <v>December</v>
      </c>
      <c r="V103" s="170"/>
      <c r="W103" s="464" t="str">
        <f>+Master!G244</f>
        <v>Jan - Dec</v>
      </c>
      <c r="X103" s="468">
        <f>+X8</f>
        <v>0</v>
      </c>
    </row>
    <row r="104" spans="1:24" ht="13.5" thickBot="1">
      <c r="A104" s="169"/>
      <c r="B104" s="460"/>
      <c r="C104" s="461"/>
      <c r="D104" s="461"/>
      <c r="E104" s="461"/>
      <c r="F104" s="462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GDP</v>
      </c>
    </row>
    <row r="105" spans="1:24" ht="13.5" thickBot="1">
      <c r="A105" s="297" t="str">
        <f t="shared" ref="A105:A148" si="21">+CONCATENATE(A10,"p")</f>
        <v>7p</v>
      </c>
      <c r="B105" s="497" t="str">
        <f>+VLOOKUP(LEFT($A105,LEN(A105)-1)*1,Master!$D$25:$G$223,4,FALSE)</f>
        <v>Total Revenues</v>
      </c>
      <c r="C105" s="498"/>
      <c r="D105" s="498"/>
      <c r="E105" s="498"/>
      <c r="F105" s="498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9" t="str">
        <f>+VLOOKUP(LEFT($A106,LEN(A106)-1)*1,Master!$D$25:$G$223,4,FALSE)</f>
        <v>Taxes</v>
      </c>
      <c r="C106" s="500"/>
      <c r="D106" s="500"/>
      <c r="E106" s="500"/>
      <c r="F106" s="500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5" t="str">
        <f>+VLOOKUP(LEFT($A107,LEN(A107)-1)*1,Master!$D$25:$G$223,4,FALSE)</f>
        <v>Personal Income Tax</v>
      </c>
      <c r="C107" s="486"/>
      <c r="D107" s="486"/>
      <c r="E107" s="486"/>
      <c r="F107" s="486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5" t="str">
        <f>+VLOOKUP(LEFT($A108,LEN(A108)-1)*1,Master!$D$25:$G$223,4,FALSE)</f>
        <v>Corporate Income Tax</v>
      </c>
      <c r="C108" s="486"/>
      <c r="D108" s="486"/>
      <c r="E108" s="486"/>
      <c r="F108" s="486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5" t="str">
        <f>+VLOOKUP(LEFT($A109,LEN(A109)-1)*1,Master!$D$25:$G$223,4,FALSE)</f>
        <v xml:space="preserve">Taxes on Sales of Property </v>
      </c>
      <c r="C109" s="486"/>
      <c r="D109" s="486"/>
      <c r="E109" s="486"/>
      <c r="F109" s="486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5" t="str">
        <f>+VLOOKUP(LEFT($A110,LEN(A110)-1)*1,Master!$D$25:$G$223,4,FALSE)</f>
        <v>Value Added Tax</v>
      </c>
      <c r="C110" s="486"/>
      <c r="D110" s="486"/>
      <c r="E110" s="486"/>
      <c r="F110" s="486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5" t="str">
        <f>+VLOOKUP(LEFT($A111,LEN(A111)-1)*1,Master!$D$25:$G$223,4,FALSE)</f>
        <v>Excises</v>
      </c>
      <c r="C111" s="486"/>
      <c r="D111" s="486"/>
      <c r="E111" s="486"/>
      <c r="F111" s="486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5" t="str">
        <f>+VLOOKUP(LEFT($A112,LEN(A112)-1)*1,Master!$D$25:$G$223,4,FALSE)</f>
        <v>Tax on International Trade and Transactions</v>
      </c>
      <c r="C112" s="486"/>
      <c r="D112" s="486"/>
      <c r="E112" s="486"/>
      <c r="F112" s="486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5" t="e">
        <f>+VLOOKUP(LEFT($A113,LEN(A113)-1)*1,Master!$D$25:$G$223,4,FALSE)</f>
        <v>#N/A</v>
      </c>
      <c r="C113" s="486"/>
      <c r="D113" s="486"/>
      <c r="E113" s="486"/>
      <c r="F113" s="486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5" t="str">
        <f>+VLOOKUP(LEFT($A114,LEN(A114)-1)*1,Master!$D$25:$G$223,4,FALSE)</f>
        <v>Other Republic Taxes</v>
      </c>
      <c r="C114" s="486"/>
      <c r="D114" s="486"/>
      <c r="E114" s="486"/>
      <c r="F114" s="486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5" t="str">
        <f>+VLOOKUP(LEFT($A115,LEN(A115)-1)*1,Master!$D$25:$G$223,4,FALSE)</f>
        <v>Contributions</v>
      </c>
      <c r="C115" s="496"/>
      <c r="D115" s="496"/>
      <c r="E115" s="496"/>
      <c r="F115" s="496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5" t="str">
        <f>+VLOOKUP(LEFT($A116,LEN(A116)-1)*1,Master!$D$25:$G$223,4,FALSE)</f>
        <v>Contributions for Pension and Disability Insurance</v>
      </c>
      <c r="C116" s="486"/>
      <c r="D116" s="486"/>
      <c r="E116" s="486"/>
      <c r="F116" s="486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5" t="str">
        <f>+VLOOKUP(LEFT($A117,LEN(A117)-1)*1,Master!$D$25:$G$223,4,FALSE)</f>
        <v>Contributions for Health Insurance</v>
      </c>
      <c r="C117" s="486"/>
      <c r="D117" s="486"/>
      <c r="E117" s="486"/>
      <c r="F117" s="486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5" t="str">
        <f>+VLOOKUP(LEFT($A118,LEN(A118)-1)*1,Master!$D$25:$G$223,4,FALSE)</f>
        <v>Contributions for  Unemployment Insurance</v>
      </c>
      <c r="C118" s="486"/>
      <c r="D118" s="486"/>
      <c r="E118" s="486"/>
      <c r="F118" s="486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5" t="str">
        <f>+VLOOKUP(LEFT($A119,LEN(A119)-1)*1,Master!$D$25:$G$223,4,FALSE)</f>
        <v>Other contributions</v>
      </c>
      <c r="C119" s="486"/>
      <c r="D119" s="486"/>
      <c r="E119" s="486"/>
      <c r="F119" s="486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7" t="str">
        <f>+VLOOKUP(LEFT($A120,LEN(A120)-1)*1,Master!$D$25:$G$223,4,FALSE)</f>
        <v>Duties</v>
      </c>
      <c r="C120" s="488"/>
      <c r="D120" s="488"/>
      <c r="E120" s="488"/>
      <c r="F120" s="488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7" t="str">
        <f>+VLOOKUP(LEFT($A121,LEN(A121)-1)*1,Master!$D$25:$G$223,4,FALSE)</f>
        <v>Fees</v>
      </c>
      <c r="C121" s="488"/>
      <c r="D121" s="488"/>
      <c r="E121" s="488"/>
      <c r="F121" s="488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7" t="str">
        <f>+VLOOKUP(LEFT($A122,LEN(A122)-1)*1,Master!$D$25:$G$223,4,FALSE)</f>
        <v>Other revenues</v>
      </c>
      <c r="C122" s="488"/>
      <c r="D122" s="488"/>
      <c r="E122" s="488"/>
      <c r="F122" s="488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7" t="str">
        <f>+VLOOKUP(LEFT($A123,LEN(A123)-1)*1,Master!$D$25:$G$223,4,FALSE)</f>
        <v>Receipts from Repayment of Loans and Funds Carried over from Previous Year</v>
      </c>
      <c r="C123" s="488"/>
      <c r="D123" s="488"/>
      <c r="E123" s="488"/>
      <c r="F123" s="488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9" t="str">
        <f>+VLOOKUP(LEFT($A124,LEN(A124)-1)*1,Master!$D$25:$G$223,4,FALSE)</f>
        <v>Grants and Transfers</v>
      </c>
      <c r="C124" s="490"/>
      <c r="D124" s="490"/>
      <c r="E124" s="490"/>
      <c r="F124" s="490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5" t="str">
        <f>+VLOOKUP(LEFT($A125,LEN(A125)-1)*1,Master!$D$25:$G$223,4,FALSE)</f>
        <v>Total Expenditures</v>
      </c>
      <c r="C125" s="476"/>
      <c r="D125" s="476"/>
      <c r="E125" s="476"/>
      <c r="F125" s="476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1" t="str">
        <f>+VLOOKUP(LEFT($A126,LEN(A126)-1)*1,Master!$D$25:$G$223,4,FALSE)</f>
        <v>Current Expenditures</v>
      </c>
      <c r="C126" s="492"/>
      <c r="D126" s="492"/>
      <c r="E126" s="492"/>
      <c r="F126" s="492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3" t="str">
        <f>+VLOOKUP(LEFT($A127,LEN(A127)-1)*1,Master!$D$25:$G$223,4,FALSE)</f>
        <v>Current Budgetary Expenditures</v>
      </c>
      <c r="C127" s="494"/>
      <c r="D127" s="494"/>
      <c r="E127" s="494"/>
      <c r="F127" s="494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5" t="str">
        <f>+VLOOKUP(LEFT($A128,LEN(A128)-1)*1,Master!$D$25:$G$223,4,FALSE)</f>
        <v>Gross Salaries and Contributions</v>
      </c>
      <c r="C128" s="486"/>
      <c r="D128" s="486"/>
      <c r="E128" s="486"/>
      <c r="F128" s="486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5" t="str">
        <f>+VLOOKUP(LEFT($A129,LEN(A129)-1)*1,Master!$D$25:$G$223,4,FALSE)</f>
        <v>Other Personal Income</v>
      </c>
      <c r="C129" s="486"/>
      <c r="D129" s="486"/>
      <c r="E129" s="486"/>
      <c r="F129" s="486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5" t="str">
        <f>+VLOOKUP(LEFT($A130,LEN(A130)-1)*1,Master!$D$25:$G$223,4,FALSE)</f>
        <v>Expenditures for Supplies</v>
      </c>
      <c r="C130" s="486"/>
      <c r="D130" s="486"/>
      <c r="E130" s="486"/>
      <c r="F130" s="486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5" t="str">
        <f>+VLOOKUP(LEFT($A131,LEN(A131)-1)*1,Master!$D$25:$G$223,4,FALSE)</f>
        <v>Expenditures for Services</v>
      </c>
      <c r="C131" s="486"/>
      <c r="D131" s="486"/>
      <c r="E131" s="486"/>
      <c r="F131" s="486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5" t="str">
        <f>+VLOOKUP(LEFT($A132,LEN(A132)-1)*1,Master!$D$25:$G$223,4,FALSE)</f>
        <v>Current Maintenance</v>
      </c>
      <c r="C132" s="486"/>
      <c r="D132" s="486"/>
      <c r="E132" s="486"/>
      <c r="F132" s="486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5" t="str">
        <f>+VLOOKUP(LEFT($A133,LEN(A133)-1)*1,Master!$D$25:$G$223,4,FALSE)</f>
        <v>Interests</v>
      </c>
      <c r="C133" s="486"/>
      <c r="D133" s="486"/>
      <c r="E133" s="486"/>
      <c r="F133" s="486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5" t="str">
        <f>+VLOOKUP(LEFT($A134,LEN(A134)-1)*1,Master!$D$25:$G$223,4,FALSE)</f>
        <v>Rent</v>
      </c>
      <c r="C134" s="486"/>
      <c r="D134" s="486"/>
      <c r="E134" s="486"/>
      <c r="F134" s="486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5" t="str">
        <f>+VLOOKUP(LEFT($A135,LEN(A135)-1)*1,Master!$D$25:$G$223,4,FALSE)</f>
        <v>Subsidies</v>
      </c>
      <c r="C135" s="486"/>
      <c r="D135" s="486"/>
      <c r="E135" s="486"/>
      <c r="F135" s="486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5" t="str">
        <f>+VLOOKUP(LEFT($A136,LEN(A136)-1)*1,Master!$D$25:$G$223,4,FALSE)</f>
        <v>Other expenditures</v>
      </c>
      <c r="C136" s="486"/>
      <c r="D136" s="486"/>
      <c r="E136" s="486"/>
      <c r="F136" s="486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5" t="str">
        <f>+VLOOKUP(LEFT($A137,LEN(A137)-1)*1,Master!$D$25:$G$223,4,FALSE)</f>
        <v>Current Capital Expenditure</v>
      </c>
      <c r="C137" s="486"/>
      <c r="D137" s="486"/>
      <c r="E137" s="486"/>
      <c r="F137" s="486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1" t="str">
        <f>+VLOOKUP(LEFT($A138,LEN(A138)-1)*1,Master!$D$25:$G$223,4,FALSE)</f>
        <v>Social Security Transfers</v>
      </c>
      <c r="C138" s="482"/>
      <c r="D138" s="482"/>
      <c r="E138" s="482"/>
      <c r="F138" s="482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5" t="str">
        <f>+VLOOKUP(LEFT($A139,LEN(A139)-1)*1,Master!$D$25:$G$223,4,FALSE)</f>
        <v>Social Security</v>
      </c>
      <c r="C139" s="486"/>
      <c r="D139" s="486"/>
      <c r="E139" s="486"/>
      <c r="F139" s="486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5" t="str">
        <f>+VLOOKUP(LEFT($A140,LEN(A140)-1)*1,Master!$D$25:$G$223,4,FALSE)</f>
        <v>Funds for redundant labor</v>
      </c>
      <c r="C140" s="486"/>
      <c r="D140" s="486"/>
      <c r="E140" s="486"/>
      <c r="F140" s="486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5" t="str">
        <f>+VLOOKUP(LEFT($A141,LEN(A141)-1)*1,Master!$D$25:$G$223,4,FALSE)</f>
        <v>Pension and Disability Insurance</v>
      </c>
      <c r="C141" s="486"/>
      <c r="D141" s="486"/>
      <c r="E141" s="486"/>
      <c r="F141" s="486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5" t="str">
        <f>+VLOOKUP(LEFT($A142,LEN(A142)-1)*1,Master!$D$25:$G$223,4,FALSE)</f>
        <v>Other Health Care Transfers</v>
      </c>
      <c r="C142" s="486"/>
      <c r="D142" s="486"/>
      <c r="E142" s="486"/>
      <c r="F142" s="486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5" t="str">
        <f>+VLOOKUP(LEFT($A143,LEN(A143)-1)*1,Master!$D$25:$G$223,4,FALSE)</f>
        <v>Other Health Care Insurance</v>
      </c>
      <c r="C143" s="486"/>
      <c r="D143" s="486"/>
      <c r="E143" s="486"/>
      <c r="F143" s="486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3" t="str">
        <f>+VLOOKUP(LEFT($A144,LEN(A144)-1)*1,Master!$D$25:$G$223,4,FALSE)</f>
        <v xml:space="preserve">Transfers to Institutions, Individuals, NGO and Public Sector </v>
      </c>
      <c r="C144" s="484"/>
      <c r="D144" s="484"/>
      <c r="E144" s="484"/>
      <c r="F144" s="484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3" t="str">
        <f>+VLOOKUP(LEFT($A145,LEN(A145)-1)*1,Master!$D$25:$G$223,4,FALSE)</f>
        <v>Capital Expenditure</v>
      </c>
      <c r="C145" s="484"/>
      <c r="D145" s="484"/>
      <c r="E145" s="484"/>
      <c r="F145" s="484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3" t="str">
        <f>+VLOOKUP(LEFT($A146,LEN(A146)-1)*1,Master!$D$25:$G$223,4,FALSE)</f>
        <v>Credits and Borrowings</v>
      </c>
      <c r="C146" s="454"/>
      <c r="D146" s="454"/>
      <c r="E146" s="454"/>
      <c r="F146" s="454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3" t="str">
        <f>+VLOOKUP(LEFT($A147,LEN(A147)-1)*1,Master!$D$25:$G$223,4,FALSE)</f>
        <v>Reserves</v>
      </c>
      <c r="C147" s="454"/>
      <c r="D147" s="454"/>
      <c r="E147" s="454"/>
      <c r="F147" s="454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1" t="str">
        <f>+VLOOKUP(LEFT($A148,LEN(A148)-1)*1,Master!$D$25:$G$223,4,FALSE)</f>
        <v>Repayment of Guarantees</v>
      </c>
      <c r="C148" s="472"/>
      <c r="D148" s="472"/>
      <c r="E148" s="472"/>
      <c r="F148" s="472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7" t="str">
        <f>+VLOOKUP(LEFT($A149,LEN(A149)-1)*1,Master!$D$25:$G$223,4,FALSE)</f>
        <v>Surplus / deficit</v>
      </c>
      <c r="C149" s="478"/>
      <c r="D149" s="478"/>
      <c r="E149" s="478"/>
      <c r="F149" s="478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9" t="str">
        <f>+VLOOKUP(LEFT($A150,LEN(A150)-1)*1,Master!$D$25:$G$223,4,FALSE)</f>
        <v>Primary balance</v>
      </c>
      <c r="C150" s="480"/>
      <c r="D150" s="480"/>
      <c r="E150" s="480"/>
      <c r="F150" s="480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1" t="str">
        <f>+VLOOKUP(LEFT($A151,LEN(A151)-1)*1,Master!$D$25:$G$223,4,FALSE)</f>
        <v>Repayment of Debt</v>
      </c>
      <c r="C151" s="482"/>
      <c r="D151" s="482"/>
      <c r="E151" s="482"/>
      <c r="F151" s="482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9" t="str">
        <f>+VLOOKUP(LEFT($A152,LEN(A152)-1)*1,Master!$D$25:$G$223,4,FALSE)</f>
        <v>Repayment of Domestic Debt</v>
      </c>
      <c r="C152" s="470"/>
      <c r="D152" s="470"/>
      <c r="E152" s="470"/>
      <c r="F152" s="470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3" t="str">
        <f>+VLOOKUP(LEFT($A153,LEN(A153)-1)*1,Master!$D$25:$G$223,4,FALSE)</f>
        <v>Repayment of Foreign Debt</v>
      </c>
      <c r="C153" s="454"/>
      <c r="D153" s="454"/>
      <c r="E153" s="454"/>
      <c r="F153" s="454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1" t="str">
        <f>+VLOOKUP(LEFT($A154,LEN(A154)-1)*1,Master!$D$25:$G$223,4,FALSE)</f>
        <v>Repayments of Arrears</v>
      </c>
      <c r="C154" s="472"/>
      <c r="D154" s="472"/>
      <c r="E154" s="472"/>
      <c r="F154" s="472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3" t="str">
        <f>+VLOOKUP(LEFT($A155,LEN(A155)-1)*1,Master!$D$25:$G$223,4,FALSE)</f>
        <v>Financing needs</v>
      </c>
      <c r="C155" s="474"/>
      <c r="D155" s="474"/>
      <c r="E155" s="474"/>
      <c r="F155" s="474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5" t="str">
        <f>+VLOOKUP(LEFT($A156,LEN(A156)-1)*1,Master!$D$25:$G$223,4,FALSE)</f>
        <v>Financing</v>
      </c>
      <c r="C156" s="476"/>
      <c r="D156" s="476"/>
      <c r="E156" s="476"/>
      <c r="F156" s="476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9" t="str">
        <f>+VLOOKUP(LEFT($A157,LEN(A157)-1)*1,Master!$D$25:$G$223,4,FALSE)</f>
        <v>Domestic Loans and Borrowings</v>
      </c>
      <c r="C157" s="470"/>
      <c r="D157" s="470"/>
      <c r="E157" s="470"/>
      <c r="F157" s="470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3" t="str">
        <f>+VLOOKUP(LEFT($A158,LEN(A158)-1)*1,Master!$D$25:$G$223,4,FALSE)</f>
        <v>Foreign Loans and Borrowings</v>
      </c>
      <c r="C158" s="454"/>
      <c r="D158" s="454"/>
      <c r="E158" s="454"/>
      <c r="F158" s="454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3" t="str">
        <f>+VLOOKUP(LEFT($A159,LEN(A159)-1)*1,Master!$D$25:$G$223,4,FALSE)</f>
        <v>Revenues from Selling Assets</v>
      </c>
      <c r="C159" s="454"/>
      <c r="D159" s="454"/>
      <c r="E159" s="454"/>
      <c r="F159" s="454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Increase / decrease of deposits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Analytics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 Poleksic</cp:lastModifiedBy>
  <cp:lastPrinted>2017-03-01T13:10:49Z</cp:lastPrinted>
  <dcterms:created xsi:type="dcterms:W3CDTF">2014-09-15T13:41:17Z</dcterms:created>
  <dcterms:modified xsi:type="dcterms:W3CDTF">2018-10-11T10:09:59Z</dcterms:modified>
</cp:coreProperties>
</file>