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workbookProtection workbookAlgorithmName="SHA-512" workbookHashValue="FV3qZlQwTJsEKn457U6Wrb25n0dBMYGj9BFnhk4CBJSW+10Hj15zK5eL8Oj5l8w3NC4BpEmWrjUqtvm/HBdbcA==" workbookSaltValue="qPSqJ3Gb5d0/IrpQIFAi4w==" workbookSpinCount="100000" lockStructure="1"/>
  <bookViews>
    <workbookView xWindow="0" yWindow="0" windowWidth="19200" windowHeight="7050" tabRatio="587" firstSheet="1" activeTab="2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'2023'!$A$83:$A$140</definedName>
  </definedNames>
  <calcPr calcId="162913"/>
</workbook>
</file>

<file path=xl/calcChain.xml><?xml version="1.0" encoding="utf-8"?>
<calcChain xmlns="http://schemas.openxmlformats.org/spreadsheetml/2006/main">
  <c r="T64" i="11" l="1"/>
  <c r="S64" i="11"/>
  <c r="R64" i="11"/>
  <c r="Q64" i="11"/>
  <c r="P64" i="11"/>
  <c r="N64" i="11"/>
  <c r="M64" i="11"/>
  <c r="L64" i="11"/>
  <c r="K64" i="11"/>
  <c r="J64" i="11"/>
  <c r="I64" i="11"/>
  <c r="B64" i="11"/>
  <c r="H47" i="26" l="1"/>
  <c r="R65" i="11" l="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5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K65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5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S59" i="26" l="1"/>
  <c r="T59" i="26" s="1"/>
  <c r="S65" i="26"/>
  <c r="S59" i="25"/>
  <c r="S65" i="25"/>
  <c r="T65" i="26" l="1"/>
  <c r="G64" i="11"/>
  <c r="T65" i="25"/>
  <c r="D17" i="1" l="1"/>
  <c r="D21" i="1" s="1"/>
  <c r="R40" i="25" l="1"/>
  <c r="G245" i="2" l="1"/>
  <c r="R123" i="26" l="1"/>
  <c r="Q123" i="26"/>
  <c r="P123" i="26"/>
  <c r="O123" i="26"/>
  <c r="N123" i="26"/>
  <c r="M123" i="26"/>
  <c r="L123" i="26"/>
  <c r="K123" i="26"/>
  <c r="J123" i="26"/>
  <c r="I123" i="26"/>
  <c r="H123" i="26"/>
  <c r="G123" i="26"/>
  <c r="R125" i="26"/>
  <c r="R122" i="26"/>
  <c r="R113" i="26"/>
  <c r="R115" i="26"/>
  <c r="R110" i="26"/>
  <c r="R109" i="26"/>
  <c r="R107" i="26"/>
  <c r="R40" i="26" l="1"/>
  <c r="A140" i="26"/>
  <c r="S139" i="26"/>
  <c r="T139" i="26" s="1"/>
  <c r="A139" i="26"/>
  <c r="S138" i="26"/>
  <c r="T138" i="26" s="1"/>
  <c r="A138" i="26"/>
  <c r="S137" i="26"/>
  <c r="T137" i="26" s="1"/>
  <c r="A137" i="26"/>
  <c r="A136" i="26"/>
  <c r="A135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L87" i="26"/>
  <c r="K87" i="26"/>
  <c r="J87" i="26"/>
  <c r="I87" i="26"/>
  <c r="H87" i="26"/>
  <c r="G87" i="26"/>
  <c r="A87" i="26"/>
  <c r="A86" i="26"/>
  <c r="T84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L40" i="26"/>
  <c r="K40" i="26"/>
  <c r="J40" i="26"/>
  <c r="I40" i="26"/>
  <c r="H40" i="26"/>
  <c r="G40" i="26"/>
  <c r="S39" i="26"/>
  <c r="S38" i="26"/>
  <c r="S37" i="26"/>
  <c r="S36" i="26"/>
  <c r="S35" i="26"/>
  <c r="S34" i="26"/>
  <c r="S33" i="26"/>
  <c r="S32" i="26"/>
  <c r="S31" i="26"/>
  <c r="R30" i="26"/>
  <c r="Q30" i="26"/>
  <c r="Q29" i="26" s="1"/>
  <c r="P30" i="26"/>
  <c r="O30" i="26"/>
  <c r="N30" i="26"/>
  <c r="N29" i="26" s="1"/>
  <c r="M30" i="26"/>
  <c r="M29" i="26" s="1"/>
  <c r="L30" i="26"/>
  <c r="K30" i="26"/>
  <c r="J30" i="26"/>
  <c r="I30" i="26"/>
  <c r="H30" i="26"/>
  <c r="G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L19" i="26"/>
  <c r="K19" i="26"/>
  <c r="J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R5" i="26"/>
  <c r="Q5" i="26"/>
  <c r="P5" i="26"/>
  <c r="O5" i="26"/>
  <c r="N5" i="26"/>
  <c r="M5" i="26"/>
  <c r="L5" i="26"/>
  <c r="K5" i="26"/>
  <c r="J5" i="26"/>
  <c r="I5" i="26"/>
  <c r="H5" i="26"/>
  <c r="G5" i="26"/>
  <c r="Q10" i="26" l="1"/>
  <c r="L29" i="26"/>
  <c r="N105" i="26"/>
  <c r="J29" i="26"/>
  <c r="T58" i="26"/>
  <c r="G58" i="11"/>
  <c r="T52" i="26"/>
  <c r="G52" i="11"/>
  <c r="T64" i="26"/>
  <c r="G63" i="11"/>
  <c r="T63" i="26"/>
  <c r="G62" i="11"/>
  <c r="T62" i="26"/>
  <c r="G61" i="11"/>
  <c r="T57" i="26"/>
  <c r="G57" i="11"/>
  <c r="T56" i="26"/>
  <c r="G56" i="11"/>
  <c r="T51" i="26"/>
  <c r="G51" i="11"/>
  <c r="T50" i="26"/>
  <c r="G50" i="11"/>
  <c r="T49" i="26"/>
  <c r="G49" i="11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I29" i="26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T16" i="26"/>
  <c r="G16" i="11"/>
  <c r="T13" i="26"/>
  <c r="G13" i="11"/>
  <c r="T17" i="26"/>
  <c r="G17" i="11"/>
  <c r="T31" i="26"/>
  <c r="G31" i="11"/>
  <c r="H29" i="26"/>
  <c r="K29" i="26"/>
  <c r="O29" i="26"/>
  <c r="R105" i="26"/>
  <c r="J10" i="26"/>
  <c r="N10" i="26"/>
  <c r="N53" i="26" s="1"/>
  <c r="N60" i="26" s="1"/>
  <c r="R10" i="26"/>
  <c r="P29" i="26"/>
  <c r="H86" i="26"/>
  <c r="P86" i="26"/>
  <c r="S19" i="26"/>
  <c r="T125" i="26"/>
  <c r="T123" i="26"/>
  <c r="T122" i="26"/>
  <c r="T115" i="26"/>
  <c r="T113" i="26"/>
  <c r="T110" i="26"/>
  <c r="T109" i="26"/>
  <c r="T107" i="26"/>
  <c r="G29" i="26"/>
  <c r="J86" i="26"/>
  <c r="N86" i="26"/>
  <c r="R86" i="26"/>
  <c r="S95" i="26"/>
  <c r="T95" i="26" s="1"/>
  <c r="O86" i="26"/>
  <c r="G105" i="26"/>
  <c r="K105" i="26"/>
  <c r="O105" i="26"/>
  <c r="O129" i="26" s="1"/>
  <c r="O130" i="26" s="1"/>
  <c r="Q105" i="26"/>
  <c r="J105" i="26"/>
  <c r="I105" i="26"/>
  <c r="M105" i="26"/>
  <c r="S131" i="26"/>
  <c r="T131" i="26" s="1"/>
  <c r="H105" i="26"/>
  <c r="L105" i="26"/>
  <c r="P105" i="26"/>
  <c r="S116" i="26"/>
  <c r="T116" i="26" s="1"/>
  <c r="S106" i="26"/>
  <c r="G86" i="26"/>
  <c r="K86" i="26"/>
  <c r="L86" i="26"/>
  <c r="I86" i="26"/>
  <c r="M86" i="26"/>
  <c r="Q86" i="26"/>
  <c r="R29" i="26"/>
  <c r="S55" i="26"/>
  <c r="S40" i="26"/>
  <c r="K10" i="26"/>
  <c r="O10" i="26"/>
  <c r="H10" i="26"/>
  <c r="L10" i="26"/>
  <c r="L53" i="26" s="1"/>
  <c r="P10" i="26"/>
  <c r="I10" i="26"/>
  <c r="M10" i="26"/>
  <c r="M53" i="26" s="1"/>
  <c r="M60" i="26" s="1"/>
  <c r="S11" i="26"/>
  <c r="Q53" i="26"/>
  <c r="Q60" i="26" s="1"/>
  <c r="S30" i="26"/>
  <c r="S87" i="26"/>
  <c r="T87" i="26" s="1"/>
  <c r="G10" i="26"/>
  <c r="K53" i="26" l="1"/>
  <c r="K54" i="26" s="1"/>
  <c r="L54" i="26"/>
  <c r="L60" i="26"/>
  <c r="N129" i="26"/>
  <c r="N130" i="26" s="1"/>
  <c r="K129" i="26"/>
  <c r="K130" i="26" s="1"/>
  <c r="R53" i="26"/>
  <c r="R129" i="26"/>
  <c r="R130" i="26" s="1"/>
  <c r="P53" i="26"/>
  <c r="P60" i="26" s="1"/>
  <c r="J53" i="26"/>
  <c r="T55" i="26"/>
  <c r="G55" i="11"/>
  <c r="T40" i="26"/>
  <c r="G40" i="11"/>
  <c r="D16" i="1"/>
  <c r="E16" i="1" s="1"/>
  <c r="I53" i="26"/>
  <c r="D12" i="1"/>
  <c r="E12" i="1" s="1"/>
  <c r="T19" i="26"/>
  <c r="G19" i="11"/>
  <c r="T11" i="26"/>
  <c r="G11" i="11"/>
  <c r="T30" i="26"/>
  <c r="G30" i="11"/>
  <c r="O53" i="26"/>
  <c r="O60" i="26" s="1"/>
  <c r="H53" i="26"/>
  <c r="H60" i="26" s="1"/>
  <c r="P129" i="26"/>
  <c r="P130" i="26" s="1"/>
  <c r="J129" i="26"/>
  <c r="S29" i="26"/>
  <c r="T106" i="26"/>
  <c r="I129" i="26"/>
  <c r="I130" i="26" s="1"/>
  <c r="Q129" i="26"/>
  <c r="Q135" i="26" s="1"/>
  <c r="Q140" i="26" s="1"/>
  <c r="Q136" i="26" s="1"/>
  <c r="M129" i="26"/>
  <c r="M135" i="26" s="1"/>
  <c r="M140" i="26" s="1"/>
  <c r="M136" i="26" s="1"/>
  <c r="G129" i="26"/>
  <c r="R135" i="26"/>
  <c r="R140" i="26" s="1"/>
  <c r="R136" i="26" s="1"/>
  <c r="S105" i="26"/>
  <c r="N135" i="26"/>
  <c r="N140" i="26" s="1"/>
  <c r="N136" i="26" s="1"/>
  <c r="O135" i="26"/>
  <c r="O140" i="26" s="1"/>
  <c r="O136" i="26" s="1"/>
  <c r="H129" i="26"/>
  <c r="J130" i="26"/>
  <c r="L129" i="26"/>
  <c r="K135" i="26"/>
  <c r="K140" i="26" s="1"/>
  <c r="K136" i="26" s="1"/>
  <c r="S86" i="26"/>
  <c r="T86" i="26" s="1"/>
  <c r="M54" i="26"/>
  <c r="Q54" i="26"/>
  <c r="G53" i="26"/>
  <c r="G60" i="26" s="1"/>
  <c r="S10" i="26"/>
  <c r="N54" i="26"/>
  <c r="K60" i="26" l="1"/>
  <c r="K66" i="26" s="1"/>
  <c r="K61" i="26" s="1"/>
  <c r="R54" i="26"/>
  <c r="R60" i="26"/>
  <c r="I54" i="26"/>
  <c r="I60" i="26"/>
  <c r="I66" i="26" s="1"/>
  <c r="D20" i="1"/>
  <c r="E20" i="1" s="1"/>
  <c r="J60" i="26"/>
  <c r="L66" i="26"/>
  <c r="L61" i="26" s="1"/>
  <c r="P54" i="26"/>
  <c r="M66" i="26"/>
  <c r="M61" i="26" s="1"/>
  <c r="O54" i="26"/>
  <c r="P66" i="26"/>
  <c r="P61" i="26" s="1"/>
  <c r="N66" i="26"/>
  <c r="N61" i="26" s="1"/>
  <c r="R66" i="26"/>
  <c r="R61" i="26" s="1"/>
  <c r="Q66" i="26"/>
  <c r="Q61" i="26" s="1"/>
  <c r="O66" i="26"/>
  <c r="O61" i="26" s="1"/>
  <c r="J135" i="26"/>
  <c r="J54" i="26"/>
  <c r="T29" i="26"/>
  <c r="G29" i="11"/>
  <c r="G16" i="1" s="1"/>
  <c r="H16" i="1" s="1"/>
  <c r="P135" i="26"/>
  <c r="P140" i="26" s="1"/>
  <c r="P136" i="26" s="1"/>
  <c r="H135" i="26"/>
  <c r="H66" i="26"/>
  <c r="H54" i="26"/>
  <c r="T10" i="26"/>
  <c r="G10" i="11"/>
  <c r="G135" i="26"/>
  <c r="T105" i="26"/>
  <c r="I135" i="26"/>
  <c r="I140" i="26" s="1"/>
  <c r="I136" i="26" s="1"/>
  <c r="Q130" i="26"/>
  <c r="M130" i="26"/>
  <c r="G130" i="26"/>
  <c r="S129" i="26"/>
  <c r="T129" i="26" s="1"/>
  <c r="H130" i="26"/>
  <c r="L130" i="26"/>
  <c r="L135" i="26"/>
  <c r="G66" i="26"/>
  <c r="S53" i="26"/>
  <c r="S60" i="26" s="1"/>
  <c r="G54" i="26"/>
  <c r="G11" i="2"/>
  <c r="J66" i="26" l="1"/>
  <c r="J61" i="26" s="1"/>
  <c r="J140" i="26"/>
  <c r="G12" i="1"/>
  <c r="H12" i="1" s="1"/>
  <c r="I10" i="11"/>
  <c r="T53" i="26"/>
  <c r="G53" i="11"/>
  <c r="G20" i="1" s="1"/>
  <c r="H20" i="1" s="1"/>
  <c r="H140" i="26"/>
  <c r="G140" i="26"/>
  <c r="S54" i="26"/>
  <c r="S130" i="26"/>
  <c r="T130" i="26" s="1"/>
  <c r="L140" i="26"/>
  <c r="S135" i="26"/>
  <c r="T135" i="26" s="1"/>
  <c r="S66" i="26"/>
  <c r="J136" i="26" l="1"/>
  <c r="I61" i="26"/>
  <c r="T54" i="26"/>
  <c r="G54" i="11"/>
  <c r="T60" i="26"/>
  <c r="G59" i="11"/>
  <c r="H136" i="26"/>
  <c r="H61" i="26"/>
  <c r="G136" i="26"/>
  <c r="L136" i="26"/>
  <c r="S140" i="26"/>
  <c r="T140" i="26" s="1"/>
  <c r="G61" i="26"/>
  <c r="J19" i="25"/>
  <c r="J11" i="25"/>
  <c r="J10" i="25" l="1"/>
  <c r="S136" i="26"/>
  <c r="T136" i="26" s="1"/>
  <c r="T66" i="26"/>
  <c r="G65" i="11"/>
  <c r="S61" i="26"/>
  <c r="T61" i="26" s="1"/>
  <c r="G60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60" i="25" s="1"/>
  <c r="G129" i="25"/>
  <c r="L53" i="25"/>
  <c r="S10" i="25"/>
  <c r="H53" i="25"/>
  <c r="H60" i="25" s="1"/>
  <c r="S86" i="25"/>
  <c r="T86" i="25" s="1"/>
  <c r="S29" i="25"/>
  <c r="M54" i="25" l="1"/>
  <c r="M60" i="25"/>
  <c r="J60" i="25"/>
  <c r="J66" i="25" s="1"/>
  <c r="N54" i="25"/>
  <c r="N60" i="25"/>
  <c r="L54" i="25"/>
  <c r="L60" i="25"/>
  <c r="I54" i="25"/>
  <c r="I60" i="25"/>
  <c r="O66" i="25"/>
  <c r="O61" i="25" s="1"/>
  <c r="K66" i="25"/>
  <c r="K61" i="25" s="1"/>
  <c r="J54" i="25"/>
  <c r="H140" i="25"/>
  <c r="H136" i="25" s="1"/>
  <c r="L140" i="25"/>
  <c r="L136" i="25" s="1"/>
  <c r="K140" i="25"/>
  <c r="K136" i="25" s="1"/>
  <c r="I66" i="25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M66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N66" i="25" l="1"/>
  <c r="N61" i="25" s="1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R61" i="25" l="1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8" i="20" l="1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5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5" i="11"/>
  <c r="M65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K8" i="26" s="1"/>
  <c r="K84" i="26" s="1"/>
  <c r="G235" i="2"/>
  <c r="J8" i="26" s="1"/>
  <c r="J84" i="26" s="1"/>
  <c r="G234" i="2"/>
  <c r="I8" i="26" s="1"/>
  <c r="I84" i="26" s="1"/>
  <c r="G233" i="2"/>
  <c r="H8" i="26" s="1"/>
  <c r="H84" i="26" s="1"/>
  <c r="G232" i="2"/>
  <c r="G8" i="26" s="1"/>
  <c r="G84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S385" i="6" s="1"/>
  <c r="DR386" i="6"/>
  <c r="DQ386" i="6"/>
  <c r="DP386" i="6"/>
  <c r="DO386" i="6"/>
  <c r="DO385" i="6" s="1"/>
  <c r="DN386" i="6"/>
  <c r="DM386" i="6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CV320" i="6"/>
  <c r="DE350" i="6"/>
  <c r="CZ385" i="6"/>
  <c r="DP385" i="6"/>
  <c r="CS350" i="6"/>
  <c r="DA350" i="6"/>
  <c r="B59" i="25" l="1"/>
  <c r="B59" i="26"/>
  <c r="DD320" i="6"/>
  <c r="CT350" i="6"/>
  <c r="DR350" i="6"/>
  <c r="B15" i="26"/>
  <c r="B91" i="26"/>
  <c r="B63" i="26"/>
  <c r="B138" i="26"/>
  <c r="B50" i="26"/>
  <c r="B126" i="26"/>
  <c r="B61" i="26"/>
  <c r="B136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39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0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7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5" i="26"/>
  <c r="B52" i="26"/>
  <c r="B128" i="26"/>
  <c r="L8" i="25"/>
  <c r="L84" i="25" s="1"/>
  <c r="L8" i="26"/>
  <c r="L84" i="26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5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5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R130" i="25"/>
  <c r="Q135" i="25"/>
  <c r="Q140" i="25" s="1"/>
  <c r="Q130" i="25"/>
  <c r="Q46" i="11"/>
  <c r="P129" i="25"/>
  <c r="R140" i="25" l="1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59" i="11"/>
  <c r="P59" i="11"/>
  <c r="J59" i="11"/>
  <c r="I59" i="11"/>
  <c r="T140" i="25" l="1"/>
  <c r="J65" i="11"/>
  <c r="I65" i="11"/>
  <c r="S136" i="25"/>
  <c r="T136" i="25" s="1"/>
  <c r="Q65" i="11"/>
  <c r="P65" i="11"/>
  <c r="P60" i="11" l="1"/>
  <c r="Q60" i="11"/>
  <c r="J60" i="11"/>
  <c r="I60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<sst xmlns="http://schemas.openxmlformats.org/spreadsheetml/2006/main" count="1816" uniqueCount="855">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</sst>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166" fontId="27" fillId="9" borderId="37" xfId="0" applyNumberFormat="1" applyFont="1" applyFill="1" applyBorder="1" applyAlignment="1" applyProtection="1">
      <alignment horizont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maj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983,9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15,9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145,8 mil. € ili 17,4%.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235,0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31,4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istom periodu iznosili su 874,0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14,2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115,3 mil. € ili 11,7% dok su u odnosu na isti period 2022. godine veći za 87,0 mil. € ili 11,1%.</a:t>
          </a:r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januar-maj 2023. godine zabilježen je suficit budžeta u iznosu od 110,0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 1,8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1</xdr:col>
          <xdr:colOff>355600</xdr:colOff>
          <xdr:row>1</xdr:row>
          <xdr:rowOff>50800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1</xdr:row>
          <xdr:rowOff>50800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31750</xdr:rowOff>
        </xdr:from>
        <xdr:to>
          <xdr:col>1</xdr:col>
          <xdr:colOff>628650</xdr:colOff>
          <xdr:row>1</xdr:row>
          <xdr:rowOff>50800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31750</xdr:rowOff>
        </xdr:from>
        <xdr:to>
          <xdr:col>2</xdr:col>
          <xdr:colOff>584200</xdr:colOff>
          <xdr:row>1</xdr:row>
          <xdr:rowOff>50800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31750</xdr:rowOff>
        </xdr:from>
        <xdr:to>
          <xdr:col>2</xdr:col>
          <xdr:colOff>0</xdr:colOff>
          <xdr:row>2</xdr:row>
          <xdr:rowOff>12700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0</xdr:row>
          <xdr:rowOff>31750</xdr:rowOff>
        </xdr:from>
        <xdr:to>
          <xdr:col>2</xdr:col>
          <xdr:colOff>476250</xdr:colOff>
          <xdr:row>2</xdr:row>
          <xdr:rowOff>12700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796875" defaultRowHeight="14.5"/>
  <cols>
    <col min="1" max="1" width="5" style="5" bestFit="1" customWidth="1"/>
    <col min="2" max="2" width="11.7265625" style="5" customWidth="1"/>
    <col min="3" max="6" width="9.1796875" style="5"/>
    <col min="7" max="13" width="12.453125" style="5" customWidth="1"/>
    <col min="14" max="18" width="12.1796875" style="5" customWidth="1"/>
    <col min="19" max="16384" width="9.179687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2023-05</v>
      </c>
      <c r="O6" s="143" t="str">
        <f>+CONCATENATE(N6,"p")</f>
        <v>2023-05p</v>
      </c>
      <c r="P6" s="130"/>
      <c r="Q6" s="130"/>
      <c r="R6" s="143" t="str">
        <f>+IF(Master!B3-10&gt;=0,CONCATENATE(Master!B4-1,"-",Master!B3),CONCATENATE(Master!B4-1,"-0",Master!B3))</f>
        <v>2022-05</v>
      </c>
      <c r="S6" s="130"/>
      <c r="T6" s="130"/>
    </row>
    <row r="7" spans="1:20">
      <c r="A7" s="144"/>
      <c r="B7" s="551" t="s">
        <v>691</v>
      </c>
      <c r="C7" s="552"/>
      <c r="D7" s="552"/>
      <c r="E7" s="552"/>
      <c r="F7" s="552"/>
      <c r="G7" s="560" t="s">
        <v>690</v>
      </c>
      <c r="H7" s="561"/>
      <c r="I7" s="561"/>
      <c r="J7" s="561"/>
      <c r="K7" s="561"/>
      <c r="L7" s="561"/>
      <c r="M7" s="562"/>
      <c r="N7" s="563" t="str">
        <f>+Master!G243</f>
        <v>Decembar</v>
      </c>
      <c r="O7" s="561"/>
      <c r="P7" s="561"/>
      <c r="Q7" s="561"/>
      <c r="R7" s="561"/>
      <c r="S7" s="561"/>
      <c r="T7" s="564"/>
    </row>
    <row r="8" spans="1:20">
      <c r="A8" s="144"/>
      <c r="B8" s="553"/>
      <c r="C8" s="554"/>
      <c r="D8" s="554"/>
      <c r="E8" s="554"/>
      <c r="F8" s="555"/>
      <c r="G8" s="145" t="str">
        <f>+Master!G26</f>
        <v>Ostvarenje</v>
      </c>
      <c r="H8" s="145" t="str">
        <f>+Master!G25</f>
        <v>Plan</v>
      </c>
      <c r="I8" s="549" t="str">
        <f>+Master!G261</f>
        <v>Odstupanje</v>
      </c>
      <c r="J8" s="549"/>
      <c r="K8" s="145" t="str">
        <f>+CONCATENATE(Master!G246," ",Master!B4-1)</f>
        <v>Jan - Maj 2022</v>
      </c>
      <c r="L8" s="549" t="str">
        <f>+I8</f>
        <v>Odstupanje</v>
      </c>
      <c r="M8" s="559"/>
      <c r="N8" s="146" t="str">
        <f>+G8</f>
        <v>Ostvarenje</v>
      </c>
      <c r="O8" s="145" t="str">
        <f>+H8</f>
        <v>Plan</v>
      </c>
      <c r="P8" s="549" t="str">
        <f>+I8</f>
        <v>Odstupanje</v>
      </c>
      <c r="Q8" s="549"/>
      <c r="R8" s="145" t="str">
        <f>+CONCATENATE(Master!G245," ",Master!B4-1)</f>
        <v>Maj 2022</v>
      </c>
      <c r="S8" s="549" t="str">
        <f>+P8</f>
        <v>Odstupanje</v>
      </c>
      <c r="T8" s="550"/>
    </row>
    <row r="9" spans="1:20" ht="1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23" t="e">
        <f>+VLOOKUP($A18,Master!$D$30:$G$226,4,FALSE)</f>
        <v>#N/A</v>
      </c>
      <c r="C18" s="524"/>
      <c r="D18" s="524"/>
      <c r="E18" s="524"/>
      <c r="F18" s="524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23" t="str">
        <f>+VLOOKUP($A19,Master!$D$30:$G$226,4,FALSE)</f>
        <v>Ostali državni porezi</v>
      </c>
      <c r="C19" s="524"/>
      <c r="D19" s="524"/>
      <c r="E19" s="524"/>
      <c r="F19" s="524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7" t="str">
        <f>+VLOOKUP($A20,Master!$D$30:$G$226,4,FALSE)</f>
        <v>Doprinosi</v>
      </c>
      <c r="C20" s="528"/>
      <c r="D20" s="528"/>
      <c r="E20" s="528"/>
      <c r="F20" s="528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23" t="str">
        <f>+VLOOKUP($A21,Master!$D$30:$G$226,4,FALSE)</f>
        <v>Doprinosi za penzijsko i invalidsko osiguranje</v>
      </c>
      <c r="C21" s="524"/>
      <c r="D21" s="524"/>
      <c r="E21" s="524"/>
      <c r="F21" s="524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23" t="str">
        <f>+VLOOKUP($A22,Master!$D$30:$G$226,4,FALSE)</f>
        <v>Doprinosi za zdravstveno osiguranje</v>
      </c>
      <c r="C22" s="524"/>
      <c r="D22" s="524"/>
      <c r="E22" s="524"/>
      <c r="F22" s="524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23" t="str">
        <f>+VLOOKUP($A23,Master!$D$30:$G$226,4,FALSE)</f>
        <v>Doprinosi za osiguranje od nezaposlenosti</v>
      </c>
      <c r="C23" s="524"/>
      <c r="D23" s="524"/>
      <c r="E23" s="524"/>
      <c r="F23" s="524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23" t="str">
        <f>+VLOOKUP($A24,Master!$D$30:$G$226,4,FALSE)</f>
        <v>Ostali doprinosi</v>
      </c>
      <c r="C24" s="524"/>
      <c r="D24" s="524"/>
      <c r="E24" s="524"/>
      <c r="F24" s="524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5" t="str">
        <f>+VLOOKUP($A25,Master!$D$30:$G$226,4,FALSE)</f>
        <v>Takse</v>
      </c>
      <c r="C25" s="526"/>
      <c r="D25" s="526"/>
      <c r="E25" s="526"/>
      <c r="F25" s="526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5" t="str">
        <f>+VLOOKUP($A26,Master!$D$30:$G$226,4,FALSE)</f>
        <v>Naknade</v>
      </c>
      <c r="C26" s="526"/>
      <c r="D26" s="526"/>
      <c r="E26" s="526"/>
      <c r="F26" s="526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5" t="str">
        <f>+VLOOKUP($A27,Master!$D$30:$G$226,4,FALSE)</f>
        <v>Ostali prihodi</v>
      </c>
      <c r="C27" s="526"/>
      <c r="D27" s="526"/>
      <c r="E27" s="526"/>
      <c r="F27" s="526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5" t="str">
        <f>+VLOOKUP($A28,Master!$D$30:$G$226,4,FALSE)</f>
        <v>Primici od otplate kredita i sredstva prenesena iz prethodne godine</v>
      </c>
      <c r="C28" s="526"/>
      <c r="D28" s="526"/>
      <c r="E28" s="526"/>
      <c r="F28" s="526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" thickBot="1">
      <c r="A29" s="150">
        <v>74</v>
      </c>
      <c r="B29" s="529" t="str">
        <f>+VLOOKUP($A29,Master!$D$30:$G$226,4,FALSE)</f>
        <v>Donacije i transferi</v>
      </c>
      <c r="C29" s="530"/>
      <c r="D29" s="530"/>
      <c r="E29" s="530"/>
      <c r="F29" s="53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" thickBot="1">
      <c r="A30" s="150">
        <v>4</v>
      </c>
      <c r="B30" s="531" t="str">
        <f>+VLOOKUP($A30,Master!$D$30:$G$226,4,FALSE)</f>
        <v>Izdaci budžeta</v>
      </c>
      <c r="C30" s="532"/>
      <c r="D30" s="532"/>
      <c r="E30" s="532"/>
      <c r="F30" s="532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" thickBot="1">
      <c r="A31" s="150">
        <v>41</v>
      </c>
      <c r="B31" s="533" t="str">
        <f>+VLOOKUP($A31,Master!$D$30:$G$226,4,FALSE)</f>
        <v>Tekući izdaci</v>
      </c>
      <c r="C31" s="534"/>
      <c r="D31" s="534"/>
      <c r="E31" s="534"/>
      <c r="F31" s="534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5" t="str">
        <f>+VLOOKUP($A32,Master!$D$30:$G$226,4,FALSE)</f>
        <v>Tekuća budžetska potrošnja</v>
      </c>
      <c r="C32" s="536"/>
      <c r="D32" s="536"/>
      <c r="E32" s="536"/>
      <c r="F32" s="536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23" t="str">
        <f>+VLOOKUP($A33,Master!$D$30:$G$226,4,FALSE)</f>
        <v>Bruto zarade i doprinosi na teret poslodavca</v>
      </c>
      <c r="C33" s="524"/>
      <c r="D33" s="524"/>
      <c r="E33" s="524"/>
      <c r="F33" s="524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23" t="str">
        <f>+VLOOKUP($A34,Master!$D$30:$G$226,4,FALSE)</f>
        <v>Ostala lična primanja</v>
      </c>
      <c r="C34" s="524"/>
      <c r="D34" s="524"/>
      <c r="E34" s="524"/>
      <c r="F34" s="524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23" t="str">
        <f>+VLOOKUP($A35,Master!$D$30:$G$226,4,FALSE)</f>
        <v>Rashodi za materijal</v>
      </c>
      <c r="C35" s="524"/>
      <c r="D35" s="524"/>
      <c r="E35" s="524"/>
      <c r="F35" s="524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23" t="str">
        <f>+VLOOKUP($A36,Master!$D$30:$G$226,4,FALSE)</f>
        <v>Rashodi za usluge</v>
      </c>
      <c r="C36" s="524"/>
      <c r="D36" s="524"/>
      <c r="E36" s="524"/>
      <c r="F36" s="524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23" t="str">
        <f>+VLOOKUP($A37,Master!$D$30:$G$226,4,FALSE)</f>
        <v>Rashodi za tekuće održavanje</v>
      </c>
      <c r="C37" s="524"/>
      <c r="D37" s="524"/>
      <c r="E37" s="524"/>
      <c r="F37" s="524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23" t="str">
        <f>+VLOOKUP($A38,Master!$D$30:$G$226,4,FALSE)</f>
        <v>Kamate</v>
      </c>
      <c r="C38" s="524"/>
      <c r="D38" s="524"/>
      <c r="E38" s="524"/>
      <c r="F38" s="524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23" t="str">
        <f>+VLOOKUP($A39,Master!$D$30:$G$226,4,FALSE)</f>
        <v>Renta</v>
      </c>
      <c r="C39" s="524"/>
      <c r="D39" s="524"/>
      <c r="E39" s="524"/>
      <c r="F39" s="524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23" t="str">
        <f>+VLOOKUP($A40,Master!$D$30:$G$226,4,FALSE)</f>
        <v>Subvencije</v>
      </c>
      <c r="C40" s="524"/>
      <c r="D40" s="524"/>
      <c r="E40" s="524"/>
      <c r="F40" s="524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23" t="str">
        <f>+VLOOKUP($A41,Master!$D$30:$G$226,4,FALSE)</f>
        <v>Ostali izdaci</v>
      </c>
      <c r="C41" s="524"/>
      <c r="D41" s="524"/>
      <c r="E41" s="524"/>
      <c r="F41" s="524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23" t="e">
        <f>+VLOOKUP($A42,Master!$D$30:$G$226,4,FALSE)</f>
        <v>#N/A</v>
      </c>
      <c r="C42" s="524"/>
      <c r="D42" s="524"/>
      <c r="E42" s="524"/>
      <c r="F42" s="524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9" t="str">
        <f>+VLOOKUP($A43,Master!$D$30:$G$226,4,FALSE)</f>
        <v>Transferi za socijalnu zaštitu</v>
      </c>
      <c r="C43" s="540"/>
      <c r="D43" s="540"/>
      <c r="E43" s="540"/>
      <c r="F43" s="540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23" t="str">
        <f>+VLOOKUP($A44,Master!$D$30:$G$226,4,FALSE)</f>
        <v>Prava iz oblasti socijalne zaštite</v>
      </c>
      <c r="C44" s="524"/>
      <c r="D44" s="524"/>
      <c r="E44" s="524"/>
      <c r="F44" s="524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23" t="str">
        <f>+VLOOKUP($A45,Master!$D$30:$G$226,4,FALSE)</f>
        <v>Sredstva za tehnološke viškove</v>
      </c>
      <c r="C45" s="524"/>
      <c r="D45" s="524"/>
      <c r="E45" s="524"/>
      <c r="F45" s="524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23" t="str">
        <f>+VLOOKUP($A46,Master!$D$30:$G$226,4,FALSE)</f>
        <v>Prava iz oblasti penzijskog i invalidskog osiguranja</v>
      </c>
      <c r="C46" s="524"/>
      <c r="D46" s="524"/>
      <c r="E46" s="524"/>
      <c r="F46" s="524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23" t="str">
        <f>+VLOOKUP($A47,Master!$D$30:$G$226,4,FALSE)</f>
        <v>Ostala prava iz oblasti zdravstvene zaštite</v>
      </c>
      <c r="C47" s="524"/>
      <c r="D47" s="524"/>
      <c r="E47" s="524"/>
      <c r="F47" s="524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23" t="str">
        <f>+VLOOKUP($A48,Master!$D$30:$G$226,4,FALSE)</f>
        <v>Ostala prava iz zdravstvenog osiguranja</v>
      </c>
      <c r="C48" s="524"/>
      <c r="D48" s="524"/>
      <c r="E48" s="524"/>
      <c r="F48" s="524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7" t="str">
        <f>+VLOOKUP($A49,Master!$D$30:$G$226,4,FALSE)</f>
        <v xml:space="preserve">Transferi institucijama, pojedincima, nevladinom i javnom sektoru </v>
      </c>
      <c r="C49" s="538"/>
      <c r="D49" s="538"/>
      <c r="E49" s="538"/>
      <c r="F49" s="53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7" t="str">
        <f>+VLOOKUP($A50,Master!$D$30:$G$226,4,FALSE)</f>
        <v>Kapitalni izdaci</v>
      </c>
      <c r="C50" s="538"/>
      <c r="D50" s="538"/>
      <c r="E50" s="538"/>
      <c r="F50" s="53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41" t="str">
        <f>+VLOOKUP($A51,Master!$D$30:$G$226,4,FALSE)</f>
        <v>Pozajmice i krediti</v>
      </c>
      <c r="C51" s="542"/>
      <c r="D51" s="542"/>
      <c r="E51" s="542"/>
      <c r="F51" s="542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41" t="str">
        <f>+VLOOKUP($A52,Master!$D$30:$G$226,4,FALSE)</f>
        <v>Rezerve</v>
      </c>
      <c r="C52" s="542"/>
      <c r="D52" s="542"/>
      <c r="E52" s="542"/>
      <c r="F52" s="542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" thickBot="1">
      <c r="A53" s="150">
        <v>462</v>
      </c>
      <c r="B53" s="543" t="str">
        <f>+VLOOKUP($A53,Master!$D$30:$G$226,4,FALSE)</f>
        <v>Otplata garancija</v>
      </c>
      <c r="C53" s="544"/>
      <c r="D53" s="544"/>
      <c r="E53" s="544"/>
      <c r="F53" s="544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" thickBot="1">
      <c r="A54" s="144">
        <v>4630</v>
      </c>
      <c r="B54" s="543" t="str">
        <f>+VLOOKUP($A54,Master!$D$30:$G$226,4,FALSE)</f>
        <v>Otplata obaveza iz prethodnog perioda</v>
      </c>
      <c r="C54" s="544"/>
      <c r="D54" s="544"/>
      <c r="E54" s="544"/>
      <c r="F54" s="544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" thickBot="1">
      <c r="A55" s="144">
        <v>1005</v>
      </c>
      <c r="B55" s="543" t="str">
        <f>+VLOOKUP($A55,Master!$D$30:$G$228,4,FALSE)</f>
        <v>Neto povećanje obaveza</v>
      </c>
      <c r="C55" s="544"/>
      <c r="D55" s="544"/>
      <c r="E55" s="544"/>
      <c r="F55" s="544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" thickBot="1">
      <c r="A56" s="144">
        <v>1000</v>
      </c>
      <c r="B56" s="545" t="str">
        <f>+VLOOKUP($A56,Master!$D$30:$G$226,4,FALSE)</f>
        <v>Suficit / deficit</v>
      </c>
      <c r="C56" s="546"/>
      <c r="D56" s="546"/>
      <c r="E56" s="546"/>
      <c r="F56" s="546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" thickBot="1">
      <c r="A57" s="144">
        <v>1001</v>
      </c>
      <c r="B57" s="547" t="str">
        <f>+VLOOKUP($A57,Master!$D$30:$G$226,4,FALSE)</f>
        <v>Primarni suficit/deficit</v>
      </c>
      <c r="C57" s="548"/>
      <c r="D57" s="548"/>
      <c r="E57" s="548"/>
      <c r="F57" s="548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9" t="str">
        <f>+VLOOKUP($A58,Master!$D$30:$G$226,4,FALSE)</f>
        <v>Otplata dugova</v>
      </c>
      <c r="C58" s="540"/>
      <c r="D58" s="540"/>
      <c r="E58" s="540"/>
      <c r="F58" s="540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5" t="str">
        <f>+VLOOKUP($A59,Master!$D$30:$G$226,4,FALSE)</f>
        <v>Otplata hartija od vrijednosti i kredita rezidentima</v>
      </c>
      <c r="C59" s="566"/>
      <c r="D59" s="566"/>
      <c r="E59" s="566"/>
      <c r="F59" s="566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41" t="str">
        <f>+VLOOKUP($A60,Master!$D$30:$G$226,4,FALSE)</f>
        <v>Otplata hartija od vrijednosti i kredita nerezidentima</v>
      </c>
      <c r="C60" s="542"/>
      <c r="D60" s="542"/>
      <c r="E60" s="542"/>
      <c r="F60" s="542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" thickBot="1">
      <c r="A62" s="144">
        <v>1002</v>
      </c>
      <c r="B62" s="567" t="str">
        <f>+VLOOKUP($A62,Master!$D$30:$G$226,4,FALSE)</f>
        <v>Nedostajuća sredstva</v>
      </c>
      <c r="C62" s="568"/>
      <c r="D62" s="568"/>
      <c r="E62" s="568"/>
      <c r="F62" s="56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" thickBot="1">
      <c r="A63" s="144">
        <v>1003</v>
      </c>
      <c r="B63" s="531" t="str">
        <f>+VLOOKUP($A63,Master!$D$30:$G$226,4,FALSE)</f>
        <v>Finansiranje</v>
      </c>
      <c r="C63" s="532"/>
      <c r="D63" s="532"/>
      <c r="E63" s="532"/>
      <c r="F63" s="532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5" t="str">
        <f>+VLOOKUP($A64,Master!$D$30:$G$226,4,FALSE)</f>
        <v>Pozajmice i krediti od domaćih izvora</v>
      </c>
      <c r="C64" s="566"/>
      <c r="D64" s="566"/>
      <c r="E64" s="566"/>
      <c r="F64" s="566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41" t="str">
        <f>+VLOOKUP($A65,Master!$D$30:$G$226,4,FALSE)</f>
        <v>Pozajmice i krediti od inostranih izvora</v>
      </c>
      <c r="C65" s="542"/>
      <c r="D65" s="542"/>
      <c r="E65" s="542"/>
      <c r="F65" s="542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41" t="str">
        <f>+VLOOKUP($A66,Master!$D$30:$G$226,4,FALSE)</f>
        <v>Primici od prodaje imovine</v>
      </c>
      <c r="C66" s="542"/>
      <c r="D66" s="542"/>
      <c r="E66" s="542"/>
      <c r="F66" s="542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796875" defaultRowHeight="14.5"/>
  <cols>
    <col min="1" max="1" width="1.81640625" style="72" customWidth="1"/>
    <col min="2" max="2" width="2.7265625" style="72" bestFit="1" customWidth="1"/>
    <col min="3" max="3" width="3.54296875" style="72" bestFit="1" customWidth="1"/>
    <col min="4" max="4" width="5.7265625" style="72" bestFit="1" customWidth="1"/>
    <col min="5" max="5" width="30.54296875" style="76" customWidth="1"/>
    <col min="6" max="124" width="14.26953125" style="41" hidden="1" customWidth="1"/>
    <col min="125" max="125" width="19.7265625" style="41" hidden="1" customWidth="1"/>
    <col min="126" max="131" width="12.7265625" style="273" hidden="1" customWidth="1"/>
    <col min="132" max="132" width="14" style="273" hidden="1" customWidth="1"/>
    <col min="133" max="134" width="12.7265625" style="273" hidden="1" customWidth="1"/>
    <col min="135" max="135" width="15.26953125" style="273" hidden="1" customWidth="1"/>
    <col min="136" max="136" width="11.54296875" style="273" hidden="1" customWidth="1"/>
    <col min="137" max="137" width="14" style="273" hidden="1" customWidth="1"/>
    <col min="138" max="138" width="14" style="41" hidden="1" customWidth="1"/>
    <col min="139" max="148" width="13.7265625" style="41" hidden="1" customWidth="1"/>
    <col min="149" max="149" width="13.54296875" style="41" hidden="1" customWidth="1"/>
    <col min="150" max="150" width="14" style="41" hidden="1" customWidth="1"/>
    <col min="151" max="151" width="14.26953125" style="41" hidden="1" customWidth="1"/>
    <col min="152" max="152" width="13.453125" style="41" hidden="1" customWidth="1"/>
    <col min="153" max="153" width="13.81640625" style="41" hidden="1" customWidth="1"/>
    <col min="154" max="154" width="13.54296875" style="41" hidden="1" customWidth="1"/>
    <col min="155" max="155" width="12.7265625" style="41" hidden="1" customWidth="1"/>
    <col min="156" max="158" width="13.7265625" style="41" hidden="1" customWidth="1"/>
    <col min="159" max="159" width="12.81640625" style="41" hidden="1" customWidth="1"/>
    <col min="160" max="161" width="12.7265625" style="41" hidden="1" customWidth="1"/>
    <col min="162" max="162" width="13.81640625" style="41" hidden="1" customWidth="1"/>
    <col min="163" max="163" width="11.1796875" style="41" hidden="1" customWidth="1"/>
    <col min="164" max="164" width="13.81640625" style="41" hidden="1" customWidth="1"/>
    <col min="165" max="165" width="12.7265625" style="41" hidden="1" customWidth="1"/>
    <col min="166" max="166" width="13.81640625" style="41" hidden="1" customWidth="1"/>
    <col min="167" max="173" width="12.7265625" style="41" hidden="1" customWidth="1"/>
    <col min="174" max="174" width="12.81640625" style="41" customWidth="1"/>
    <col min="175" max="175" width="13.81640625" style="41" customWidth="1"/>
    <col min="176" max="176" width="14" style="41" customWidth="1"/>
    <col min="177" max="177" width="13.81640625" style="41" customWidth="1"/>
    <col min="178" max="178" width="13.81640625" style="41" bestFit="1" customWidth="1"/>
    <col min="179" max="179" width="12.81640625" style="41" customWidth="1"/>
    <col min="180" max="183" width="13.81640625" style="41" customWidth="1"/>
    <col min="184" max="184" width="12.81640625" style="41" customWidth="1"/>
    <col min="185" max="185" width="13.81640625" style="41" customWidth="1"/>
    <col min="186" max="186" width="3.453125" style="41" customWidth="1"/>
    <col min="187" max="187" width="15.453125" style="350" bestFit="1" customWidth="1"/>
    <col min="188" max="16384" width="9.179687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8" t="s">
        <v>554</v>
      </c>
      <c r="F6" s="636">
        <v>2006</v>
      </c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7"/>
      <c r="R6" s="636">
        <v>2007</v>
      </c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7"/>
      <c r="AD6" s="636">
        <v>2008</v>
      </c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7"/>
      <c r="AP6" s="636">
        <v>2009</v>
      </c>
      <c r="AQ6" s="635"/>
      <c r="AR6" s="635"/>
      <c r="AS6" s="635"/>
      <c r="AT6" s="635"/>
      <c r="AU6" s="635"/>
      <c r="AV6" s="635"/>
      <c r="AW6" s="635"/>
      <c r="AX6" s="635"/>
      <c r="AY6" s="635"/>
      <c r="AZ6" s="635"/>
      <c r="BA6" s="637"/>
      <c r="BB6" s="636">
        <v>2010</v>
      </c>
      <c r="BC6" s="635"/>
      <c r="BD6" s="635"/>
      <c r="BE6" s="635"/>
      <c r="BF6" s="635"/>
      <c r="BG6" s="635"/>
      <c r="BH6" s="635"/>
      <c r="BI6" s="635"/>
      <c r="BJ6" s="635"/>
      <c r="BK6" s="635"/>
      <c r="BL6" s="635"/>
      <c r="BM6" s="637"/>
      <c r="BN6" s="636">
        <v>2011</v>
      </c>
      <c r="BO6" s="635"/>
      <c r="BP6" s="635"/>
      <c r="BQ6" s="635"/>
      <c r="BR6" s="635"/>
      <c r="BS6" s="635"/>
      <c r="BT6" s="635"/>
      <c r="BU6" s="635"/>
      <c r="BV6" s="635"/>
      <c r="BW6" s="635"/>
      <c r="BX6" s="635"/>
      <c r="BY6" s="637"/>
      <c r="BZ6" s="635">
        <v>2012</v>
      </c>
      <c r="CA6" s="635"/>
      <c r="CB6" s="635"/>
      <c r="CC6" s="635"/>
      <c r="CD6" s="635"/>
      <c r="CE6" s="635"/>
      <c r="CF6" s="635"/>
      <c r="CG6" s="635"/>
      <c r="CH6" s="635"/>
      <c r="CI6" s="635"/>
      <c r="CJ6" s="635"/>
      <c r="CK6" s="635"/>
      <c r="CL6" s="636">
        <v>2013</v>
      </c>
      <c r="CM6" s="635"/>
      <c r="CN6" s="635"/>
      <c r="CO6" s="635"/>
      <c r="CP6" s="635"/>
      <c r="CQ6" s="635"/>
      <c r="CR6" s="635"/>
      <c r="CS6" s="635"/>
      <c r="CT6" s="635"/>
      <c r="CU6" s="635"/>
      <c r="CV6" s="635"/>
      <c r="CW6" s="637"/>
      <c r="CX6" s="636">
        <v>2014</v>
      </c>
      <c r="CY6" s="635"/>
      <c r="CZ6" s="635"/>
      <c r="DA6" s="635"/>
      <c r="DB6" s="635"/>
      <c r="DC6" s="635"/>
      <c r="DD6" s="635"/>
      <c r="DE6" s="635"/>
      <c r="DF6" s="635"/>
      <c r="DG6" s="635"/>
      <c r="DH6" s="635"/>
      <c r="DI6" s="637"/>
      <c r="DJ6" s="636">
        <v>2015</v>
      </c>
      <c r="DK6" s="635"/>
      <c r="DL6" s="635"/>
      <c r="DM6" s="635"/>
      <c r="DN6" s="635"/>
      <c r="DO6" s="635"/>
      <c r="DP6" s="635"/>
      <c r="DQ6" s="635"/>
      <c r="DR6" s="635"/>
      <c r="DS6" s="635"/>
      <c r="DT6" s="635"/>
      <c r="DU6" s="637"/>
    </row>
    <row r="7" spans="1:321">
      <c r="E7" s="638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29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29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29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29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29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29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29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29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29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29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29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29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29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29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29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29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29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29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29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29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29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29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29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29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29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29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29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29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29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29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29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29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3.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3.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29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29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29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29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29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29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29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29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29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29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29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29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29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29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8" t="s">
        <v>675</v>
      </c>
      <c r="F214" s="636">
        <v>2006</v>
      </c>
      <c r="G214" s="635"/>
      <c r="H214" s="635"/>
      <c r="I214" s="635"/>
      <c r="J214" s="635"/>
      <c r="K214" s="635"/>
      <c r="L214" s="635"/>
      <c r="M214" s="635"/>
      <c r="N214" s="635"/>
      <c r="O214" s="635"/>
      <c r="P214" s="635"/>
      <c r="Q214" s="637"/>
      <c r="R214" s="636">
        <v>2007</v>
      </c>
      <c r="S214" s="635"/>
      <c r="T214" s="635"/>
      <c r="U214" s="635"/>
      <c r="V214" s="635"/>
      <c r="W214" s="635"/>
      <c r="X214" s="635"/>
      <c r="Y214" s="635"/>
      <c r="Z214" s="635"/>
      <c r="AA214" s="635"/>
      <c r="AB214" s="635"/>
      <c r="AC214" s="637"/>
      <c r="AD214" s="636">
        <v>2008</v>
      </c>
      <c r="AE214" s="635"/>
      <c r="AF214" s="635"/>
      <c r="AG214" s="635"/>
      <c r="AH214" s="635"/>
      <c r="AI214" s="635"/>
      <c r="AJ214" s="635"/>
      <c r="AK214" s="635"/>
      <c r="AL214" s="635"/>
      <c r="AM214" s="635"/>
      <c r="AN214" s="635"/>
      <c r="AO214" s="637"/>
      <c r="AP214" s="636">
        <v>2009</v>
      </c>
      <c r="AQ214" s="635"/>
      <c r="AR214" s="635"/>
      <c r="AS214" s="635"/>
      <c r="AT214" s="635"/>
      <c r="AU214" s="635"/>
      <c r="AV214" s="635"/>
      <c r="AW214" s="635"/>
      <c r="AX214" s="635"/>
      <c r="AY214" s="635"/>
      <c r="AZ214" s="635"/>
      <c r="BA214" s="637"/>
      <c r="BB214" s="636">
        <v>2010</v>
      </c>
      <c r="BC214" s="635"/>
      <c r="BD214" s="635"/>
      <c r="BE214" s="635"/>
      <c r="BF214" s="635"/>
      <c r="BG214" s="635"/>
      <c r="BH214" s="635"/>
      <c r="BI214" s="635"/>
      <c r="BJ214" s="635"/>
      <c r="BK214" s="635"/>
      <c r="BL214" s="635"/>
      <c r="BM214" s="637"/>
      <c r="BN214" s="636">
        <v>2011</v>
      </c>
      <c r="BO214" s="635"/>
      <c r="BP214" s="635"/>
      <c r="BQ214" s="635"/>
      <c r="BR214" s="635"/>
      <c r="BS214" s="635"/>
      <c r="BT214" s="635"/>
      <c r="BU214" s="635"/>
      <c r="BV214" s="635"/>
      <c r="BW214" s="635"/>
      <c r="BX214" s="635"/>
      <c r="BY214" s="637"/>
      <c r="BZ214" s="635">
        <v>2012</v>
      </c>
      <c r="CA214" s="635"/>
      <c r="CB214" s="635"/>
      <c r="CC214" s="635"/>
      <c r="CD214" s="635"/>
      <c r="CE214" s="635"/>
      <c r="CF214" s="635"/>
      <c r="CG214" s="635"/>
      <c r="CH214" s="635"/>
      <c r="CI214" s="635"/>
      <c r="CJ214" s="635"/>
      <c r="CK214" s="635"/>
      <c r="CL214" s="636">
        <v>2013</v>
      </c>
      <c r="CM214" s="635"/>
      <c r="CN214" s="635"/>
      <c r="CO214" s="635"/>
      <c r="CP214" s="635"/>
      <c r="CQ214" s="635"/>
      <c r="CR214" s="635"/>
      <c r="CS214" s="635"/>
      <c r="CT214" s="635"/>
      <c r="CU214" s="635"/>
      <c r="CV214" s="635"/>
      <c r="CW214" s="637"/>
      <c r="CX214" s="636">
        <v>2014</v>
      </c>
      <c r="CY214" s="635"/>
      <c r="CZ214" s="635"/>
      <c r="DA214" s="635"/>
      <c r="DB214" s="635"/>
      <c r="DC214" s="635"/>
      <c r="DD214" s="635"/>
      <c r="DE214" s="635"/>
      <c r="DF214" s="635"/>
      <c r="DG214" s="635"/>
      <c r="DH214" s="635"/>
      <c r="DI214" s="637"/>
      <c r="DJ214" s="636">
        <v>2015</v>
      </c>
      <c r="DK214" s="635"/>
      <c r="DL214" s="635"/>
      <c r="DM214" s="635"/>
      <c r="DN214" s="635"/>
      <c r="DO214" s="635"/>
      <c r="DP214" s="635"/>
      <c r="DQ214" s="635"/>
      <c r="DR214" s="635"/>
      <c r="DS214" s="635"/>
      <c r="DT214" s="635"/>
      <c r="DU214" s="637"/>
    </row>
    <row r="215" spans="1:187">
      <c r="E215" s="638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29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29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29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29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29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29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29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29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29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29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29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29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29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29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29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29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29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29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29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29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29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29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29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29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29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29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29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29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29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29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29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29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29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29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3.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3.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29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29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29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29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29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29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29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29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29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29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29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29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29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29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6"/>
  <sheetViews>
    <sheetView zoomScaleNormal="100" workbookViewId="0">
      <pane ySplit="4" topLeftCell="A221" activePane="bottomLeft" state="frozen"/>
      <selection pane="bottomLeft" activeCell="B4" sqref="B4"/>
    </sheetView>
  </sheetViews>
  <sheetFormatPr defaultColWidth="9.1796875" defaultRowHeight="14.5"/>
  <cols>
    <col min="1" max="1" width="1.26953125" style="6" customWidth="1"/>
    <col min="2" max="2" width="5" style="6" bestFit="1" customWidth="1"/>
    <col min="3" max="3" width="12.1796875" style="42" customWidth="1"/>
    <col min="4" max="4" width="9.1796875" style="42"/>
    <col min="5" max="5" width="35.453125" style="7" customWidth="1"/>
    <col min="6" max="6" width="43.1796875" style="8" customWidth="1"/>
    <col min="7" max="7" width="88.81640625" style="52" bestFit="1" customWidth="1"/>
    <col min="8" max="16384" width="9.1796875" style="6"/>
  </cols>
  <sheetData>
    <row r="1" spans="2:7" ht="13.15" customHeight="1" thickBot="1"/>
    <row r="2" spans="2:7" ht="15" thickBot="1">
      <c r="B2" s="259">
        <v>1</v>
      </c>
      <c r="C2" s="56" t="s">
        <v>0</v>
      </c>
    </row>
    <row r="3" spans="2:7" ht="15" thickBot="1">
      <c r="B3" s="260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2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22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2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2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2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2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2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2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2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Maj</v>
      </c>
    </row>
    <row r="246" spans="4:7">
      <c r="D246" s="49"/>
      <c r="E246" s="9"/>
      <c r="F246" s="10"/>
      <c r="G246" s="52" t="str">
        <f>+CONCATENATE("Jan - ",LEFT(G245,3))</f>
        <v>Jan - Maj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Maj</v>
      </c>
      <c r="F254" s="10" t="str">
        <f>+CONCATENATE("Analytics for period ",G246)</f>
        <v>Analytics for period Jan - Maj</v>
      </c>
      <c r="G254" s="52" t="str">
        <f>+IF(ISBLANK(IF($B$2=1,E254,F254)),"",IF($B$2=1,E254,F254))</f>
        <v>Analitika za period Jan - Maj</v>
      </c>
    </row>
    <row r="255" spans="4:7">
      <c r="D255" s="46"/>
      <c r="E255" s="9" t="str">
        <f>+CONCATENATE("Analitika za period ",G245)</f>
        <v>Analitika za period Maj</v>
      </c>
      <c r="F255" s="10" t="str">
        <f>+CONCATENATE("Analytics for period ",G245)</f>
        <v>Analytics for period Maj</v>
      </c>
      <c r="G255" s="52" t="str">
        <f>+IF(ISBLANK(IF($B$2=1,E255,F255)),"",IF($B$2=1,E255,F255))</f>
        <v>Analitika za period Maj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Maj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Maj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Maj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Maj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Maj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Maj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58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zoomScaleNormal="10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796875" defaultRowHeight="14.5"/>
  <cols>
    <col min="1" max="3" width="9.1796875" style="130"/>
    <col min="4" max="4" width="10" style="130" bestFit="1" customWidth="1"/>
    <col min="5" max="7" width="9.1796875" style="130"/>
    <col min="8" max="8" width="11" style="130" bestFit="1" customWidth="1"/>
    <col min="9" max="16384" width="9.179687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Maj</v>
      </c>
      <c r="E11" s="135"/>
      <c r="F11" s="135"/>
      <c r="G11" s="137" t="str">
        <f>+Master!G274</f>
        <v>Prihodi za period Januar - Maj</v>
      </c>
      <c r="H11" s="135"/>
      <c r="I11" s="135"/>
      <c r="J11" s="135"/>
      <c r="K11" s="136"/>
    </row>
    <row r="12" spans="3:11">
      <c r="C12" s="134"/>
      <c r="D12" s="138">
        <f>+'Analitika 2023'!N10</f>
        <v>186582938.95000002</v>
      </c>
      <c r="E12" s="454">
        <f>+D12/'2023'!T7</f>
        <v>3.0217817988209765E-2</v>
      </c>
      <c r="F12" s="135"/>
      <c r="G12" s="138">
        <f>+'Analitika 2023'!G10</f>
        <v>983990210.75999999</v>
      </c>
      <c r="H12" s="454">
        <f>+G12/'2023'!T7</f>
        <v>0.15936096439607425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Maj</v>
      </c>
      <c r="E15" s="135"/>
      <c r="F15" s="135"/>
      <c r="G15" s="137" t="str">
        <f>+Master!G275</f>
        <v>Rashodi za period Januar - Maj</v>
      </c>
      <c r="H15" s="135"/>
      <c r="I15" s="135"/>
      <c r="J15" s="135"/>
      <c r="K15" s="136"/>
    </row>
    <row r="16" spans="3:11">
      <c r="C16" s="134"/>
      <c r="D16" s="138">
        <f>+'Analitika 2023'!N29</f>
        <v>189744984.55000001</v>
      </c>
      <c r="E16" s="454">
        <f>+D16/'2023'!T7</f>
        <v>3.072992332296829E-2</v>
      </c>
      <c r="F16" s="135"/>
      <c r="G16" s="138">
        <f>+'Analitika 2023'!G29</f>
        <v>873969766.38999987</v>
      </c>
      <c r="H16" s="454">
        <f>+G16/'2023'!T7</f>
        <v>0.14154273416739543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Maj</v>
      </c>
      <c r="E19" s="135"/>
      <c r="F19" s="135"/>
      <c r="G19" s="137" t="str">
        <f>+Master!G276</f>
        <v>Suficit/Deficit za period Januar - Maj</v>
      </c>
      <c r="H19" s="135"/>
      <c r="I19" s="135"/>
      <c r="J19" s="135"/>
      <c r="K19" s="136"/>
    </row>
    <row r="20" spans="3:12">
      <c r="C20" s="134"/>
      <c r="D20" s="138">
        <f>+'Analitika 2023'!N53</f>
        <v>-3162045.599999994</v>
      </c>
      <c r="E20" s="454">
        <f>+D20/'2023'!T7</f>
        <v>-5.1210533475852592E-4</v>
      </c>
      <c r="F20" s="135"/>
      <c r="G20" s="138">
        <f>+'Analitika 2023'!G53</f>
        <v>110020444.37000002</v>
      </c>
      <c r="H20" s="454">
        <f>+G20/'2023'!T7</f>
        <v>1.7818230228678785E-2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mGDkwlCaw/JgRaJ2acZXttoTbA6j1TyxEVv6OqOc/EP6u2GvKMziN8T8L6QHhkLsxVyK9wPx6yYT0rtwiOWBxw==" saltValue="9OSfMDZW2vI0FKHVStVl5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355600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Y71"/>
  <sheetViews>
    <sheetView tabSelected="1" zoomScaleNormal="100" workbookViewId="0">
      <pane ySplit="5" topLeftCell="A29" activePane="bottomLeft" state="frozen"/>
      <selection activeCell="DK219" sqref="DK219"/>
      <selection pane="bottomLeft" activeCell="L38" sqref="L38"/>
    </sheetView>
  </sheetViews>
  <sheetFormatPr defaultColWidth="9.1796875" defaultRowHeight="14.5"/>
  <cols>
    <col min="1" max="1" width="5" style="5" bestFit="1" customWidth="1"/>
    <col min="2" max="2" width="11.7265625" style="5" customWidth="1"/>
    <col min="3" max="4" width="9.1796875" style="5"/>
    <col min="5" max="6" width="9.1796875" style="5" customWidth="1"/>
    <col min="7" max="7" width="15.7265625" style="358" customWidth="1"/>
    <col min="8" max="8" width="12.453125" style="5" customWidth="1"/>
    <col min="9" max="9" width="12.54296875" style="5" customWidth="1"/>
    <col min="10" max="10" width="12.7265625" style="5" customWidth="1"/>
    <col min="11" max="13" width="12.453125" style="5" customWidth="1"/>
    <col min="14" max="14" width="12.7265625" style="5" customWidth="1"/>
    <col min="15" max="15" width="11.453125" style="5" customWidth="1"/>
    <col min="16" max="17" width="12.1796875" style="5" customWidth="1"/>
    <col min="18" max="18" width="13.453125" style="5" customWidth="1"/>
    <col min="19" max="19" width="9.1796875" style="5" customWidth="1"/>
    <col min="20" max="20" width="9.81640625" style="5" customWidth="1"/>
    <col min="21" max="22" width="9.1796875" style="5"/>
    <col min="23" max="23" width="11.7265625" style="5" bestFit="1" customWidth="1"/>
    <col min="24" max="25" width="9.1796875" style="5"/>
    <col min="26" max="26" width="11.26953125" style="5" bestFit="1" customWidth="1"/>
    <col min="27" max="16384" width="9.179687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2023-05</v>
      </c>
      <c r="O6" s="143" t="str">
        <f>+CONCATENATE(N6,"p")</f>
        <v>2023-05p</v>
      </c>
      <c r="P6" s="130"/>
      <c r="Q6" s="130"/>
      <c r="R6" s="143" t="str">
        <f>+IF(Master!B3-10&gt;=0,CONCATENATE(Master!B4-1,"-",Master!B3),CONCATENATE(Master!B4-1,"-0",Master!B3))</f>
        <v>2022-05</v>
      </c>
      <c r="S6" s="130"/>
      <c r="T6" s="130"/>
    </row>
    <row r="7" spans="1:25" ht="14.25" customHeight="1">
      <c r="A7" s="144"/>
      <c r="B7" s="551" t="str">
        <f>+Master!G254</f>
        <v>Analitika za period Jan - Maj</v>
      </c>
      <c r="C7" s="552"/>
      <c r="D7" s="552"/>
      <c r="E7" s="552"/>
      <c r="F7" s="552"/>
      <c r="G7" s="560" t="str">
        <f>+Master!G246</f>
        <v>Jan - Maj</v>
      </c>
      <c r="H7" s="561"/>
      <c r="I7" s="561"/>
      <c r="J7" s="561"/>
      <c r="K7" s="561"/>
      <c r="L7" s="561"/>
      <c r="M7" s="564"/>
      <c r="N7" s="561" t="str">
        <f>+Master!G245</f>
        <v>Maj</v>
      </c>
      <c r="O7" s="561"/>
      <c r="P7" s="561"/>
      <c r="Q7" s="561"/>
      <c r="R7" s="561"/>
      <c r="S7" s="561"/>
      <c r="T7" s="564"/>
    </row>
    <row r="8" spans="1:25" ht="29.25" customHeight="1">
      <c r="A8" s="144"/>
      <c r="B8" s="553"/>
      <c r="C8" s="554"/>
      <c r="D8" s="554"/>
      <c r="E8" s="554"/>
      <c r="F8" s="555"/>
      <c r="G8" s="515" t="str">
        <f>+Master!G26</f>
        <v>Ostvarenje</v>
      </c>
      <c r="H8" s="356" t="str">
        <f>+Master!G25</f>
        <v>Plan</v>
      </c>
      <c r="I8" s="549" t="str">
        <f>+Master!G261</f>
        <v>Odstupanje</v>
      </c>
      <c r="J8" s="549"/>
      <c r="K8" s="145" t="str">
        <f>+CONCATENATE(Master!G246," ",Master!B4-1)</f>
        <v>Jan - Maj 2022</v>
      </c>
      <c r="L8" s="549" t="str">
        <f>+I8</f>
        <v>Odstupanje</v>
      </c>
      <c r="M8" s="550"/>
      <c r="N8" s="515" t="str">
        <f>+G8</f>
        <v>Ostvarenje</v>
      </c>
      <c r="O8" s="145" t="str">
        <f>+H8</f>
        <v>Plan</v>
      </c>
      <c r="P8" s="549" t="str">
        <f>+I8</f>
        <v>Odstupanje</v>
      </c>
      <c r="Q8" s="549"/>
      <c r="R8" s="145" t="str">
        <f>+CONCATENATE(Master!G245," ",Master!B4-1)</f>
        <v>Maj 2022</v>
      </c>
      <c r="S8" s="549" t="str">
        <f>+P8</f>
        <v>Odstupanje</v>
      </c>
      <c r="T8" s="550"/>
    </row>
    <row r="9" spans="1:25" ht="15" thickBot="1">
      <c r="A9" s="144"/>
      <c r="B9" s="556"/>
      <c r="C9" s="557"/>
      <c r="D9" s="557"/>
      <c r="E9" s="557"/>
      <c r="F9" s="558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'2023'!S10</f>
        <v>983990210.75999999</v>
      </c>
      <c r="H10" s="151">
        <f>SUM('2023'!G86:K86)</f>
        <v>838146030.37966466</v>
      </c>
      <c r="I10" s="152">
        <f>+G10-H10</f>
        <v>145844180.38033533</v>
      </c>
      <c r="J10" s="154">
        <f>IF(+IF(ISERROR(G10/H10),"…",G10/H10-1)&gt;200%,"...",IF(ISERROR(G10/H10),"…",G10/H10-1))</f>
        <v>0.17400807865697421</v>
      </c>
      <c r="K10" s="151">
        <f>SUM('2022'!G10:K10)</f>
        <v>748911963.86000001</v>
      </c>
      <c r="L10" s="152">
        <f>+G10-K10</f>
        <v>235078246.89999998</v>
      </c>
      <c r="M10" s="156">
        <f>IF(+IF(ISERROR(G10/K10),"…",G10/K10-1)&gt;200%,"...",IF(ISERROR(G10/K10),"…",G10/K10-1))</f>
        <v>0.31389303181694794</v>
      </c>
      <c r="N10" s="151">
        <f>'2023'!K10</f>
        <v>186582938.95000002</v>
      </c>
      <c r="O10" s="151">
        <f>'2023'!K86</f>
        <v>158296327.97128749</v>
      </c>
      <c r="P10" s="152">
        <f>+N10-O10</f>
        <v>28286610.978712529</v>
      </c>
      <c r="Q10" s="154">
        <f>IF(+IF(ISERROR(N10/O10),"…",N10/O10-1)&gt;200%,"...",IF(ISERROR(N10/O10),"…",N10/O10-1))</f>
        <v>0.17869404389369836</v>
      </c>
      <c r="R10" s="151">
        <f>'2022'!K10</f>
        <v>153918991.34</v>
      </c>
      <c r="S10" s="152">
        <f>+N10-R10</f>
        <v>32663947.610000014</v>
      </c>
      <c r="T10" s="156">
        <f>IF(+IF(ISERROR(N10/R10),"…",N10/R10-1)&gt;200%,"...",IF(ISERROR(N10/R10),"…",N10/R10-1))</f>
        <v>0.21221518751930257</v>
      </c>
      <c r="W10" s="498"/>
      <c r="Y10" s="498"/>
    </row>
    <row r="11" spans="1:25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277">
        <f>'2023'!S11</f>
        <v>668692453.67999995</v>
      </c>
      <c r="H11" s="277">
        <f>SUM('2023'!G87:K87)</f>
        <v>587045421.0373733</v>
      </c>
      <c r="I11" s="158">
        <f t="shared" ref="I11:I57" si="0">+G11-H11</f>
        <v>81647032.642626643</v>
      </c>
      <c r="J11" s="160">
        <f t="shared" ref="J11:J65" si="1">IF(+IF(ISERROR(G11/H11-1),"…",G11/H11-1)&gt;200%,"...",IF(ISERROR(G11/H11-1),"…",G11/H11-1))</f>
        <v>0.13908128692724908</v>
      </c>
      <c r="K11" s="277">
        <f>SUM('2022'!G11:K11)</f>
        <v>546747708.79000008</v>
      </c>
      <c r="L11" s="158">
        <f>+G11-K11</f>
        <v>121944744.88999987</v>
      </c>
      <c r="M11" s="162">
        <f t="shared" ref="M11:M65" si="2">IF(+IF(ISERROR(G11/K11),"…",G11/K11-1)&gt;200%,"...",IF(ISERROR(G11/K11),"…",G11/K11-1))</f>
        <v>0.22303659060570036</v>
      </c>
      <c r="N11" s="277">
        <f>'2023'!K11</f>
        <v>130851714.41000001</v>
      </c>
      <c r="O11" s="277">
        <f>'2023'!K87</f>
        <v>114721167.87287787</v>
      </c>
      <c r="P11" s="158">
        <f>+N11-O11</f>
        <v>16130546.537122145</v>
      </c>
      <c r="Q11" s="160">
        <f t="shared" ref="Q11:Q65" si="3">IF(+IF(ISERROR(N11/O11),"…",N11/O11-1)&gt;200%,"...",IF(ISERROR(N11/O11),"…",N11/O11-1))</f>
        <v>0.14060654050346089</v>
      </c>
      <c r="R11" s="277">
        <f>'2022'!K11</f>
        <v>112630389.3</v>
      </c>
      <c r="S11" s="158">
        <f t="shared" ref="S11:S57" si="4">+N11-R11</f>
        <v>18221325.110000014</v>
      </c>
      <c r="T11" s="162">
        <f t="shared" ref="T11:T65" si="5">IF(+IF(ISERROR(N11/R11),"…",N11/R11-1)&gt;200%,"...",IF(ISERROR(N11/R11),"…",N11/R11-1))</f>
        <v>0.16177982890093778</v>
      </c>
      <c r="W11" s="498"/>
      <c r="Y11" s="498"/>
    </row>
    <row r="12" spans="1:25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f>'2023'!S12</f>
        <v>20196875.960000001</v>
      </c>
      <c r="H12" s="163">
        <f>SUM('2023'!G88:K88)</f>
        <v>21302922.19654743</v>
      </c>
      <c r="I12" s="164">
        <f t="shared" si="0"/>
        <v>-1106046.2365474291</v>
      </c>
      <c r="J12" s="166">
        <f t="shared" si="1"/>
        <v>-5.1919930343015896E-2</v>
      </c>
      <c r="K12" s="163">
        <f>SUM('2022'!G12:K12)</f>
        <v>36703931.18</v>
      </c>
      <c r="L12" s="164">
        <f>+G12-K12</f>
        <v>-16507055.219999999</v>
      </c>
      <c r="M12" s="168">
        <f t="shared" si="2"/>
        <v>-0.44973534685011363</v>
      </c>
      <c r="N12" s="163">
        <f>'2023'!K12</f>
        <v>5224793.55</v>
      </c>
      <c r="O12" s="163">
        <f>'2023'!K88</f>
        <v>4986046.1475269934</v>
      </c>
      <c r="P12" s="164">
        <f t="shared" ref="P12:P57" si="6">+N12-O12</f>
        <v>238747.4024730064</v>
      </c>
      <c r="Q12" s="166">
        <f t="shared" si="3"/>
        <v>4.7883111268719691E-2</v>
      </c>
      <c r="R12" s="163">
        <f>'2022'!K12</f>
        <v>8176244.7699999996</v>
      </c>
      <c r="S12" s="164">
        <f t="shared" si="4"/>
        <v>-2951451.2199999997</v>
      </c>
      <c r="T12" s="168">
        <f t="shared" si="5"/>
        <v>-0.36097882377853518</v>
      </c>
      <c r="W12" s="498"/>
      <c r="Y12" s="498"/>
    </row>
    <row r="13" spans="1:25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f>'2023'!S13</f>
        <v>126915773.33</v>
      </c>
      <c r="H13" s="163">
        <f>SUM('2023'!G89:K89)</f>
        <v>97364785.588658974</v>
      </c>
      <c r="I13" s="164">
        <f t="shared" si="0"/>
        <v>29550987.741341025</v>
      </c>
      <c r="J13" s="166">
        <f t="shared" si="1"/>
        <v>0.30350796299379024</v>
      </c>
      <c r="K13" s="163">
        <f>SUM('2022'!G13:K13)</f>
        <v>72169459.859999985</v>
      </c>
      <c r="L13" s="164">
        <f t="shared" ref="L13:L57" si="7">+G13-K13</f>
        <v>54746313.470000014</v>
      </c>
      <c r="M13" s="168">
        <f t="shared" si="2"/>
        <v>0.75858006386913845</v>
      </c>
      <c r="N13" s="163">
        <f>'2023'!K13</f>
        <v>6981694.2800000003</v>
      </c>
      <c r="O13" s="163">
        <f>'2023'!K89</f>
        <v>2899918.0051999893</v>
      </c>
      <c r="P13" s="164">
        <f t="shared" si="6"/>
        <v>4081776.274800011</v>
      </c>
      <c r="Q13" s="166">
        <f t="shared" si="3"/>
        <v>1.4075488574093376</v>
      </c>
      <c r="R13" s="163">
        <f>'2022'!K13</f>
        <v>2149499.0699999998</v>
      </c>
      <c r="S13" s="164">
        <f t="shared" si="4"/>
        <v>4832195.2100000009</v>
      </c>
      <c r="T13" s="168" t="str">
        <f t="shared" si="5"/>
        <v>...</v>
      </c>
      <c r="W13" s="498"/>
      <c r="Y13" s="498"/>
    </row>
    <row r="14" spans="1:25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f>'2023'!S14</f>
        <v>0</v>
      </c>
      <c r="H14" s="163">
        <f>SUM('2023'!G90:K90)</f>
        <v>0</v>
      </c>
      <c r="I14" s="164">
        <f t="shared" si="0"/>
        <v>0</v>
      </c>
      <c r="J14" s="166" t="str">
        <f t="shared" si="1"/>
        <v>...</v>
      </c>
      <c r="K14" s="163">
        <f>SUM('2022'!G14:K14)</f>
        <v>983158.57000000007</v>
      </c>
      <c r="L14" s="164">
        <f t="shared" si="7"/>
        <v>-983158.57000000007</v>
      </c>
      <c r="M14" s="168">
        <f t="shared" si="2"/>
        <v>-1</v>
      </c>
      <c r="N14" s="163">
        <f>'2023'!K14</f>
        <v>0</v>
      </c>
      <c r="O14" s="163">
        <f>'2023'!K90</f>
        <v>0</v>
      </c>
      <c r="P14" s="164">
        <f t="shared" si="6"/>
        <v>0</v>
      </c>
      <c r="Q14" s="166" t="str">
        <f t="shared" si="3"/>
        <v>...</v>
      </c>
      <c r="R14" s="163">
        <f>'2022'!K14</f>
        <v>189584.64000000001</v>
      </c>
      <c r="S14" s="164">
        <f t="shared" si="4"/>
        <v>-189584.64000000001</v>
      </c>
      <c r="T14" s="168">
        <f t="shared" si="5"/>
        <v>-1</v>
      </c>
      <c r="W14" s="498"/>
      <c r="Y14" s="498"/>
    </row>
    <row r="15" spans="1:25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f>'2023'!S15</f>
        <v>388462816.61000001</v>
      </c>
      <c r="H15" s="163">
        <f>SUM('2023'!G91:K91)</f>
        <v>353310207.21877712</v>
      </c>
      <c r="I15" s="164">
        <f t="shared" si="0"/>
        <v>35152609.391222894</v>
      </c>
      <c r="J15" s="166">
        <f t="shared" si="1"/>
        <v>9.949502922075415E-2</v>
      </c>
      <c r="K15" s="163">
        <f>SUM('2022'!G15:K15)</f>
        <v>321373330.96000004</v>
      </c>
      <c r="L15" s="164">
        <f t="shared" si="7"/>
        <v>67089485.649999976</v>
      </c>
      <c r="M15" s="168">
        <f t="shared" si="2"/>
        <v>0.20875872135871254</v>
      </c>
      <c r="N15" s="163">
        <f>'2023'!K15</f>
        <v>87195794</v>
      </c>
      <c r="O15" s="163">
        <f>'2023'!K91</f>
        <v>80764321.173744261</v>
      </c>
      <c r="P15" s="164">
        <f t="shared" si="6"/>
        <v>6431472.8262557387</v>
      </c>
      <c r="Q15" s="166">
        <f t="shared" si="3"/>
        <v>7.9632599306072693E-2</v>
      </c>
      <c r="R15" s="163">
        <f>'2022'!K15</f>
        <v>76474660.090000004</v>
      </c>
      <c r="S15" s="164">
        <f t="shared" si="4"/>
        <v>10721133.909999996</v>
      </c>
      <c r="T15" s="168">
        <f t="shared" si="5"/>
        <v>0.14019197858980625</v>
      </c>
      <c r="W15" s="498"/>
      <c r="Y15" s="498"/>
    </row>
    <row r="16" spans="1:25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f>'2023'!S16</f>
        <v>108260602.88999999</v>
      </c>
      <c r="H16" s="163">
        <f>SUM('2023'!G92:K92)</f>
        <v>96875498.026210576</v>
      </c>
      <c r="I16" s="164">
        <f t="shared" si="0"/>
        <v>11385104.863789409</v>
      </c>
      <c r="J16" s="166">
        <f t="shared" si="1"/>
        <v>0.11752305893394288</v>
      </c>
      <c r="K16" s="163">
        <f>SUM('2022'!G16:K16)</f>
        <v>97257463.159999996</v>
      </c>
      <c r="L16" s="164">
        <f t="shared" si="7"/>
        <v>11003139.729999989</v>
      </c>
      <c r="M16" s="168">
        <f t="shared" si="2"/>
        <v>0.11313414284617451</v>
      </c>
      <c r="N16" s="163">
        <f>'2023'!K16</f>
        <v>25793019.07</v>
      </c>
      <c r="O16" s="163">
        <f>'2023'!K92</f>
        <v>21753669.00624115</v>
      </c>
      <c r="P16" s="164">
        <f t="shared" si="6"/>
        <v>4039350.0637588501</v>
      </c>
      <c r="Q16" s="166">
        <f t="shared" si="3"/>
        <v>0.18568592096349157</v>
      </c>
      <c r="R16" s="163">
        <f>'2022'!K16</f>
        <v>21309575.899999999</v>
      </c>
      <c r="S16" s="164">
        <f t="shared" si="4"/>
        <v>4483443.1700000018</v>
      </c>
      <c r="T16" s="168">
        <f t="shared" si="5"/>
        <v>0.21039570149305509</v>
      </c>
      <c r="W16" s="498"/>
      <c r="Y16" s="498"/>
    </row>
    <row r="17" spans="1:25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f>'2023'!S17</f>
        <v>19755471.07</v>
      </c>
      <c r="H17" s="163">
        <f>SUM('2023'!G93:K93)</f>
        <v>13633418.83894022</v>
      </c>
      <c r="I17" s="164">
        <f t="shared" si="0"/>
        <v>6122052.2310597803</v>
      </c>
      <c r="J17" s="166">
        <f t="shared" si="1"/>
        <v>0.4490474695586828</v>
      </c>
      <c r="K17" s="163">
        <f>SUM('2022'!G17:K17)</f>
        <v>13629064.35</v>
      </c>
      <c r="L17" s="164">
        <f t="shared" si="7"/>
        <v>6126406.7200000007</v>
      </c>
      <c r="M17" s="168">
        <f t="shared" si="2"/>
        <v>0.44951044053145162</v>
      </c>
      <c r="N17" s="163">
        <f>'2023'!K17</f>
        <v>4535373.51</v>
      </c>
      <c r="O17" s="163">
        <f>'2023'!K93</f>
        <v>3395864.9730360894</v>
      </c>
      <c r="P17" s="164">
        <f t="shared" si="6"/>
        <v>1139508.5369639103</v>
      </c>
      <c r="Q17" s="166">
        <f>IF(+IF(ISERROR(N17/O17),"…",N17/O17-1)&gt;200%,"...",IF(ISERROR(N17/O17),"…",N17/O17-1))</f>
        <v>0.33555766969884182</v>
      </c>
      <c r="R17" s="163">
        <f>'2022'!K17</f>
        <v>3394780.34</v>
      </c>
      <c r="S17" s="164">
        <f t="shared" si="4"/>
        <v>1140593.17</v>
      </c>
      <c r="T17" s="168">
        <f t="shared" si="5"/>
        <v>0.33598438065656988</v>
      </c>
      <c r="W17" s="498"/>
      <c r="Y17" s="498"/>
    </row>
    <row r="18" spans="1:25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f>'2023'!S18</f>
        <v>5100913.82</v>
      </c>
      <c r="H18" s="163">
        <f>SUM('2023'!G94:K94)</f>
        <v>4558589.1682390226</v>
      </c>
      <c r="I18" s="164">
        <f t="shared" si="0"/>
        <v>542324.65176097769</v>
      </c>
      <c r="J18" s="166">
        <f t="shared" si="1"/>
        <v>0.11896765243499163</v>
      </c>
      <c r="K18" s="163">
        <f>SUM('2022'!G18:K18)</f>
        <v>4631300.71</v>
      </c>
      <c r="L18" s="164">
        <f t="shared" si="7"/>
        <v>469613.11000000034</v>
      </c>
      <c r="M18" s="168">
        <f t="shared" si="2"/>
        <v>0.10139983115024287</v>
      </c>
      <c r="N18" s="163">
        <f>'2023'!K18</f>
        <v>1121040</v>
      </c>
      <c r="O18" s="163">
        <f>'2023'!K94</f>
        <v>921348.56712938857</v>
      </c>
      <c r="P18" s="164">
        <f t="shared" si="6"/>
        <v>199691.43287061143</v>
      </c>
      <c r="Q18" s="166">
        <f t="shared" si="3"/>
        <v>0.21673820310241831</v>
      </c>
      <c r="R18" s="163">
        <f>'2022'!K18</f>
        <v>936044.49</v>
      </c>
      <c r="S18" s="164">
        <f t="shared" si="4"/>
        <v>184995.51</v>
      </c>
      <c r="T18" s="168">
        <f t="shared" si="5"/>
        <v>0.19763538162593108</v>
      </c>
      <c r="W18" s="498"/>
      <c r="Y18" s="498"/>
    </row>
    <row r="19" spans="1:25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'2023'!S19</f>
        <v>193355967.12</v>
      </c>
      <c r="H19" s="169">
        <f>SUM('2023'!G95:K95)</f>
        <v>158968866.07559255</v>
      </c>
      <c r="I19" s="170">
        <f t="shared" si="0"/>
        <v>34387101.044407457</v>
      </c>
      <c r="J19" s="172">
        <f t="shared" si="1"/>
        <v>0.2163134322670186</v>
      </c>
      <c r="K19" s="169">
        <f>SUM('2022'!G19:K19)</f>
        <v>154828876.61999997</v>
      </c>
      <c r="L19" s="170">
        <f t="shared" si="7"/>
        <v>38527090.50000003</v>
      </c>
      <c r="M19" s="174">
        <f t="shared" si="2"/>
        <v>0.24883659522091572</v>
      </c>
      <c r="N19" s="169">
        <f>'2023'!K19</f>
        <v>45975315.240000002</v>
      </c>
      <c r="O19" s="169">
        <f>'2023'!K95</f>
        <v>31865136.166640289</v>
      </c>
      <c r="P19" s="170">
        <f t="shared" si="6"/>
        <v>14110179.073359713</v>
      </c>
      <c r="Q19" s="172">
        <f t="shared" si="3"/>
        <v>0.44280931358867703</v>
      </c>
      <c r="R19" s="169">
        <f>'2022'!K19</f>
        <v>33463530.389999997</v>
      </c>
      <c r="S19" s="170">
        <f t="shared" si="4"/>
        <v>12511784.850000005</v>
      </c>
      <c r="T19" s="174">
        <f t="shared" si="5"/>
        <v>0.3738931518635864</v>
      </c>
      <c r="W19" s="498"/>
      <c r="Y19" s="498"/>
    </row>
    <row r="20" spans="1:25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f>'2023'!S20</f>
        <v>176709360.75</v>
      </c>
      <c r="H20" s="163">
        <f>SUM('2023'!G96:K96)</f>
        <v>146563978.33776635</v>
      </c>
      <c r="I20" s="164">
        <f t="shared" si="0"/>
        <v>30145382.412233651</v>
      </c>
      <c r="J20" s="166">
        <f t="shared" si="1"/>
        <v>0.20568070513725845</v>
      </c>
      <c r="K20" s="163">
        <f>SUM('2022'!G20:K20)</f>
        <v>126395892.09999999</v>
      </c>
      <c r="L20" s="164">
        <f t="shared" si="7"/>
        <v>50313468.650000006</v>
      </c>
      <c r="M20" s="168">
        <f t="shared" si="2"/>
        <v>0.39806253046731732</v>
      </c>
      <c r="N20" s="163">
        <f>'2023'!K20</f>
        <v>41997766.549999997</v>
      </c>
      <c r="O20" s="163">
        <f>'2023'!K96</f>
        <v>29460956.519365169</v>
      </c>
      <c r="P20" s="164">
        <f t="shared" si="6"/>
        <v>12536810.030634828</v>
      </c>
      <c r="Q20" s="166">
        <f t="shared" si="3"/>
        <v>0.42553981648199968</v>
      </c>
      <c r="R20" s="163">
        <f>'2022'!K20</f>
        <v>29598378.829999998</v>
      </c>
      <c r="S20" s="164">
        <f t="shared" si="4"/>
        <v>12399387.719999999</v>
      </c>
      <c r="T20" s="168">
        <f t="shared" si="5"/>
        <v>0.41892117778533078</v>
      </c>
      <c r="W20" s="498"/>
      <c r="Y20" s="498"/>
    </row>
    <row r="21" spans="1:25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f>'2023'!S21</f>
        <v>2506591.7199999997</v>
      </c>
      <c r="H21" s="163">
        <f>SUM('2023'!G97:K97)</f>
        <v>500119.34347054141</v>
      </c>
      <c r="I21" s="164">
        <f t="shared" si="0"/>
        <v>2006472.3765294584</v>
      </c>
      <c r="J21" s="166" t="str">
        <f t="shared" si="1"/>
        <v>...</v>
      </c>
      <c r="K21" s="163">
        <f>SUM('2022'!G21:K21)</f>
        <v>18396799.239999998</v>
      </c>
      <c r="L21" s="164">
        <f t="shared" si="7"/>
        <v>-15890207.52</v>
      </c>
      <c r="M21" s="168">
        <f t="shared" si="2"/>
        <v>-0.86374848758745271</v>
      </c>
      <c r="N21" s="163">
        <f>'2023'!K21</f>
        <v>599016.13</v>
      </c>
      <c r="O21" s="163">
        <f>'2023'!K97</f>
        <v>100023.86869410829</v>
      </c>
      <c r="P21" s="164">
        <f t="shared" si="6"/>
        <v>498992.26130589173</v>
      </c>
      <c r="Q21" s="166" t="str">
        <f t="shared" si="3"/>
        <v>...</v>
      </c>
      <c r="R21" s="163">
        <f>'2022'!K21</f>
        <v>1480944.7</v>
      </c>
      <c r="S21" s="164">
        <f t="shared" si="4"/>
        <v>-881928.57</v>
      </c>
      <c r="T21" s="168">
        <f t="shared" si="5"/>
        <v>-0.59551755713768384</v>
      </c>
      <c r="W21" s="498"/>
      <c r="Y21" s="498"/>
    </row>
    <row r="22" spans="1:25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f>'2023'!S22</f>
        <v>8076800.8699999992</v>
      </c>
      <c r="H22" s="163">
        <f>SUM('2023'!G98:K98)</f>
        <v>6944603.0766476654</v>
      </c>
      <c r="I22" s="164">
        <f t="shared" si="0"/>
        <v>1132197.7933523338</v>
      </c>
      <c r="J22" s="166">
        <f t="shared" si="1"/>
        <v>0.16303275807936801</v>
      </c>
      <c r="K22" s="163">
        <f>SUM('2022'!G22:K22)</f>
        <v>5782434.8300000001</v>
      </c>
      <c r="L22" s="164">
        <f t="shared" si="7"/>
        <v>2294366.0399999991</v>
      </c>
      <c r="M22" s="168">
        <f t="shared" si="2"/>
        <v>0.39678199710899276</v>
      </c>
      <c r="N22" s="163">
        <f>'2023'!K22</f>
        <v>1915310.31</v>
      </c>
      <c r="O22" s="163">
        <f>'2023'!K98</f>
        <v>1381579.4426863664</v>
      </c>
      <c r="P22" s="164">
        <f t="shared" si="6"/>
        <v>533730.86731363367</v>
      </c>
      <c r="Q22" s="166">
        <f t="shared" si="3"/>
        <v>0.38631934641111787</v>
      </c>
      <c r="R22" s="163">
        <f>'2022'!K22</f>
        <v>1379492.12</v>
      </c>
      <c r="S22" s="164">
        <f t="shared" si="4"/>
        <v>535818.18999999994</v>
      </c>
      <c r="T22" s="168">
        <f t="shared" si="5"/>
        <v>0.38841699943889485</v>
      </c>
      <c r="W22" s="498"/>
      <c r="Y22" s="498"/>
    </row>
    <row r="23" spans="1:25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f>'2023'!S23</f>
        <v>6063213.7800000003</v>
      </c>
      <c r="H23" s="163">
        <f>SUM('2023'!G99:K99)</f>
        <v>4960165.3177079894</v>
      </c>
      <c r="I23" s="164">
        <f t="shared" si="0"/>
        <v>1103048.4622920109</v>
      </c>
      <c r="J23" s="166">
        <f t="shared" si="1"/>
        <v>0.22238139086898645</v>
      </c>
      <c r="K23" s="163">
        <f>SUM('2022'!G23:K23)</f>
        <v>4253750.45</v>
      </c>
      <c r="L23" s="164">
        <f t="shared" si="7"/>
        <v>1809463.33</v>
      </c>
      <c r="M23" s="168">
        <f t="shared" si="2"/>
        <v>0.42538069669789857</v>
      </c>
      <c r="N23" s="163">
        <f>'2023'!K23</f>
        <v>1463222.25</v>
      </c>
      <c r="O23" s="163">
        <f>'2023'!K99</f>
        <v>922576.33589464275</v>
      </c>
      <c r="P23" s="164">
        <f t="shared" si="6"/>
        <v>540645.91410535725</v>
      </c>
      <c r="Q23" s="166">
        <f t="shared" si="3"/>
        <v>0.58601753922192357</v>
      </c>
      <c r="R23" s="163">
        <f>'2022'!K23</f>
        <v>1004714.74</v>
      </c>
      <c r="S23" s="164">
        <f t="shared" si="4"/>
        <v>458507.51</v>
      </c>
      <c r="T23" s="168">
        <f t="shared" si="5"/>
        <v>0.4563559105343673</v>
      </c>
      <c r="W23" s="498"/>
      <c r="Y23" s="498"/>
    </row>
    <row r="24" spans="1:25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f>'2023'!S24</f>
        <v>5147160.26</v>
      </c>
      <c r="H24" s="175">
        <f>SUM('2023'!G100:K100)</f>
        <v>4412829.7998678414</v>
      </c>
      <c r="I24" s="176">
        <f t="shared" si="0"/>
        <v>734330.46013215836</v>
      </c>
      <c r="J24" s="178">
        <f t="shared" si="1"/>
        <v>0.1664080631784508</v>
      </c>
      <c r="K24" s="175">
        <f>SUM('2022'!G24:K24)</f>
        <v>4522506.0999999996</v>
      </c>
      <c r="L24" s="176">
        <f t="shared" si="7"/>
        <v>624654.16000000015</v>
      </c>
      <c r="M24" s="180">
        <f t="shared" si="2"/>
        <v>0.13812124211396859</v>
      </c>
      <c r="N24" s="175">
        <f>'2023'!K24</f>
        <v>1315713.1400000001</v>
      </c>
      <c r="O24" s="175">
        <f>'2023'!K100</f>
        <v>975864.39322560804</v>
      </c>
      <c r="P24" s="176">
        <f t="shared" si="6"/>
        <v>339848.74677439209</v>
      </c>
      <c r="Q24" s="178">
        <f t="shared" si="3"/>
        <v>0.34825407006711351</v>
      </c>
      <c r="R24" s="175">
        <f>'2022'!K24</f>
        <v>1039077.46</v>
      </c>
      <c r="S24" s="176">
        <f t="shared" si="4"/>
        <v>276635.68000000017</v>
      </c>
      <c r="T24" s="180">
        <f t="shared" si="5"/>
        <v>0.26623200930563939</v>
      </c>
      <c r="W24" s="498"/>
      <c r="Y24" s="498"/>
    </row>
    <row r="25" spans="1:25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f>'2023'!S25</f>
        <v>26841278.210000001</v>
      </c>
      <c r="H25" s="175">
        <f>SUM('2023'!G101:K101)</f>
        <v>20708501.96157274</v>
      </c>
      <c r="I25" s="176">
        <f t="shared" si="0"/>
        <v>6132776.2484272607</v>
      </c>
      <c r="J25" s="178">
        <f t="shared" si="1"/>
        <v>0.29614774935470489</v>
      </c>
      <c r="K25" s="175">
        <f>SUM('2022'!G25:K25)</f>
        <v>23093031.649999999</v>
      </c>
      <c r="L25" s="176">
        <f t="shared" si="7"/>
        <v>3748246.5600000024</v>
      </c>
      <c r="M25" s="180">
        <f t="shared" si="2"/>
        <v>0.16231071852361145</v>
      </c>
      <c r="N25" s="175">
        <f>'2023'!K25</f>
        <v>4607961.24</v>
      </c>
      <c r="O25" s="175">
        <f>'2023'!K101</f>
        <v>1893341.290231579</v>
      </c>
      <c r="P25" s="176">
        <f t="shared" si="6"/>
        <v>2714619.9497684212</v>
      </c>
      <c r="Q25" s="178">
        <f t="shared" si="3"/>
        <v>1.4337721169311157</v>
      </c>
      <c r="R25" s="175">
        <f>'2022'!K25</f>
        <v>2678608.52</v>
      </c>
      <c r="S25" s="176">
        <f t="shared" si="4"/>
        <v>1929352.7200000002</v>
      </c>
      <c r="T25" s="180">
        <f t="shared" si="5"/>
        <v>0.72028170805639058</v>
      </c>
      <c r="W25" s="498"/>
      <c r="Y25" s="498"/>
    </row>
    <row r="26" spans="1:25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f>'2023'!S26</f>
        <v>49987905.109999999</v>
      </c>
      <c r="H26" s="175">
        <f>SUM('2023'!G102:K102)</f>
        <v>45507459.648674451</v>
      </c>
      <c r="I26" s="176">
        <f t="shared" si="0"/>
        <v>4480445.4613255486</v>
      </c>
      <c r="J26" s="178">
        <f t="shared" si="1"/>
        <v>9.8455187257547871E-2</v>
      </c>
      <c r="K26" s="175">
        <f>SUM('2022'!G26:K26)</f>
        <v>9958523.6100000013</v>
      </c>
      <c r="L26" s="176">
        <f t="shared" si="7"/>
        <v>40029381.5</v>
      </c>
      <c r="M26" s="180" t="str">
        <f t="shared" si="2"/>
        <v>...</v>
      </c>
      <c r="N26" s="175">
        <f>'2023'!K26</f>
        <v>2083663.61</v>
      </c>
      <c r="O26" s="175">
        <f>'2023'!K102</f>
        <v>4733890.0403573457</v>
      </c>
      <c r="P26" s="176">
        <f t="shared" si="6"/>
        <v>-2650226.4303573454</v>
      </c>
      <c r="Q26" s="178">
        <f t="shared" si="3"/>
        <v>-0.55984114708276767</v>
      </c>
      <c r="R26" s="175">
        <f>'2022'!K26</f>
        <v>3456607.14</v>
      </c>
      <c r="S26" s="176">
        <f t="shared" si="4"/>
        <v>-1372943.53</v>
      </c>
      <c r="T26" s="180">
        <f t="shared" si="5"/>
        <v>-0.3971939750144704</v>
      </c>
      <c r="W26" s="498"/>
      <c r="Y26" s="498"/>
    </row>
    <row r="27" spans="1:25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f>'2023'!S27</f>
        <v>0</v>
      </c>
      <c r="H27" s="175">
        <f>SUM('2023'!G103:K103)</f>
        <v>2195533.0610282104</v>
      </c>
      <c r="I27" s="176">
        <f t="shared" si="0"/>
        <v>-2195533.0610282104</v>
      </c>
      <c r="J27" s="178">
        <f t="shared" si="1"/>
        <v>-1</v>
      </c>
      <c r="K27" s="175">
        <f>SUM('2022'!G27:K27)</f>
        <v>0</v>
      </c>
      <c r="L27" s="176">
        <f t="shared" si="7"/>
        <v>0</v>
      </c>
      <c r="M27" s="180" t="str">
        <f t="shared" si="2"/>
        <v>...</v>
      </c>
      <c r="N27" s="175">
        <f>'2023'!K27</f>
        <v>0</v>
      </c>
      <c r="O27" s="175">
        <f>'2023'!K103</f>
        <v>953218.81017704192</v>
      </c>
      <c r="P27" s="176">
        <f t="shared" si="6"/>
        <v>-953218.81017704192</v>
      </c>
      <c r="Q27" s="178">
        <f t="shared" si="3"/>
        <v>-1</v>
      </c>
      <c r="R27" s="175">
        <f>'2022'!K27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f>'2023'!S28</f>
        <v>39965446.380000003</v>
      </c>
      <c r="H28" s="175">
        <f>SUM('2023'!G104:K104)</f>
        <v>19307418.795555554</v>
      </c>
      <c r="I28" s="176">
        <f t="shared" si="0"/>
        <v>20658027.584444448</v>
      </c>
      <c r="J28" s="178">
        <f t="shared" si="1"/>
        <v>1.0699528405733756</v>
      </c>
      <c r="K28" s="175">
        <f>SUM('2022'!G28:K28)</f>
        <v>9761317.0899999999</v>
      </c>
      <c r="L28" s="176">
        <f t="shared" si="7"/>
        <v>30204129.290000003</v>
      </c>
      <c r="M28" s="180" t="str">
        <f t="shared" si="2"/>
        <v>...</v>
      </c>
      <c r="N28" s="175">
        <f>'2023'!K28</f>
        <v>1748571.3099999998</v>
      </c>
      <c r="O28" s="175">
        <f>'2023'!K104</f>
        <v>3153709.3977777776</v>
      </c>
      <c r="P28" s="176">
        <f t="shared" si="6"/>
        <v>-1405138.0877777778</v>
      </c>
      <c r="Q28" s="178">
        <f t="shared" si="3"/>
        <v>-0.44555090864360902</v>
      </c>
      <c r="R28" s="175">
        <f>'2022'!K28</f>
        <v>650778.53</v>
      </c>
      <c r="S28" s="176">
        <f t="shared" si="4"/>
        <v>1097792.7799999998</v>
      </c>
      <c r="T28" s="180">
        <f t="shared" si="5"/>
        <v>1.6868915143835488</v>
      </c>
      <c r="W28" s="498"/>
      <c r="Y28" s="498"/>
    </row>
    <row r="29" spans="1:25" ht="1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'2023'!S29</f>
        <v>873969766.38999987</v>
      </c>
      <c r="H29" s="151">
        <f>SUM('2023'!G105:K105)</f>
        <v>989288200.76999998</v>
      </c>
      <c r="I29" s="152">
        <f t="shared" si="0"/>
        <v>-115318434.38000011</v>
      </c>
      <c r="J29" s="154">
        <f t="shared" si="1"/>
        <v>-0.11656707751112716</v>
      </c>
      <c r="K29" s="151">
        <f>SUM('2022'!G29:K29)</f>
        <v>786950003.99000001</v>
      </c>
      <c r="L29" s="152">
        <f t="shared" si="7"/>
        <v>87019762.399999857</v>
      </c>
      <c r="M29" s="156">
        <f t="shared" si="2"/>
        <v>0.11057851446571143</v>
      </c>
      <c r="N29" s="151">
        <f>'2023'!K29</f>
        <v>189744984.55000001</v>
      </c>
      <c r="O29" s="151">
        <f>'2023'!K105</f>
        <v>199767991.34</v>
      </c>
      <c r="P29" s="152">
        <f t="shared" si="6"/>
        <v>-10023006.789999992</v>
      </c>
      <c r="Q29" s="154">
        <f t="shared" si="3"/>
        <v>-5.017323707751109E-2</v>
      </c>
      <c r="R29" s="151">
        <f>'2022'!K29</f>
        <v>146024098.92000002</v>
      </c>
      <c r="S29" s="152">
        <f t="shared" si="4"/>
        <v>43720885.629999995</v>
      </c>
      <c r="T29" s="156">
        <f t="shared" si="5"/>
        <v>0.2994087000252792</v>
      </c>
      <c r="W29" s="498"/>
      <c r="Y29" s="498"/>
    </row>
    <row r="30" spans="1:25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313">
        <f>'2023'!S30</f>
        <v>395713574.00999999</v>
      </c>
      <c r="H30" s="313">
        <f>SUM('2023'!G106:K106)</f>
        <v>419107883.90999997</v>
      </c>
      <c r="I30" s="188">
        <f t="shared" si="0"/>
        <v>-23394309.899999976</v>
      </c>
      <c r="J30" s="190">
        <f t="shared" si="1"/>
        <v>-5.5819302852875285E-2</v>
      </c>
      <c r="K30" s="313">
        <f>SUM('2022'!G30:K30)</f>
        <v>327460143.29999995</v>
      </c>
      <c r="L30" s="188">
        <f t="shared" si="7"/>
        <v>68253430.710000038</v>
      </c>
      <c r="M30" s="192">
        <f t="shared" si="2"/>
        <v>0.20843278825377598</v>
      </c>
      <c r="N30" s="313">
        <f>'2023'!K30</f>
        <v>92262209.819999993</v>
      </c>
      <c r="O30" s="313">
        <f>'2023'!K106</f>
        <v>84597904.25999999</v>
      </c>
      <c r="P30" s="188">
        <f t="shared" si="6"/>
        <v>7664305.5600000024</v>
      </c>
      <c r="Q30" s="190">
        <f t="shared" si="3"/>
        <v>9.0596872665365424E-2</v>
      </c>
      <c r="R30" s="313">
        <f>'2022'!K30</f>
        <v>58672920.63000001</v>
      </c>
      <c r="S30" s="188">
        <f t="shared" si="4"/>
        <v>33589289.189999983</v>
      </c>
      <c r="T30" s="192">
        <f t="shared" si="5"/>
        <v>0.57248367439928449</v>
      </c>
      <c r="W30" s="498"/>
      <c r="Y30" s="498"/>
    </row>
    <row r="31" spans="1:25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f>'2023'!S31</f>
        <v>260933974.85999998</v>
      </c>
      <c r="H31" s="163">
        <f>SUM('2023'!G107:K107)</f>
        <v>251945105.01999998</v>
      </c>
      <c r="I31" s="164">
        <f t="shared" si="0"/>
        <v>8988869.8400000036</v>
      </c>
      <c r="J31" s="166">
        <f t="shared" si="1"/>
        <v>3.5677890385234612E-2</v>
      </c>
      <c r="K31" s="163">
        <f>SUM('2022'!G31:K31)</f>
        <v>217897230.70999998</v>
      </c>
      <c r="L31" s="164">
        <f t="shared" si="7"/>
        <v>43036744.150000006</v>
      </c>
      <c r="M31" s="168">
        <f t="shared" si="2"/>
        <v>0.19750936719006651</v>
      </c>
      <c r="N31" s="163">
        <f>'2023'!K31</f>
        <v>54180124.569999993</v>
      </c>
      <c r="O31" s="163">
        <f>'2023'!K107</f>
        <v>51811014.989999995</v>
      </c>
      <c r="P31" s="164">
        <f>+N31-O31</f>
        <v>2369109.5799999982</v>
      </c>
      <c r="Q31" s="166">
        <f>IF(+IF(ISERROR(N31/O31),"…",N31/O31-1)&gt;200%,"...",IF(ISERROR(N31/O31),"…",N31/O31-1))</f>
        <v>4.5725982794532438E-2</v>
      </c>
      <c r="R31" s="163">
        <f>'2022'!K31</f>
        <v>41754372.079999998</v>
      </c>
      <c r="S31" s="164">
        <f t="shared" si="4"/>
        <v>12425752.489999995</v>
      </c>
      <c r="T31" s="168">
        <f t="shared" si="5"/>
        <v>0.29759165019156941</v>
      </c>
      <c r="W31" s="498"/>
      <c r="Y31" s="498"/>
    </row>
    <row r="32" spans="1:25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f>'2023'!S32</f>
        <v>6231583.4199999981</v>
      </c>
      <c r="H32" s="163">
        <f>SUM('2023'!G108:K108)</f>
        <v>7468728.1200000001</v>
      </c>
      <c r="I32" s="164">
        <f t="shared" si="0"/>
        <v>-1237144.700000002</v>
      </c>
      <c r="J32" s="166">
        <f t="shared" si="1"/>
        <v>-0.16564329027952385</v>
      </c>
      <c r="K32" s="163">
        <f>SUM('2022'!G32:K32)</f>
        <v>4822241.3899999997</v>
      </c>
      <c r="L32" s="164">
        <f t="shared" si="7"/>
        <v>1409342.0299999984</v>
      </c>
      <c r="M32" s="168">
        <f t="shared" si="2"/>
        <v>0.29225870627766293</v>
      </c>
      <c r="N32" s="163">
        <f>'2023'!K32</f>
        <v>1372429.7699999993</v>
      </c>
      <c r="O32" s="163">
        <f>'2023'!K108</f>
        <v>1497392.13</v>
      </c>
      <c r="P32" s="164">
        <f t="shared" si="6"/>
        <v>-124962.36000000057</v>
      </c>
      <c r="Q32" s="166">
        <f t="shared" si="3"/>
        <v>-8.3453330290977679E-2</v>
      </c>
      <c r="R32" s="163">
        <f>'2022'!K32</f>
        <v>1078145.3399999999</v>
      </c>
      <c r="S32" s="164">
        <f t="shared" si="4"/>
        <v>294284.42999999947</v>
      </c>
      <c r="T32" s="168">
        <f t="shared" si="5"/>
        <v>0.27295432172437861</v>
      </c>
      <c r="W32" s="498"/>
      <c r="Y32" s="498"/>
    </row>
    <row r="33" spans="1:25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f>'2023'!S33</f>
        <v>13180271.059999999</v>
      </c>
      <c r="H33" s="163">
        <f>SUM('2023'!G109:K109)</f>
        <v>19823810.570000004</v>
      </c>
      <c r="I33" s="164">
        <f t="shared" si="0"/>
        <v>-6643539.5100000054</v>
      </c>
      <c r="J33" s="166">
        <f t="shared" si="1"/>
        <v>-0.33512928740622061</v>
      </c>
      <c r="K33" s="163">
        <f>SUM('2022'!G33:K33)</f>
        <v>9264300.7000000011</v>
      </c>
      <c r="L33" s="164">
        <f t="shared" si="7"/>
        <v>3915970.3599999975</v>
      </c>
      <c r="M33" s="168">
        <f t="shared" si="2"/>
        <v>0.42269465195575928</v>
      </c>
      <c r="N33" s="163">
        <f>'2023'!K33</f>
        <v>3182782.03</v>
      </c>
      <c r="O33" s="163">
        <f>'2023'!K109</f>
        <v>3856859.5300000012</v>
      </c>
      <c r="P33" s="164">
        <f t="shared" si="6"/>
        <v>-674077.5000000014</v>
      </c>
      <c r="Q33" s="166">
        <f t="shared" si="3"/>
        <v>-0.1747736713657293</v>
      </c>
      <c r="R33" s="163">
        <f>'2022'!K33</f>
        <v>1001299.32</v>
      </c>
      <c r="S33" s="164">
        <f t="shared" si="4"/>
        <v>2181482.71</v>
      </c>
      <c r="T33" s="168" t="str">
        <f t="shared" si="5"/>
        <v>...</v>
      </c>
      <c r="W33" s="498"/>
      <c r="Y33" s="498"/>
    </row>
    <row r="34" spans="1:25">
      <c r="A34" s="150">
        <v>414</v>
      </c>
      <c r="B34" s="523" t="str">
        <f>+VLOOKUP($A34,Master!$D$30:$G$226,4,FALSE)</f>
        <v>Rashodi za usluge</v>
      </c>
      <c r="C34" s="524"/>
      <c r="D34" s="524"/>
      <c r="E34" s="524"/>
      <c r="F34" s="524"/>
      <c r="G34" s="163">
        <f>'2023'!S34</f>
        <v>21854435.650000002</v>
      </c>
      <c r="H34" s="163">
        <f>SUM('2023'!G110:K110)</f>
        <v>24725597.23999998</v>
      </c>
      <c r="I34" s="164">
        <f t="shared" si="0"/>
        <v>-2871161.5899999775</v>
      </c>
      <c r="J34" s="166">
        <f t="shared" si="1"/>
        <v>-0.11612102074343988</v>
      </c>
      <c r="K34" s="163">
        <f>SUM('2022'!G34:K34)</f>
        <v>17167352.109999999</v>
      </c>
      <c r="L34" s="164">
        <f t="shared" si="7"/>
        <v>4687083.5400000028</v>
      </c>
      <c r="M34" s="168">
        <f t="shared" si="2"/>
        <v>0.27302309115392198</v>
      </c>
      <c r="N34" s="163">
        <f>'2023'!K34</f>
        <v>5116917.6100000003</v>
      </c>
      <c r="O34" s="163">
        <f>'2023'!K110</f>
        <v>4499440.6099999957</v>
      </c>
      <c r="P34" s="164">
        <f t="shared" si="6"/>
        <v>617477.00000000466</v>
      </c>
      <c r="Q34" s="166">
        <f t="shared" si="3"/>
        <v>0.1372341705383695</v>
      </c>
      <c r="R34" s="163">
        <f>'2022'!K34</f>
        <v>2608799.0299999998</v>
      </c>
      <c r="S34" s="164">
        <f t="shared" si="4"/>
        <v>2508118.5800000005</v>
      </c>
      <c r="T34" s="168">
        <f t="shared" si="5"/>
        <v>0.96140735685569489</v>
      </c>
      <c r="W34" s="498"/>
      <c r="Y34" s="498"/>
    </row>
    <row r="35" spans="1:25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f>'2023'!S35</f>
        <v>6795202.8500000015</v>
      </c>
      <c r="H35" s="163">
        <f>SUM('2023'!G111:K111)</f>
        <v>12696901.380000003</v>
      </c>
      <c r="I35" s="164">
        <f t="shared" si="0"/>
        <v>-5901698.5300000012</v>
      </c>
      <c r="J35" s="166">
        <f t="shared" si="1"/>
        <v>-0.46481407970107425</v>
      </c>
      <c r="K35" s="163">
        <f>SUM('2022'!G35:K35)</f>
        <v>6875327.5199999996</v>
      </c>
      <c r="L35" s="164">
        <f t="shared" si="7"/>
        <v>-80124.669999998063</v>
      </c>
      <c r="M35" s="168">
        <f t="shared" si="2"/>
        <v>-1.1653942269211015E-2</v>
      </c>
      <c r="N35" s="163">
        <f>'2023'!K35</f>
        <v>1740589.3100000003</v>
      </c>
      <c r="O35" s="163">
        <f>'2023'!K111</f>
        <v>2537575.9700000007</v>
      </c>
      <c r="P35" s="164">
        <f t="shared" si="6"/>
        <v>-796986.66000000038</v>
      </c>
      <c r="Q35" s="166">
        <f t="shared" si="3"/>
        <v>-0.31407400977240507</v>
      </c>
      <c r="R35" s="163">
        <f>'2022'!K35</f>
        <v>1517284.34</v>
      </c>
      <c r="S35" s="164">
        <f t="shared" si="4"/>
        <v>223304.9700000002</v>
      </c>
      <c r="T35" s="168">
        <f t="shared" si="5"/>
        <v>0.14717410844693757</v>
      </c>
      <c r="W35" s="498"/>
      <c r="Y35" s="498"/>
    </row>
    <row r="36" spans="1:25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f>'2023'!S36</f>
        <v>45948983.109999999</v>
      </c>
      <c r="H36" s="163">
        <f>SUM('2023'!G112:K112)</f>
        <v>45085660.670000002</v>
      </c>
      <c r="I36" s="164">
        <f t="shared" si="0"/>
        <v>863322.43999999762</v>
      </c>
      <c r="J36" s="166">
        <f t="shared" si="1"/>
        <v>1.914849260652951E-2</v>
      </c>
      <c r="K36" s="163">
        <f>SUM('2022'!G36:K36)</f>
        <v>37858283.850000001</v>
      </c>
      <c r="L36" s="164">
        <f t="shared" si="7"/>
        <v>8090699.2599999979</v>
      </c>
      <c r="M36" s="168">
        <f t="shared" si="2"/>
        <v>0.21371014312366921</v>
      </c>
      <c r="N36" s="163">
        <f>'2023'!K36</f>
        <v>14675383.51</v>
      </c>
      <c r="O36" s="163">
        <f>'2023'!K112</f>
        <v>10610307.359999999</v>
      </c>
      <c r="P36" s="164">
        <f t="shared" si="6"/>
        <v>4065076.1500000004</v>
      </c>
      <c r="Q36" s="166">
        <f t="shared" si="3"/>
        <v>0.38312520194513966</v>
      </c>
      <c r="R36" s="163">
        <f>'2022'!K36</f>
        <v>4588473.78</v>
      </c>
      <c r="S36" s="164">
        <f t="shared" si="4"/>
        <v>10086909.73</v>
      </c>
      <c r="T36" s="168" t="str">
        <f t="shared" si="5"/>
        <v>...</v>
      </c>
      <c r="W36" s="498"/>
      <c r="Y36" s="498"/>
    </row>
    <row r="37" spans="1:25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f>'2023'!S37</f>
        <v>3725091.4300000006</v>
      </c>
      <c r="H37" s="163">
        <f>SUM('2023'!G113:K113)</f>
        <v>4667602.1099999994</v>
      </c>
      <c r="I37" s="164">
        <f t="shared" si="0"/>
        <v>-942510.67999999877</v>
      </c>
      <c r="J37" s="166">
        <f t="shared" si="1"/>
        <v>-0.20192609776671788</v>
      </c>
      <c r="K37" s="163">
        <f>SUM('2022'!G37:K37)</f>
        <v>3306728.93</v>
      </c>
      <c r="L37" s="164">
        <f t="shared" si="7"/>
        <v>418362.50000000047</v>
      </c>
      <c r="M37" s="168">
        <f t="shared" si="2"/>
        <v>0.12651853504060906</v>
      </c>
      <c r="N37" s="163">
        <f>'2023'!K37</f>
        <v>781961.4600000002</v>
      </c>
      <c r="O37" s="163">
        <f>'2023'!K113</f>
        <v>914133.31999999983</v>
      </c>
      <c r="P37" s="164">
        <f t="shared" si="6"/>
        <v>-132171.85999999964</v>
      </c>
      <c r="Q37" s="166">
        <f t="shared" si="3"/>
        <v>-0.14458707182886588</v>
      </c>
      <c r="R37" s="163">
        <f>'2022'!K37</f>
        <v>498993.7</v>
      </c>
      <c r="S37" s="164">
        <f t="shared" si="4"/>
        <v>282967.76000000018</v>
      </c>
      <c r="T37" s="168">
        <f t="shared" si="5"/>
        <v>0.5670768188055284</v>
      </c>
      <c r="W37" s="498"/>
      <c r="Y37" s="498"/>
    </row>
    <row r="38" spans="1:25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f>'2023'!S38</f>
        <v>19195842.809999999</v>
      </c>
      <c r="H38" s="163">
        <f>SUM('2023'!G114:K114)</f>
        <v>26605556.530000001</v>
      </c>
      <c r="I38" s="164">
        <f t="shared" si="0"/>
        <v>-7409713.7200000025</v>
      </c>
      <c r="J38" s="166">
        <f t="shared" si="1"/>
        <v>-0.27850248919412479</v>
      </c>
      <c r="K38" s="163">
        <f>SUM('2022'!G38:K38)</f>
        <v>17548186.420000002</v>
      </c>
      <c r="L38" s="164">
        <f t="shared" si="7"/>
        <v>1647656.3899999969</v>
      </c>
      <c r="M38" s="168">
        <f t="shared" si="2"/>
        <v>9.38932577170557E-2</v>
      </c>
      <c r="N38" s="163">
        <f>'2023'!K38</f>
        <v>5567662.9800000004</v>
      </c>
      <c r="O38" s="163">
        <f>'2023'!K114</f>
        <v>4981951.32</v>
      </c>
      <c r="P38" s="164">
        <f t="shared" si="6"/>
        <v>585711.66000000015</v>
      </c>
      <c r="Q38" s="166">
        <f t="shared" si="3"/>
        <v>0.11756671681007114</v>
      </c>
      <c r="R38" s="163">
        <f>'2022'!K38</f>
        <v>2647649.44</v>
      </c>
      <c r="S38" s="164">
        <f t="shared" si="4"/>
        <v>2920013.5400000005</v>
      </c>
      <c r="T38" s="168">
        <f t="shared" si="5"/>
        <v>1.1028701518732786</v>
      </c>
      <c r="W38" s="498"/>
      <c r="Y38" s="498"/>
    </row>
    <row r="39" spans="1:25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f>'2023'!S39</f>
        <v>17848188.82</v>
      </c>
      <c r="H39" s="163">
        <f>SUM('2023'!G115:K115)</f>
        <v>26088922.270000003</v>
      </c>
      <c r="I39" s="164">
        <f t="shared" si="0"/>
        <v>-8240733.450000003</v>
      </c>
      <c r="J39" s="166">
        <f t="shared" si="1"/>
        <v>-0.31587098020818327</v>
      </c>
      <c r="K39" s="163">
        <f>SUM('2022'!G39:K39)</f>
        <v>12720491.67</v>
      </c>
      <c r="L39" s="164">
        <f t="shared" si="7"/>
        <v>5127697.1500000004</v>
      </c>
      <c r="M39" s="168">
        <f t="shared" si="2"/>
        <v>0.40310526377633327</v>
      </c>
      <c r="N39" s="163">
        <f>'2023'!K39</f>
        <v>5644358.5800000001</v>
      </c>
      <c r="O39" s="163">
        <f>'2023'!K115</f>
        <v>3889229.03</v>
      </c>
      <c r="P39" s="164">
        <f t="shared" si="6"/>
        <v>1755129.5500000003</v>
      </c>
      <c r="Q39" s="166">
        <f t="shared" si="3"/>
        <v>0.4512795560409566</v>
      </c>
      <c r="R39" s="163">
        <f>'2022'!K39</f>
        <v>2977903.6</v>
      </c>
      <c r="S39" s="164">
        <f t="shared" si="4"/>
        <v>2666454.98</v>
      </c>
      <c r="T39" s="168">
        <f t="shared" si="5"/>
        <v>0.89541346469375305</v>
      </c>
      <c r="W39" s="498"/>
      <c r="Y39" s="498"/>
    </row>
    <row r="40" spans="1:25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'2023'!S40</f>
        <v>323262248.00999993</v>
      </c>
      <c r="H40" s="193">
        <f>SUM('2023'!G116:K116)</f>
        <v>323204264.57000005</v>
      </c>
      <c r="I40" s="194">
        <f t="shared" si="0"/>
        <v>57983.439999878407</v>
      </c>
      <c r="J40" s="196">
        <f t="shared" si="1"/>
        <v>1.7940184074305421E-4</v>
      </c>
      <c r="K40" s="193">
        <f>SUM('2022'!G40:K40)</f>
        <v>243017013.40999997</v>
      </c>
      <c r="L40" s="194">
        <f t="shared" si="7"/>
        <v>80245234.599999964</v>
      </c>
      <c r="M40" s="198">
        <f t="shared" si="2"/>
        <v>0.33020418395405216</v>
      </c>
      <c r="N40" s="193">
        <f>'2023'!K40</f>
        <v>64802740.460000001</v>
      </c>
      <c r="O40" s="193">
        <f>'2023'!K116</f>
        <v>64693275.430000007</v>
      </c>
      <c r="P40" s="194">
        <f t="shared" si="6"/>
        <v>109465.02999999374</v>
      </c>
      <c r="Q40" s="196">
        <f t="shared" si="3"/>
        <v>1.6920619534628312E-3</v>
      </c>
      <c r="R40" s="193">
        <f>'2022'!K40</f>
        <v>51083547.040000007</v>
      </c>
      <c r="S40" s="194">
        <f t="shared" si="4"/>
        <v>13719193.419999994</v>
      </c>
      <c r="T40" s="198">
        <f t="shared" si="5"/>
        <v>0.26856383737913569</v>
      </c>
      <c r="W40" s="498"/>
      <c r="Y40" s="498"/>
    </row>
    <row r="41" spans="1:25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f>'2023'!S41</f>
        <v>85685050.479999989</v>
      </c>
      <c r="H41" s="163">
        <f>SUM('2023'!G117:K117)</f>
        <v>79223742.579999998</v>
      </c>
      <c r="I41" s="164">
        <f t="shared" si="0"/>
        <v>6461307.8999999911</v>
      </c>
      <c r="J41" s="166">
        <f t="shared" si="1"/>
        <v>8.1557721076801926E-2</v>
      </c>
      <c r="K41" s="163">
        <f>SUM('2022'!G41:K41)</f>
        <v>45429269.710000001</v>
      </c>
      <c r="L41" s="164">
        <f t="shared" si="7"/>
        <v>40255780.769999988</v>
      </c>
      <c r="M41" s="168">
        <f t="shared" si="2"/>
        <v>0.88611991843528992</v>
      </c>
      <c r="N41" s="163">
        <f>'2023'!K41</f>
        <v>16251190.1</v>
      </c>
      <c r="O41" s="163">
        <f>'2023'!K117</f>
        <v>15844748.540000001</v>
      </c>
      <c r="P41" s="164">
        <f t="shared" si="6"/>
        <v>406441.55999999866</v>
      </c>
      <c r="Q41" s="166">
        <f t="shared" si="3"/>
        <v>2.5651499547243661E-2</v>
      </c>
      <c r="R41" s="163">
        <f>'2022'!K41</f>
        <v>11845768.039999999</v>
      </c>
      <c r="S41" s="164">
        <f t="shared" si="4"/>
        <v>4405422.0600000005</v>
      </c>
      <c r="T41" s="168">
        <f t="shared" si="5"/>
        <v>0.37189838979828616</v>
      </c>
      <c r="W41" s="498"/>
      <c r="Y41" s="498"/>
    </row>
    <row r="42" spans="1:25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f>'2023'!S42</f>
        <v>8488645.4699999988</v>
      </c>
      <c r="H42" s="163">
        <f>SUM('2023'!G118:K118)</f>
        <v>9545753.3500000015</v>
      </c>
      <c r="I42" s="164">
        <f t="shared" si="0"/>
        <v>-1057107.8800000027</v>
      </c>
      <c r="J42" s="166">
        <f t="shared" si="1"/>
        <v>-0.11074116847990867</v>
      </c>
      <c r="K42" s="163">
        <f>SUM('2022'!G42:K42)</f>
        <v>9668386.6899999995</v>
      </c>
      <c r="L42" s="164">
        <f t="shared" si="7"/>
        <v>-1179741.2200000007</v>
      </c>
      <c r="M42" s="168">
        <f t="shared" si="2"/>
        <v>-0.12202048364699825</v>
      </c>
      <c r="N42" s="163">
        <f>'2023'!K42</f>
        <v>2059702.3699999999</v>
      </c>
      <c r="O42" s="163">
        <f>'2023'!K118</f>
        <v>1909150.6700000002</v>
      </c>
      <c r="P42" s="164">
        <f t="shared" si="6"/>
        <v>150551.69999999972</v>
      </c>
      <c r="Q42" s="166">
        <f t="shared" si="3"/>
        <v>7.8857945769151838E-2</v>
      </c>
      <c r="R42" s="163">
        <f>'2022'!K42</f>
        <v>2318949.15</v>
      </c>
      <c r="S42" s="164">
        <f t="shared" si="4"/>
        <v>-259246.78000000003</v>
      </c>
      <c r="T42" s="168">
        <f t="shared" si="5"/>
        <v>-0.11179493953112341</v>
      </c>
      <c r="W42" s="498"/>
      <c r="Y42" s="498"/>
    </row>
    <row r="43" spans="1:25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f>'2023'!S43</f>
        <v>216356896.24000001</v>
      </c>
      <c r="H43" s="163">
        <f>SUM('2023'!G119:K119)</f>
        <v>220809768.64000002</v>
      </c>
      <c r="I43" s="164">
        <f t="shared" si="0"/>
        <v>-4452872.400000006</v>
      </c>
      <c r="J43" s="166">
        <f t="shared" si="1"/>
        <v>-2.0166102375931527E-2</v>
      </c>
      <c r="K43" s="163">
        <f>SUM('2022'!G43:K43)</f>
        <v>178923408.81999993</v>
      </c>
      <c r="L43" s="164">
        <f t="shared" si="7"/>
        <v>37433487.420000076</v>
      </c>
      <c r="M43" s="168">
        <f t="shared" si="2"/>
        <v>0.20921514779353889</v>
      </c>
      <c r="N43" s="163">
        <f>'2023'!K43</f>
        <v>43423554.060000002</v>
      </c>
      <c r="O43" s="163">
        <f>'2023'!K119</f>
        <v>44134376.220000006</v>
      </c>
      <c r="P43" s="164">
        <f t="shared" si="6"/>
        <v>-710822.16000000387</v>
      </c>
      <c r="Q43" s="166">
        <f t="shared" si="3"/>
        <v>-1.6105861708721414E-2</v>
      </c>
      <c r="R43" s="163">
        <f>'2022'!K43</f>
        <v>35168591.790000007</v>
      </c>
      <c r="S43" s="164">
        <f t="shared" si="4"/>
        <v>8254962.2699999958</v>
      </c>
      <c r="T43" s="168">
        <f t="shared" si="5"/>
        <v>0.23472541406526393</v>
      </c>
      <c r="W43" s="498"/>
      <c r="Y43" s="498"/>
    </row>
    <row r="44" spans="1:25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f>'2023'!S44</f>
        <v>8232223.6100000003</v>
      </c>
      <c r="H44" s="163">
        <f>SUM('2023'!G120:K120)</f>
        <v>8775000</v>
      </c>
      <c r="I44" s="164">
        <f t="shared" si="0"/>
        <v>-542776.38999999966</v>
      </c>
      <c r="J44" s="166">
        <f t="shared" si="1"/>
        <v>-6.1854859259259265E-2</v>
      </c>
      <c r="K44" s="163">
        <f>SUM('2022'!G44:K44)</f>
        <v>4811978.1100000003</v>
      </c>
      <c r="L44" s="164">
        <f t="shared" si="7"/>
        <v>3420245.5</v>
      </c>
      <c r="M44" s="168">
        <f t="shared" si="2"/>
        <v>0.71077744366546991</v>
      </c>
      <c r="N44" s="163">
        <f>'2023'!K44</f>
        <v>1743976.95</v>
      </c>
      <c r="O44" s="163">
        <f>'2023'!K120</f>
        <v>1755000</v>
      </c>
      <c r="P44" s="164">
        <f t="shared" si="6"/>
        <v>-11023.050000000047</v>
      </c>
      <c r="Q44" s="166">
        <f t="shared" si="3"/>
        <v>-6.2809401709401635E-3</v>
      </c>
      <c r="R44" s="163">
        <f>'2022'!K44</f>
        <v>659345.03</v>
      </c>
      <c r="S44" s="164">
        <f t="shared" si="4"/>
        <v>1084631.92</v>
      </c>
      <c r="T44" s="168">
        <f t="shared" si="5"/>
        <v>1.6450141741418753</v>
      </c>
      <c r="W44" s="498"/>
      <c r="Y44" s="498"/>
    </row>
    <row r="45" spans="1:25">
      <c r="A45" s="150">
        <v>425</v>
      </c>
      <c r="B45" s="523" t="str">
        <f>+VLOOKUP($A45,Master!$D$30:$G$226,4,FALSE)</f>
        <v>Ostala prava iz zdravstvenog osiguranja</v>
      </c>
      <c r="C45" s="524"/>
      <c r="D45" s="524"/>
      <c r="E45" s="524"/>
      <c r="F45" s="524"/>
      <c r="G45" s="163">
        <f>'2023'!S45</f>
        <v>4499432.21</v>
      </c>
      <c r="H45" s="163">
        <f>SUM('2023'!G121:K121)</f>
        <v>4850000</v>
      </c>
      <c r="I45" s="164">
        <f t="shared" si="0"/>
        <v>-350567.79000000004</v>
      </c>
      <c r="J45" s="166">
        <f t="shared" si="1"/>
        <v>-7.2282018556701022E-2</v>
      </c>
      <c r="K45" s="163">
        <f>SUM('2022'!G45:K45)</f>
        <v>4183970.08</v>
      </c>
      <c r="L45" s="164">
        <f t="shared" si="7"/>
        <v>315462.12999999989</v>
      </c>
      <c r="M45" s="168">
        <f t="shared" si="2"/>
        <v>7.5397797777750908E-2</v>
      </c>
      <c r="N45" s="163">
        <f>'2023'!K45</f>
        <v>1324316.98</v>
      </c>
      <c r="O45" s="163">
        <f>'2023'!K121</f>
        <v>1050000</v>
      </c>
      <c r="P45" s="164">
        <f t="shared" si="6"/>
        <v>274316.98</v>
      </c>
      <c r="Q45" s="166">
        <f t="shared" si="3"/>
        <v>0.26125426666666662</v>
      </c>
      <c r="R45" s="163">
        <f>'2022'!K45</f>
        <v>1090893.03</v>
      </c>
      <c r="S45" s="164">
        <f t="shared" si="4"/>
        <v>233423.94999999995</v>
      </c>
      <c r="T45" s="168">
        <f t="shared" si="5"/>
        <v>0.21397510441514145</v>
      </c>
      <c r="W45" s="498"/>
      <c r="Y45" s="498"/>
    </row>
    <row r="46" spans="1:25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f>'2023'!S46</f>
        <v>111510669.74000001</v>
      </c>
      <c r="H46" s="175">
        <f>SUM('2023'!G122:K122)</f>
        <v>122077492.79000002</v>
      </c>
      <c r="I46" s="176">
        <f t="shared" si="0"/>
        <v>-10566823.050000012</v>
      </c>
      <c r="J46" s="178">
        <f t="shared" si="1"/>
        <v>-8.6558322984051306E-2</v>
      </c>
      <c r="K46" s="175">
        <f>SUM('2022'!G46:K46)</f>
        <v>107590653.42</v>
      </c>
      <c r="L46" s="176">
        <f t="shared" si="7"/>
        <v>3920016.3200000077</v>
      </c>
      <c r="M46" s="180">
        <f t="shared" si="2"/>
        <v>3.6434543293435429E-2</v>
      </c>
      <c r="N46" s="175">
        <f>'2023'!K46</f>
        <v>22480293.780000001</v>
      </c>
      <c r="O46" s="175">
        <f>'2023'!K122</f>
        <v>25016309.34</v>
      </c>
      <c r="P46" s="176">
        <f t="shared" si="6"/>
        <v>-2536015.5599999987</v>
      </c>
      <c r="Q46" s="178">
        <f t="shared" si="3"/>
        <v>-0.10137448836008034</v>
      </c>
      <c r="R46" s="175">
        <f>'2022'!K46</f>
        <v>16438030.75</v>
      </c>
      <c r="S46" s="176">
        <f t="shared" si="4"/>
        <v>6042263.0300000012</v>
      </c>
      <c r="T46" s="180">
        <f t="shared" si="5"/>
        <v>0.36757827758656569</v>
      </c>
      <c r="W46" s="498"/>
      <c r="Y46" s="498"/>
    </row>
    <row r="47" spans="1:25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f>'2023'!S47</f>
        <v>30102499.619999997</v>
      </c>
      <c r="H47" s="175">
        <f>SUM('2023'!G123:K123)</f>
        <v>95974251.620000005</v>
      </c>
      <c r="I47" s="176">
        <f t="shared" si="0"/>
        <v>-65871752.000000007</v>
      </c>
      <c r="J47" s="178">
        <f t="shared" si="1"/>
        <v>-0.68634817034898388</v>
      </c>
      <c r="K47" s="175">
        <f>SUM('2022'!G47:K47)</f>
        <v>79917004</v>
      </c>
      <c r="L47" s="176">
        <f t="shared" si="7"/>
        <v>-49814504.380000003</v>
      </c>
      <c r="M47" s="180">
        <f t="shared" si="2"/>
        <v>-0.62332797635907378</v>
      </c>
      <c r="N47" s="175">
        <f>'2023'!K47</f>
        <v>8044220.4300000006</v>
      </c>
      <c r="O47" s="175">
        <f>'2023'!K123</f>
        <v>19667458.529999997</v>
      </c>
      <c r="P47" s="176">
        <f t="shared" si="6"/>
        <v>-11623238.099999998</v>
      </c>
      <c r="Q47" s="178">
        <f t="shared" si="3"/>
        <v>-0.59098831108606886</v>
      </c>
      <c r="R47" s="175">
        <f>'2022'!K47</f>
        <v>18638679.170000002</v>
      </c>
      <c r="S47" s="176">
        <f t="shared" si="4"/>
        <v>-10594458.740000002</v>
      </c>
      <c r="T47" s="180">
        <f t="shared" si="5"/>
        <v>-0.56841252769951511</v>
      </c>
      <c r="W47" s="498"/>
      <c r="Y47" s="498"/>
    </row>
    <row r="48" spans="1:25">
      <c r="A48" s="150">
        <v>451</v>
      </c>
      <c r="B48" s="541" t="str">
        <f>+VLOOKUP($A48,Master!$D$30:$G$226,4,FALSE)</f>
        <v>Pozajmice i krediti</v>
      </c>
      <c r="C48" s="542"/>
      <c r="D48" s="542"/>
      <c r="E48" s="542"/>
      <c r="F48" s="542"/>
      <c r="G48" s="163">
        <f>'2023'!S48</f>
        <v>0</v>
      </c>
      <c r="H48" s="163">
        <f>SUM('2023'!G124:K124)</f>
        <v>2498007</v>
      </c>
      <c r="I48" s="164">
        <f>G48-H48</f>
        <v>-2498007</v>
      </c>
      <c r="J48" s="282">
        <f t="shared" si="1"/>
        <v>-1</v>
      </c>
      <c r="K48" s="163">
        <f>SUM('2022'!G48:K48)</f>
        <v>0</v>
      </c>
      <c r="L48" s="279">
        <f t="shared" si="7"/>
        <v>0</v>
      </c>
      <c r="M48" s="503" t="str">
        <f t="shared" si="2"/>
        <v>...</v>
      </c>
      <c r="N48" s="163">
        <f>'2023'!K48</f>
        <v>0</v>
      </c>
      <c r="O48" s="163">
        <f>'2023'!K124</f>
        <v>491600</v>
      </c>
      <c r="P48" s="164">
        <f t="shared" si="6"/>
        <v>-491600</v>
      </c>
      <c r="Q48" s="282">
        <f t="shared" si="3"/>
        <v>-1</v>
      </c>
      <c r="R48" s="163">
        <f>'2022'!K48</f>
        <v>0</v>
      </c>
      <c r="S48" s="279">
        <f>+N48-R48-S58</f>
        <v>-118566.42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41" t="str">
        <f>+VLOOKUP($A49,Master!$D$30:$G$226,4,FALSE)</f>
        <v>Rezerve</v>
      </c>
      <c r="C49" s="542"/>
      <c r="D49" s="542"/>
      <c r="E49" s="542"/>
      <c r="F49" s="542"/>
      <c r="G49" s="163">
        <f>'2023'!S49</f>
        <v>6158653.2299999995</v>
      </c>
      <c r="H49" s="163">
        <f>SUM('2023'!G125:K125)</f>
        <v>15503942.09</v>
      </c>
      <c r="I49" s="164">
        <f t="shared" ref="I49:I50" si="8">G49-H49</f>
        <v>-9345288.8599999994</v>
      </c>
      <c r="J49" s="283">
        <f t="shared" si="1"/>
        <v>-0.60276856077962815</v>
      </c>
      <c r="K49" s="163">
        <f>SUM('2022'!G49:K49)</f>
        <v>2310174.2599999998</v>
      </c>
      <c r="L49" s="280">
        <f t="shared" si="7"/>
        <v>3848478.9699999997</v>
      </c>
      <c r="M49" s="504">
        <f t="shared" si="2"/>
        <v>1.6658825425576338</v>
      </c>
      <c r="N49" s="163">
        <f>'2023'!K49</f>
        <v>1068089.2</v>
      </c>
      <c r="O49" s="163">
        <f>'2023'!K125</f>
        <v>3237333.25</v>
      </c>
      <c r="P49" s="164">
        <f t="shared" si="6"/>
        <v>-2169244.0499999998</v>
      </c>
      <c r="Q49" s="283">
        <f t="shared" si="3"/>
        <v>-0.67007128475265865</v>
      </c>
      <c r="R49" s="163">
        <f>'2022'!K49</f>
        <v>45800</v>
      </c>
      <c r="S49" s="280">
        <f t="shared" si="4"/>
        <v>1022289.2</v>
      </c>
      <c r="T49" s="504" t="str">
        <f t="shared" si="5"/>
        <v>...</v>
      </c>
      <c r="W49" s="498"/>
      <c r="Y49" s="498"/>
    </row>
    <row r="50" spans="1:25" ht="1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f>'2023'!S50</f>
        <v>1168915.48</v>
      </c>
      <c r="H50" s="163">
        <f>SUM('2023'!G126:K126)</f>
        <v>0.8</v>
      </c>
      <c r="I50" s="164">
        <f t="shared" si="8"/>
        <v>1168914.68</v>
      </c>
      <c r="J50" s="284" t="str">
        <f t="shared" si="1"/>
        <v>...</v>
      </c>
      <c r="K50" s="163">
        <f>SUM('2022'!G50:K50)</f>
        <v>500000</v>
      </c>
      <c r="L50" s="280">
        <f t="shared" si="7"/>
        <v>668915.48</v>
      </c>
      <c r="M50" s="505">
        <f t="shared" si="2"/>
        <v>1.3378309599999998</v>
      </c>
      <c r="N50" s="163">
        <f>'2023'!K50</f>
        <v>0</v>
      </c>
      <c r="O50" s="163">
        <f>'2023'!K126</f>
        <v>0.16</v>
      </c>
      <c r="P50" s="164">
        <f t="shared" si="6"/>
        <v>-0.16</v>
      </c>
      <c r="Q50" s="284">
        <f t="shared" si="3"/>
        <v>-1</v>
      </c>
      <c r="R50" s="163">
        <f>'2022'!K50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43" t="str">
        <f>+VLOOKUP($A51,Master!$D$30:$G$226,4,FALSE)</f>
        <v>Otplata obaveza iz prethodnog perioda</v>
      </c>
      <c r="C51" s="544"/>
      <c r="D51" s="544"/>
      <c r="E51" s="544"/>
      <c r="F51" s="544"/>
      <c r="G51" s="314">
        <f>'2023'!S51</f>
        <v>6053206.2999999989</v>
      </c>
      <c r="H51" s="314">
        <f>SUM('2023'!G127:K127)</f>
        <v>10922357.990000023</v>
      </c>
      <c r="I51" s="281">
        <f>G51-H51</f>
        <v>-4869151.6900000237</v>
      </c>
      <c r="J51" s="285">
        <f t="shared" si="1"/>
        <v>-0.44579674960827886</v>
      </c>
      <c r="K51" s="314">
        <f>SUM('2022'!G51:K51)</f>
        <v>26155015.599999998</v>
      </c>
      <c r="L51" s="287">
        <f t="shared" si="7"/>
        <v>-20101809.299999997</v>
      </c>
      <c r="M51" s="506">
        <f t="shared" si="2"/>
        <v>-0.76856422521116752</v>
      </c>
      <c r="N51" s="314">
        <f>'2023'!K51</f>
        <v>1087430.8599999999</v>
      </c>
      <c r="O51" s="314">
        <f>'2023'!K127</f>
        <v>2064110.3700000043</v>
      </c>
      <c r="P51" s="281">
        <f>N51-O51</f>
        <v>-976679.51000000443</v>
      </c>
      <c r="Q51" s="285">
        <f t="shared" si="3"/>
        <v>-0.47317213468580288</v>
      </c>
      <c r="R51" s="314">
        <f>'2022'!K51</f>
        <v>1145121.3300000003</v>
      </c>
      <c r="S51" s="287">
        <f>+N51-R51</f>
        <v>-57690.470000000438</v>
      </c>
      <c r="T51" s="506">
        <f t="shared" si="5"/>
        <v>-5.0379351505050018E-2</v>
      </c>
      <c r="W51" s="498"/>
      <c r="Y51" s="498"/>
    </row>
    <row r="52" spans="1:25" ht="15" thickBot="1">
      <c r="A52" s="144">
        <v>1005</v>
      </c>
      <c r="B52" s="543" t="str">
        <f>+VLOOKUP($A52,Master!$D$30:$G$228,4,FALSE)</f>
        <v>Neto povećanje obaveza</v>
      </c>
      <c r="C52" s="544"/>
      <c r="D52" s="544"/>
      <c r="E52" s="544"/>
      <c r="F52" s="544"/>
      <c r="G52" s="163">
        <f>'2023'!S52</f>
        <v>0</v>
      </c>
      <c r="H52" s="163">
        <f>SUM('2023'!G128:K128)</f>
        <v>0</v>
      </c>
      <c r="I52" s="281">
        <f>G52-H52</f>
        <v>0</v>
      </c>
      <c r="J52" s="285" t="str">
        <f t="shared" si="1"/>
        <v>...</v>
      </c>
      <c r="K52" s="163">
        <f>SUM('2022'!G52:K52)</f>
        <v>0</v>
      </c>
      <c r="L52" s="287">
        <f t="shared" si="7"/>
        <v>0</v>
      </c>
      <c r="M52" s="506" t="str">
        <f t="shared" si="2"/>
        <v>...</v>
      </c>
      <c r="N52" s="163">
        <f>'2023'!K52</f>
        <v>0</v>
      </c>
      <c r="O52" s="163">
        <f>'2023'!K128</f>
        <v>0</v>
      </c>
      <c r="P52" s="281">
        <f>N52-O52</f>
        <v>0</v>
      </c>
      <c r="Q52" s="285" t="str">
        <f t="shared" si="3"/>
        <v>...</v>
      </c>
      <c r="R52" s="163">
        <f>'2022'!K52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>'2023'!S53</f>
        <v>110020444.37000002</v>
      </c>
      <c r="H53" s="151">
        <f>SUM('2023'!G129:K129)</f>
        <v>-151142170.39033532</v>
      </c>
      <c r="I53" s="320">
        <f>+G53-H53</f>
        <v>261162614.76033533</v>
      </c>
      <c r="J53" s="286">
        <f t="shared" si="1"/>
        <v>-1.7279268524850773</v>
      </c>
      <c r="K53" s="151">
        <f>SUM('2022'!G53:K53)</f>
        <v>-38038040.129999951</v>
      </c>
      <c r="L53" s="288">
        <f t="shared" si="7"/>
        <v>148058484.49999997</v>
      </c>
      <c r="M53" s="507">
        <f t="shared" si="2"/>
        <v>-3.8923794179192943</v>
      </c>
      <c r="N53" s="151">
        <f>'2023'!K53</f>
        <v>-3162045.599999994</v>
      </c>
      <c r="O53" s="151">
        <f>'2023'!K129</f>
        <v>-41471663.368712515</v>
      </c>
      <c r="P53" s="320">
        <f>N53-O53</f>
        <v>38309617.768712521</v>
      </c>
      <c r="Q53" s="286">
        <f t="shared" si="3"/>
        <v>-0.92375406860614284</v>
      </c>
      <c r="R53" s="151">
        <f>'2022'!K53</f>
        <v>7894892.4199999869</v>
      </c>
      <c r="S53" s="288">
        <f t="shared" si="4"/>
        <v>-11056938.019999981</v>
      </c>
      <c r="T53" s="507">
        <f t="shared" si="5"/>
        <v>-1.4005178831809844</v>
      </c>
      <c r="W53" s="498"/>
      <c r="Y53" s="498"/>
    </row>
    <row r="54" spans="1:25" ht="1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151">
        <f>'2023'!S54</f>
        <v>155969427.48000002</v>
      </c>
      <c r="H54" s="151">
        <f>SUM('2023'!G130:K130)</f>
        <v>-106056509.7203353</v>
      </c>
      <c r="I54" s="206">
        <f t="shared" si="0"/>
        <v>262025937.20033532</v>
      </c>
      <c r="J54" s="208">
        <f t="shared" si="1"/>
        <v>-2.4706256871104104</v>
      </c>
      <c r="K54" s="151">
        <f>SUM('2022'!G54:K54)</f>
        <v>-179756.27999995276</v>
      </c>
      <c r="L54" s="206">
        <f t="shared" si="7"/>
        <v>156149183.75999996</v>
      </c>
      <c r="M54" s="210">
        <f t="shared" si="2"/>
        <v>-868.67164674325147</v>
      </c>
      <c r="N54" s="151">
        <f>'2023'!K54</f>
        <v>11513337.910000006</v>
      </c>
      <c r="O54" s="151">
        <f>'2023'!K130</f>
        <v>-30861356.008712515</v>
      </c>
      <c r="P54" s="206">
        <f t="shared" si="6"/>
        <v>42374693.918712519</v>
      </c>
      <c r="Q54" s="208">
        <f t="shared" si="3"/>
        <v>-1.3730664947693698</v>
      </c>
      <c r="R54" s="151">
        <f>'2022'!K54</f>
        <v>12483366.199999988</v>
      </c>
      <c r="S54" s="206">
        <f t="shared" si="4"/>
        <v>-970028.28999998234</v>
      </c>
      <c r="T54" s="210">
        <f t="shared" si="5"/>
        <v>-7.7705666441154619E-2</v>
      </c>
      <c r="W54" s="498"/>
      <c r="Y54" s="498"/>
    </row>
    <row r="55" spans="1:25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488">
        <f>'2023'!S55</f>
        <v>143615199.38999999</v>
      </c>
      <c r="H55" s="488">
        <f>SUM('2023'!G131:K131)</f>
        <v>147406029.90000001</v>
      </c>
      <c r="I55" s="489">
        <f t="shared" si="0"/>
        <v>-3790830.5100000203</v>
      </c>
      <c r="J55" s="490">
        <f t="shared" si="1"/>
        <v>-2.5716929711570913E-2</v>
      </c>
      <c r="K55" s="488">
        <f>SUM('2022'!G55:K55)</f>
        <v>150868154.87</v>
      </c>
      <c r="L55" s="489">
        <f t="shared" si="7"/>
        <v>-7252955.4800000191</v>
      </c>
      <c r="M55" s="508">
        <f t="shared" si="2"/>
        <v>-4.8074794089247974E-2</v>
      </c>
      <c r="N55" s="488">
        <f>'2023'!K55</f>
        <v>91927760.939999998</v>
      </c>
      <c r="O55" s="488">
        <f>'2023'!K131</f>
        <v>92780108.99000001</v>
      </c>
      <c r="P55" s="489">
        <f t="shared" si="6"/>
        <v>-852348.05000001192</v>
      </c>
      <c r="Q55" s="490">
        <f t="shared" si="3"/>
        <v>-9.18675413597414E-3</v>
      </c>
      <c r="R55" s="488">
        <f>'2022'!K55</f>
        <v>39081986.149999999</v>
      </c>
      <c r="S55" s="489">
        <f t="shared" si="4"/>
        <v>52845774.789999999</v>
      </c>
      <c r="T55" s="508">
        <f t="shared" si="5"/>
        <v>1.3521773071402614</v>
      </c>
      <c r="W55" s="498"/>
      <c r="Y55" s="498"/>
    </row>
    <row r="56" spans="1:25">
      <c r="A56" s="144">
        <v>4611</v>
      </c>
      <c r="B56" s="541" t="str">
        <f>+VLOOKUP($A56,Master!$D$30:$G$226,4,FALSE)</f>
        <v>Otplata hartija od vrijednosti i kredita rezidentima</v>
      </c>
      <c r="C56" s="542"/>
      <c r="D56" s="542"/>
      <c r="E56" s="542"/>
      <c r="F56" s="542"/>
      <c r="G56" s="163">
        <f>'2023'!S56</f>
        <v>52661334.420000002</v>
      </c>
      <c r="H56" s="163">
        <f>SUM('2023'!G132:K132)</f>
        <v>53840453.420000002</v>
      </c>
      <c r="I56" s="212">
        <f t="shared" si="0"/>
        <v>-1179119</v>
      </c>
      <c r="J56" s="214">
        <f t="shared" si="1"/>
        <v>-2.1900242756165089E-2</v>
      </c>
      <c r="K56" s="163">
        <f>SUM('2022'!G56:K56)</f>
        <v>21269109.979999997</v>
      </c>
      <c r="L56" s="212">
        <f t="shared" si="7"/>
        <v>31392224.440000005</v>
      </c>
      <c r="M56" s="216">
        <f t="shared" si="2"/>
        <v>1.4759538349051318</v>
      </c>
      <c r="N56" s="163">
        <f>'2023'!K56</f>
        <v>44621033.690000005</v>
      </c>
      <c r="O56" s="163">
        <f>'2023'!K132</f>
        <v>45296973.57</v>
      </c>
      <c r="P56" s="212">
        <f t="shared" si="6"/>
        <v>-675939.87999999523</v>
      </c>
      <c r="Q56" s="214">
        <f t="shared" si="3"/>
        <v>-1.4922407099790647E-2</v>
      </c>
      <c r="R56" s="163">
        <f>'2022'!K56</f>
        <v>8572190.1199999992</v>
      </c>
      <c r="S56" s="212">
        <f t="shared" si="4"/>
        <v>36048843.570000008</v>
      </c>
      <c r="T56" s="216" t="str">
        <f t="shared" si="5"/>
        <v>...</v>
      </c>
      <c r="W56" s="498"/>
      <c r="Y56" s="498"/>
    </row>
    <row r="57" spans="1:25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163">
        <f>'2023'!S57</f>
        <v>90953864.969999999</v>
      </c>
      <c r="H57" s="163">
        <f>SUM('2023'!G133:K133)</f>
        <v>93565576.480000004</v>
      </c>
      <c r="I57" s="212">
        <f t="shared" si="0"/>
        <v>-2611711.5100000054</v>
      </c>
      <c r="J57" s="214">
        <f t="shared" si="1"/>
        <v>-2.7913166447045445E-2</v>
      </c>
      <c r="K57" s="163">
        <f>SUM('2022'!G57:K57)</f>
        <v>129599044.89</v>
      </c>
      <c r="L57" s="212">
        <f t="shared" si="7"/>
        <v>-38645179.920000002</v>
      </c>
      <c r="M57" s="216">
        <f t="shared" si="2"/>
        <v>-0.29819031423264686</v>
      </c>
      <c r="N57" s="163">
        <f>'2023'!K57</f>
        <v>47306727.25</v>
      </c>
      <c r="O57" s="163">
        <f>'2023'!K133</f>
        <v>47483135.420000002</v>
      </c>
      <c r="P57" s="212">
        <f t="shared" si="6"/>
        <v>-176408.17000000179</v>
      </c>
      <c r="Q57" s="214">
        <f t="shared" si="3"/>
        <v>-3.7151752604294153E-3</v>
      </c>
      <c r="R57" s="163">
        <f>'2022'!K57</f>
        <v>30509796.030000001</v>
      </c>
      <c r="S57" s="212">
        <f t="shared" si="4"/>
        <v>16796931.219999999</v>
      </c>
      <c r="T57" s="216">
        <f t="shared" si="5"/>
        <v>0.55054223251718004</v>
      </c>
      <c r="W57" s="498"/>
      <c r="Y57" s="498"/>
    </row>
    <row r="58" spans="1:25" ht="15" thickBot="1">
      <c r="A58" s="144">
        <v>4418</v>
      </c>
      <c r="B58" s="539" t="str">
        <f>+VLOOKUP($A58,Master!$D$30:$G$226,4,FALSE)</f>
        <v>Izdaci za kupovinu hartija od vrijednosti</v>
      </c>
      <c r="C58" s="540"/>
      <c r="D58" s="540"/>
      <c r="E58" s="540"/>
      <c r="F58" s="540"/>
      <c r="G58" s="335">
        <f>'2023'!S58</f>
        <v>614939.4</v>
      </c>
      <c r="H58" s="335">
        <f>SUM('2023'!G134:K134)</f>
        <v>712333.35</v>
      </c>
      <c r="I58" s="336">
        <f t="shared" ref="I58:I65" si="9">+G58-H58</f>
        <v>-97393.949999999953</v>
      </c>
      <c r="J58" s="337">
        <f t="shared" si="1"/>
        <v>-0.13672524247250251</v>
      </c>
      <c r="K58" s="335">
        <f>SUM('2022'!G58:K58)</f>
        <v>0</v>
      </c>
      <c r="L58" s="336">
        <f t="shared" ref="L58:L65" si="10">+G58-K58</f>
        <v>614939.4</v>
      </c>
      <c r="M58" s="509" t="str">
        <f t="shared" si="2"/>
        <v>...</v>
      </c>
      <c r="N58" s="335">
        <f>'2023'!K58</f>
        <v>118566.42</v>
      </c>
      <c r="O58" s="335">
        <f>'2023'!K134</f>
        <v>6666.67</v>
      </c>
      <c r="P58" s="336">
        <f t="shared" ref="P58:P65" si="11">+N58-O58</f>
        <v>111899.75</v>
      </c>
      <c r="Q58" s="337" t="str">
        <f t="shared" si="3"/>
        <v>...</v>
      </c>
      <c r="R58" s="335">
        <f>'2022'!K58</f>
        <v>0</v>
      </c>
      <c r="S58" s="336">
        <f t="shared" ref="S58:S65" si="12">+N58-R58</f>
        <v>118566.42</v>
      </c>
      <c r="T58" s="509" t="str">
        <f t="shared" si="5"/>
        <v>...</v>
      </c>
      <c r="W58" s="498"/>
      <c r="Y58" s="498"/>
    </row>
    <row r="59" spans="1:25" ht="1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319">
        <f>'2023'!S60</f>
        <v>-36223700.419999965</v>
      </c>
      <c r="H59" s="319">
        <f>SUM('2023'!G135:K135)</f>
        <v>-299260533.64033532</v>
      </c>
      <c r="I59" s="321">
        <f t="shared" si="9"/>
        <v>263036833.22033536</v>
      </c>
      <c r="J59" s="322">
        <f t="shared" si="1"/>
        <v>-0.87895597197746356</v>
      </c>
      <c r="K59" s="319">
        <f>SUM('2022'!G60:K60)</f>
        <v>-196420145.75999996</v>
      </c>
      <c r="L59" s="321">
        <f t="shared" si="10"/>
        <v>160196445.34</v>
      </c>
      <c r="M59" s="510">
        <f t="shared" si="2"/>
        <v>-0.81558052367876432</v>
      </c>
      <c r="N59" s="319">
        <f>'2023'!K60</f>
        <v>-95704821.959999993</v>
      </c>
      <c r="O59" s="319">
        <f>'2023'!K135</f>
        <v>-134258439.02871251</v>
      </c>
      <c r="P59" s="321">
        <f t="shared" si="11"/>
        <v>38553617.068712518</v>
      </c>
      <c r="Q59" s="322">
        <f t="shared" si="3"/>
        <v>-0.28715972975424986</v>
      </c>
      <c r="R59" s="319">
        <f>'2022'!K60</f>
        <v>-31909236.520000011</v>
      </c>
      <c r="S59" s="321">
        <f t="shared" si="12"/>
        <v>-63795585.439999983</v>
      </c>
      <c r="T59" s="510">
        <f t="shared" si="5"/>
        <v>1.9992827280594541</v>
      </c>
      <c r="W59" s="498"/>
      <c r="Y59" s="498"/>
    </row>
    <row r="60" spans="1:25" ht="1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'2023'!S61</f>
        <v>36223700.419999972</v>
      </c>
      <c r="H60" s="151">
        <f>SUM('2023'!G136:K136)</f>
        <v>299260533.64033532</v>
      </c>
      <c r="I60" s="320">
        <f t="shared" si="9"/>
        <v>-263036833.22033536</v>
      </c>
      <c r="J60" s="323">
        <f t="shared" si="1"/>
        <v>-0.87895597197746356</v>
      </c>
      <c r="K60" s="151">
        <f>SUM('2022'!G61:K61)</f>
        <v>196420145.7599999</v>
      </c>
      <c r="L60" s="320">
        <f t="shared" si="10"/>
        <v>-160196445.33999991</v>
      </c>
      <c r="M60" s="511">
        <f t="shared" si="2"/>
        <v>-0.81558052367876432</v>
      </c>
      <c r="N60" s="151">
        <f>'2023'!K61</f>
        <v>95704821.959999993</v>
      </c>
      <c r="O60" s="151">
        <f>'2023'!K136</f>
        <v>134258439.02871251</v>
      </c>
      <c r="P60" s="320">
        <f t="shared" si="11"/>
        <v>-38553617.068712518</v>
      </c>
      <c r="Q60" s="323">
        <f t="shared" si="3"/>
        <v>-0.28715972975424986</v>
      </c>
      <c r="R60" s="151">
        <f>'2022'!K61</f>
        <v>31909236.520000011</v>
      </c>
      <c r="S60" s="320">
        <f t="shared" si="12"/>
        <v>63795585.439999983</v>
      </c>
      <c r="T60" s="511">
        <f t="shared" si="5"/>
        <v>1.9992827280594541</v>
      </c>
      <c r="W60" s="498"/>
      <c r="Y60" s="498"/>
    </row>
    <row r="61" spans="1:25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163">
        <f>'2023'!S62</f>
        <v>0</v>
      </c>
      <c r="H61" s="163">
        <f>SUM('2023'!G137:K137)</f>
        <v>100000000</v>
      </c>
      <c r="I61" s="212">
        <f t="shared" si="9"/>
        <v>-100000000</v>
      </c>
      <c r="J61" s="214">
        <f t="shared" si="1"/>
        <v>-1</v>
      </c>
      <c r="K61" s="163">
        <f>SUM('2022'!G62:K62)</f>
        <v>0</v>
      </c>
      <c r="L61" s="212">
        <f t="shared" si="10"/>
        <v>0</v>
      </c>
      <c r="M61" s="216" t="str">
        <f t="shared" si="2"/>
        <v>...</v>
      </c>
      <c r="N61" s="163">
        <f>'2023'!K62</f>
        <v>0</v>
      </c>
      <c r="O61" s="163">
        <f>'2023'!K137</f>
        <v>0</v>
      </c>
      <c r="P61" s="212">
        <f t="shared" si="11"/>
        <v>0</v>
      </c>
      <c r="Q61" s="214" t="str">
        <f t="shared" si="3"/>
        <v>...</v>
      </c>
      <c r="R61" s="163">
        <f>'2022'!K62</f>
        <v>0</v>
      </c>
      <c r="S61" s="212">
        <f t="shared" si="12"/>
        <v>0</v>
      </c>
      <c r="T61" s="216" t="str">
        <f t="shared" si="5"/>
        <v>...</v>
      </c>
      <c r="W61" s="498"/>
      <c r="Y61" s="498"/>
    </row>
    <row r="62" spans="1:25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163">
        <f>'2023'!S63</f>
        <v>103747574.63999999</v>
      </c>
      <c r="H62" s="163">
        <f>SUM('2023'!G138:K138)</f>
        <v>0</v>
      </c>
      <c r="I62" s="212">
        <f t="shared" si="9"/>
        <v>103747574.63999999</v>
      </c>
      <c r="J62" s="214" t="str">
        <f t="shared" si="1"/>
        <v>...</v>
      </c>
      <c r="K62" s="163">
        <f>SUM('2022'!G63:K63)</f>
        <v>51409587.260000005</v>
      </c>
      <c r="L62" s="212">
        <f t="shared" si="10"/>
        <v>52337987.37999998</v>
      </c>
      <c r="M62" s="216">
        <f t="shared" si="2"/>
        <v>1.0180588907532884</v>
      </c>
      <c r="N62" s="163">
        <f>'2023'!K63</f>
        <v>1359607.3299999998</v>
      </c>
      <c r="O62" s="163">
        <f>'2023'!K138</f>
        <v>0</v>
      </c>
      <c r="P62" s="212">
        <f t="shared" si="11"/>
        <v>1359607.3299999998</v>
      </c>
      <c r="Q62" s="214" t="str">
        <f t="shared" si="3"/>
        <v>...</v>
      </c>
      <c r="R62" s="163">
        <f>'2022'!K63</f>
        <v>11751788.779999999</v>
      </c>
      <c r="S62" s="212">
        <f t="shared" si="12"/>
        <v>-10392181.449999999</v>
      </c>
      <c r="T62" s="216">
        <f t="shared" si="5"/>
        <v>-0.88430635067966223</v>
      </c>
      <c r="W62" s="498"/>
      <c r="Y62" s="498"/>
    </row>
    <row r="63" spans="1:25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163">
        <f>'2023'!S64</f>
        <v>1699534.9300000002</v>
      </c>
      <c r="H63" s="163">
        <f>SUM('2023'!G139:K139)</f>
        <v>2500000</v>
      </c>
      <c r="I63" s="212">
        <f t="shared" si="9"/>
        <v>-800465.06999999983</v>
      </c>
      <c r="J63" s="214">
        <f t="shared" si="1"/>
        <v>-0.32018602799999996</v>
      </c>
      <c r="K63" s="163">
        <f>SUM('2022'!G64:K64)</f>
        <v>1957226.0499999998</v>
      </c>
      <c r="L63" s="212">
        <f t="shared" si="10"/>
        <v>-257691.11999999965</v>
      </c>
      <c r="M63" s="216">
        <f t="shared" si="2"/>
        <v>-0.131661399049946</v>
      </c>
      <c r="N63" s="163">
        <f>'2023'!K64</f>
        <v>634641.06000000006</v>
      </c>
      <c r="O63" s="163">
        <f>'2023'!K139</f>
        <v>500000</v>
      </c>
      <c r="P63" s="212">
        <f t="shared" si="11"/>
        <v>134641.06000000006</v>
      </c>
      <c r="Q63" s="214">
        <f t="shared" si="3"/>
        <v>0.26928212000000018</v>
      </c>
      <c r="R63" s="163">
        <f>'2022'!K64</f>
        <v>26413.63</v>
      </c>
      <c r="S63" s="212">
        <f t="shared" si="12"/>
        <v>608227.43000000005</v>
      </c>
      <c r="T63" s="216" t="str">
        <f t="shared" si="5"/>
        <v>...</v>
      </c>
      <c r="W63" s="498"/>
      <c r="Y63" s="498"/>
    </row>
    <row r="64" spans="1:25">
      <c r="A64" s="144">
        <v>73</v>
      </c>
      <c r="B64" s="541" t="str">
        <f>+VLOOKUP($A64,Master!$D$30:$G$226,4,FALSE)</f>
        <v>Primici od otplate kredita i sredstva prenesena iz prethodne godine</v>
      </c>
      <c r="C64" s="542"/>
      <c r="D64" s="542"/>
      <c r="E64" s="542"/>
      <c r="F64" s="542"/>
      <c r="G64" s="163">
        <f>'2023'!S65</f>
        <v>5384910.6699999999</v>
      </c>
      <c r="H64" s="163">
        <v>0</v>
      </c>
      <c r="I64" s="212">
        <f t="shared" si="9"/>
        <v>5384910.6699999999</v>
      </c>
      <c r="J64" s="214" t="str">
        <f t="shared" si="1"/>
        <v>...</v>
      </c>
      <c r="K64" s="163">
        <f>SUM('2022'!G65:K65)</f>
        <v>4505008.66</v>
      </c>
      <c r="L64" s="212">
        <f t="shared" si="10"/>
        <v>879902.00999999978</v>
      </c>
      <c r="M64" s="216">
        <f t="shared" si="2"/>
        <v>0.1953163859178908</v>
      </c>
      <c r="N64" s="163">
        <f>'2023'!K65</f>
        <v>1142213.31</v>
      </c>
      <c r="O64" s="163">
        <v>0</v>
      </c>
      <c r="P64" s="212">
        <f t="shared" si="11"/>
        <v>1142213.31</v>
      </c>
      <c r="Q64" s="214" t="str">
        <f t="shared" si="3"/>
        <v>...</v>
      </c>
      <c r="R64" s="163">
        <f>'2022'!K65</f>
        <v>848688.86</v>
      </c>
      <c r="S64" s="212">
        <f t="shared" si="12"/>
        <v>293524.45000000007</v>
      </c>
      <c r="T64" s="216">
        <f t="shared" si="5"/>
        <v>0.3458563719099601</v>
      </c>
      <c r="W64" s="498"/>
      <c r="Y64" s="498"/>
    </row>
    <row r="65" spans="1:25" ht="15" thickBot="1">
      <c r="A65" s="144">
        <v>1004</v>
      </c>
      <c r="B65" s="223" t="str">
        <f>+VLOOKUP($A65,Master!$D$30:$G$226,4,FALSE)</f>
        <v>Povećanje / smanjenje depozita</v>
      </c>
      <c r="C65" s="224"/>
      <c r="D65" s="224"/>
      <c r="E65" s="224"/>
      <c r="F65" s="224"/>
      <c r="G65" s="317">
        <f>'2023'!S66</f>
        <v>-74608319.820000023</v>
      </c>
      <c r="H65" s="317">
        <f>SUM('2023'!G140:K140)</f>
        <v>196760533.64033529</v>
      </c>
      <c r="I65" s="226">
        <f t="shared" si="9"/>
        <v>-271368853.46033531</v>
      </c>
      <c r="J65" s="228">
        <f t="shared" si="1"/>
        <v>-1.379183357758009</v>
      </c>
      <c r="K65" s="317">
        <f>SUM('2022'!G66:K66)</f>
        <v>138548323.78999993</v>
      </c>
      <c r="L65" s="226">
        <f t="shared" si="10"/>
        <v>-213156643.60999995</v>
      </c>
      <c r="M65" s="230">
        <f t="shared" si="2"/>
        <v>-1.5385003425453572</v>
      </c>
      <c r="N65" s="317">
        <f>'2023'!K66</f>
        <v>92568360.25999999</v>
      </c>
      <c r="O65" s="317">
        <f>'2023'!K140</f>
        <v>133758439.02871251</v>
      </c>
      <c r="P65" s="226">
        <f t="shared" si="11"/>
        <v>-41190078.768712521</v>
      </c>
      <c r="Q65" s="228">
        <f t="shared" si="3"/>
        <v>-0.30794377586800847</v>
      </c>
      <c r="R65" s="317">
        <f>'2022'!K66</f>
        <v>19282345.250000011</v>
      </c>
      <c r="S65" s="226">
        <f t="shared" si="12"/>
        <v>73286015.009999976</v>
      </c>
      <c r="T65" s="230" t="str">
        <f t="shared" si="5"/>
        <v>...</v>
      </c>
      <c r="W65" s="498"/>
      <c r="Y65" s="498"/>
    </row>
    <row r="66" spans="1:25">
      <c r="G66" s="290"/>
    </row>
    <row r="67" spans="1:25">
      <c r="G67" s="5"/>
    </row>
    <row r="68" spans="1:25">
      <c r="F68" s="290"/>
      <c r="G68" s="5"/>
      <c r="H68" s="290"/>
      <c r="N68" s="498"/>
    </row>
    <row r="69" spans="1:25">
      <c r="G69" s="5"/>
    </row>
    <row r="70" spans="1:25">
      <c r="G70" s="5"/>
      <c r="R70" s="344"/>
    </row>
    <row r="71" spans="1:25">
      <c r="G71" s="5"/>
    </row>
  </sheetData>
  <sheetProtection algorithmName="SHA-512" hashValue="VGSZffudtnGh3ieOMkhHCAXxRZDRGAnsjnS60iay6XK26OhjD3ySV5aNe7b8Um6IiPeb8fxfk7N6qyzMYbcrVg==" saltValue="KONMmj1ROU3E5aqn8p5p+g==" spinCount="100000" sheet="1" objects="1" scenarios="1"/>
  <mergeCells count="62">
    <mergeCell ref="B64:F64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1</xdr:col>
                    <xdr:colOff>628650</xdr:colOff>
                    <xdr:row>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31750</xdr:rowOff>
                  </from>
                  <to>
                    <xdr:col>2</xdr:col>
                    <xdr:colOff>584200</xdr:colOff>
                    <xdr:row>1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8"/>
  <sheetViews>
    <sheetView topLeftCell="L1" zoomScaleNormal="100" workbookViewId="0">
      <pane ySplit="1" topLeftCell="A46" activePane="bottomLeft" state="frozen"/>
      <selection pane="bottomLeft" activeCell="G65" sqref="G65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3.453125" style="258" customWidth="1"/>
    <col min="7" max="7" width="12" style="258" customWidth="1"/>
    <col min="8" max="8" width="12.26953125" style="258" customWidth="1"/>
    <col min="9" max="9" width="10.7265625" style="258" customWidth="1"/>
    <col min="10" max="10" width="14.453125" style="258" customWidth="1"/>
    <col min="11" max="11" width="10.7265625" style="258" customWidth="1"/>
    <col min="12" max="12" width="12.26953125" style="258" customWidth="1"/>
    <col min="13" max="14" width="10.7265625" style="258" customWidth="1"/>
    <col min="15" max="16" width="12.26953125" style="258" customWidth="1"/>
    <col min="17" max="17" width="15.453125" style="258" customWidth="1"/>
    <col min="18" max="18" width="10.7265625" style="258" customWidth="1"/>
    <col min="19" max="19" width="13.26953125" style="258" customWidth="1"/>
    <col min="20" max="20" width="10.7265625" style="258" customWidth="1"/>
    <col min="21" max="21" width="16.81640625" style="291" bestFit="1" customWidth="1"/>
    <col min="22" max="22" width="15.81640625" style="258" bestFit="1" customWidth="1"/>
    <col min="23" max="23" width="12" style="258" bestFit="1" customWidth="1"/>
    <col min="24" max="16384" width="9.179687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4.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2023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6174600000</v>
      </c>
    </row>
    <row r="8" spans="1:23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3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+G11+G19+SUM(G24:G28)</f>
        <v>167657460.13999999</v>
      </c>
      <c r="H10" s="151">
        <f t="shared" ref="H10:R10" si="1">+H11+H19+SUM(H24:H28)</f>
        <v>142408453.72</v>
      </c>
      <c r="I10" s="151">
        <f t="shared" si="1"/>
        <v>232417518.40999997</v>
      </c>
      <c r="J10" s="151">
        <f t="shared" si="1"/>
        <v>254923839.54000002</v>
      </c>
      <c r="K10" s="151">
        <f t="shared" si="1"/>
        <v>186582938.95000002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983990210.75999999</v>
      </c>
      <c r="T10" s="461">
        <f>+S10/$T$7*100</f>
        <v>15.936096439607425</v>
      </c>
    </row>
    <row r="11" spans="1:23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103490146.19</v>
      </c>
      <c r="H11" s="157">
        <f t="shared" si="2"/>
        <v>91059566.450000003</v>
      </c>
      <c r="I11" s="157">
        <f t="shared" si="2"/>
        <v>151829456.91999999</v>
      </c>
      <c r="J11" s="157">
        <f>+SUM(J12:J18)</f>
        <v>191461569.71000001</v>
      </c>
      <c r="K11" s="157">
        <f>+SUM(K12:K18)</f>
        <v>130851714.41000001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668692453.67999995</v>
      </c>
      <c r="T11" s="462">
        <f t="shared" ref="T11:T66" si="3">+S11/$T$7*100</f>
        <v>10.829729110873577</v>
      </c>
    </row>
    <row r="12" spans="1:23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1481487.87</v>
      </c>
      <c r="H12" s="163">
        <v>3944575.24</v>
      </c>
      <c r="I12" s="163">
        <v>4159428.24</v>
      </c>
      <c r="J12" s="163">
        <v>5386591.0599999996</v>
      </c>
      <c r="K12" s="163">
        <v>5224793.55</v>
      </c>
      <c r="L12" s="163"/>
      <c r="M12" s="163"/>
      <c r="N12" s="163"/>
      <c r="O12" s="163"/>
      <c r="P12" s="163"/>
      <c r="Q12" s="163"/>
      <c r="R12" s="163"/>
      <c r="S12" s="242">
        <f>+SUM(G12:R12)</f>
        <v>20196875.960000001</v>
      </c>
      <c r="T12" s="463">
        <f t="shared" si="3"/>
        <v>0.32709610274349754</v>
      </c>
    </row>
    <row r="13" spans="1:23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1258566.3799999999</v>
      </c>
      <c r="H13" s="163">
        <v>3765090.36</v>
      </c>
      <c r="I13" s="163">
        <v>37663055.619999997</v>
      </c>
      <c r="J13" s="163">
        <v>77247366.689999998</v>
      </c>
      <c r="K13" s="163">
        <v>6981694.2800000003</v>
      </c>
      <c r="L13" s="163"/>
      <c r="M13" s="163"/>
      <c r="N13" s="163"/>
      <c r="O13" s="163"/>
      <c r="P13" s="163"/>
      <c r="Q13" s="163"/>
      <c r="R13" s="163"/>
      <c r="S13" s="242">
        <f t="shared" ref="S13:S65" si="4">+SUM(G13:R13)</f>
        <v>126915773.33</v>
      </c>
      <c r="T13" s="463">
        <f t="shared" si="3"/>
        <v>2.055449313801704</v>
      </c>
    </row>
    <row r="14" spans="1:23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/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79816016.629999995</v>
      </c>
      <c r="H15" s="163">
        <v>61023809.460000001</v>
      </c>
      <c r="I15" s="163">
        <v>80926297.079999998</v>
      </c>
      <c r="J15" s="163">
        <v>79500899.439999998</v>
      </c>
      <c r="K15" s="163">
        <v>87195794</v>
      </c>
      <c r="L15" s="163"/>
      <c r="M15" s="163"/>
      <c r="N15" s="163"/>
      <c r="O15" s="163"/>
      <c r="P15" s="163"/>
      <c r="Q15" s="163"/>
      <c r="R15" s="163"/>
      <c r="S15" s="242">
        <f t="shared" si="4"/>
        <v>388462816.61000001</v>
      </c>
      <c r="T15" s="463">
        <f t="shared" si="3"/>
        <v>6.2913033493667614</v>
      </c>
    </row>
    <row r="16" spans="1:23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17494328.440000001</v>
      </c>
      <c r="H16" s="163">
        <v>18190262.670000002</v>
      </c>
      <c r="I16" s="163">
        <v>22619973.850000001</v>
      </c>
      <c r="J16" s="163">
        <v>24163018.859999999</v>
      </c>
      <c r="K16" s="163">
        <v>25793019.07</v>
      </c>
      <c r="L16" s="163"/>
      <c r="M16" s="163"/>
      <c r="N16" s="163"/>
      <c r="O16" s="163"/>
      <c r="P16" s="163"/>
      <c r="Q16" s="163"/>
      <c r="R16" s="163"/>
      <c r="S16" s="242">
        <f t="shared" si="4"/>
        <v>108260602.88999999</v>
      </c>
      <c r="T16" s="463">
        <f t="shared" si="3"/>
        <v>1.7533217194636088</v>
      </c>
      <c r="W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2467588.1800000002</v>
      </c>
      <c r="H17" s="163">
        <v>3220443.49</v>
      </c>
      <c r="I17" s="163">
        <v>5443960.21</v>
      </c>
      <c r="J17" s="163">
        <v>4088105.68</v>
      </c>
      <c r="K17" s="163">
        <v>4535373.51</v>
      </c>
      <c r="L17" s="163"/>
      <c r="M17" s="163"/>
      <c r="N17" s="163"/>
      <c r="O17" s="163"/>
      <c r="P17" s="163"/>
      <c r="Q17" s="163"/>
      <c r="R17" s="163"/>
      <c r="S17" s="242">
        <f t="shared" si="4"/>
        <v>19755471.07</v>
      </c>
      <c r="T17" s="463">
        <f t="shared" si="3"/>
        <v>0.31994738234055647</v>
      </c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972158.69000000006</v>
      </c>
      <c r="H18" s="163">
        <v>915385.23</v>
      </c>
      <c r="I18" s="163">
        <v>1016741.92</v>
      </c>
      <c r="J18" s="163">
        <v>1075587.98</v>
      </c>
      <c r="K18" s="163">
        <v>1121040</v>
      </c>
      <c r="L18" s="163"/>
      <c r="M18" s="163"/>
      <c r="N18" s="163"/>
      <c r="O18" s="163"/>
      <c r="P18" s="163"/>
      <c r="Q18" s="163"/>
      <c r="R18" s="163"/>
      <c r="S18" s="242">
        <f t="shared" si="4"/>
        <v>5100913.82</v>
      </c>
      <c r="T18" s="463">
        <f t="shared" si="3"/>
        <v>8.2611243157451497E-2</v>
      </c>
    </row>
    <row r="19" spans="1:23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v>15617329.630000003</v>
      </c>
      <c r="H19" s="169">
        <v>41494879.25999999</v>
      </c>
      <c r="I19" s="169">
        <v>42670635.130000003</v>
      </c>
      <c r="J19" s="169">
        <f t="shared" ref="J19:R19" si="5">SUM(J20:J23)</f>
        <v>47597807.860000007</v>
      </c>
      <c r="K19" s="169">
        <f t="shared" si="5"/>
        <v>45975315.240000002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193355967.12</v>
      </c>
      <c r="T19" s="464">
        <f t="shared" si="3"/>
        <v>3.1314735710815276</v>
      </c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>
        <v>41997766.549999997</v>
      </c>
      <c r="L20" s="163"/>
      <c r="M20" s="163"/>
      <c r="N20" s="163"/>
      <c r="O20" s="163"/>
      <c r="P20" s="163"/>
      <c r="Q20" s="163"/>
      <c r="R20" s="163"/>
      <c r="S20" s="242">
        <f>+SUM(G20:R20)</f>
        <v>176709360.75</v>
      </c>
      <c r="T20" s="463">
        <f t="shared" si="3"/>
        <v>2.8618754372752893</v>
      </c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>
        <v>599016.13</v>
      </c>
      <c r="L21" s="163"/>
      <c r="M21" s="163"/>
      <c r="N21" s="163"/>
      <c r="O21" s="163"/>
      <c r="P21" s="163"/>
      <c r="Q21" s="163"/>
      <c r="R21" s="163"/>
      <c r="S21" s="242">
        <f t="shared" si="4"/>
        <v>2506591.7199999997</v>
      </c>
      <c r="T21" s="463">
        <f t="shared" si="3"/>
        <v>4.059520811064684E-2</v>
      </c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658854.47</v>
      </c>
      <c r="H22" s="163">
        <v>1731553.43</v>
      </c>
      <c r="I22" s="163">
        <v>1770290.32</v>
      </c>
      <c r="J22" s="163">
        <v>2000792.34</v>
      </c>
      <c r="K22" s="163">
        <v>1915310.31</v>
      </c>
      <c r="L22" s="163"/>
      <c r="M22" s="163"/>
      <c r="N22" s="163"/>
      <c r="O22" s="163"/>
      <c r="P22" s="163"/>
      <c r="Q22" s="163"/>
      <c r="R22" s="163"/>
      <c r="S22" s="242">
        <f t="shared" si="4"/>
        <v>8076800.8699999992</v>
      </c>
      <c r="T22" s="463">
        <f t="shared" si="3"/>
        <v>0.13080686797525345</v>
      </c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>
        <v>1463222.25</v>
      </c>
      <c r="L23" s="163"/>
      <c r="M23" s="163"/>
      <c r="N23" s="163"/>
      <c r="O23" s="163"/>
      <c r="P23" s="163"/>
      <c r="Q23" s="163"/>
      <c r="R23" s="163"/>
      <c r="S23" s="242">
        <f t="shared" si="4"/>
        <v>6063213.7800000003</v>
      </c>
      <c r="T23" s="463">
        <f t="shared" si="3"/>
        <v>9.8196057720338167E-2</v>
      </c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747597.87999999989</v>
      </c>
      <c r="H24" s="175">
        <v>957673.57000000007</v>
      </c>
      <c r="I24" s="175">
        <v>1088989.1200000001</v>
      </c>
      <c r="J24" s="175">
        <v>1037186.5499999999</v>
      </c>
      <c r="K24" s="175">
        <v>1315713.1400000001</v>
      </c>
      <c r="L24" s="175"/>
      <c r="M24" s="175"/>
      <c r="N24" s="175"/>
      <c r="O24" s="175"/>
      <c r="P24" s="175"/>
      <c r="Q24" s="175"/>
      <c r="R24" s="175"/>
      <c r="S24" s="243">
        <f t="shared" si="4"/>
        <v>5147160.26</v>
      </c>
      <c r="T24" s="464">
        <f t="shared" si="3"/>
        <v>8.3360221876720764E-2</v>
      </c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11787074.77</v>
      </c>
      <c r="H25" s="175">
        <v>3748417.33</v>
      </c>
      <c r="I25" s="175">
        <v>3332694.04</v>
      </c>
      <c r="J25" s="175">
        <v>3365130.83</v>
      </c>
      <c r="K25" s="175">
        <v>4607961.24</v>
      </c>
      <c r="L25" s="175"/>
      <c r="M25" s="175"/>
      <c r="N25" s="175"/>
      <c r="O25" s="175"/>
      <c r="P25" s="175"/>
      <c r="Q25" s="175"/>
      <c r="R25" s="175"/>
      <c r="S25" s="243">
        <f t="shared" si="4"/>
        <v>26841278.210000001</v>
      </c>
      <c r="T25" s="464">
        <f t="shared" si="3"/>
        <v>0.43470472921322845</v>
      </c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34599402.370000005</v>
      </c>
      <c r="H26" s="175">
        <v>2087535.6200000006</v>
      </c>
      <c r="I26" s="175">
        <v>3231416.12</v>
      </c>
      <c r="J26" s="175">
        <v>7985887.3899999997</v>
      </c>
      <c r="K26" s="175">
        <v>2083663.61</v>
      </c>
      <c r="L26" s="175"/>
      <c r="M26" s="175"/>
      <c r="N26" s="175"/>
      <c r="O26" s="175"/>
      <c r="P26" s="175"/>
      <c r="Q26" s="175"/>
      <c r="R26" s="175"/>
      <c r="S26" s="243">
        <f t="shared" si="4"/>
        <v>49987905.109999999</v>
      </c>
      <c r="T26" s="464">
        <f t="shared" si="3"/>
        <v>0.80957317251319927</v>
      </c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/>
      <c r="M27" s="175"/>
      <c r="N27" s="175"/>
      <c r="O27" s="175"/>
      <c r="P27" s="175"/>
      <c r="Q27" s="175"/>
      <c r="R27" s="175"/>
      <c r="S27" s="243">
        <f t="shared" si="4"/>
        <v>0</v>
      </c>
      <c r="T27" s="464">
        <f t="shared" si="3"/>
        <v>0</v>
      </c>
    </row>
    <row r="28" spans="1:23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v>1415909.3000000003</v>
      </c>
      <c r="H28" s="175">
        <v>3060381.4899999993</v>
      </c>
      <c r="I28" s="175">
        <v>30264327.079999998</v>
      </c>
      <c r="J28" s="175">
        <v>3476257.2</v>
      </c>
      <c r="K28" s="175">
        <v>1748571.3099999998</v>
      </c>
      <c r="L28" s="175"/>
      <c r="M28" s="175"/>
      <c r="N28" s="175"/>
      <c r="O28" s="175"/>
      <c r="P28" s="175"/>
      <c r="Q28" s="175"/>
      <c r="R28" s="175"/>
      <c r="S28" s="243">
        <f t="shared" si="4"/>
        <v>39965446.380000003</v>
      </c>
      <c r="T28" s="465">
        <f t="shared" si="3"/>
        <v>0.64725563404916919</v>
      </c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114740807.55</v>
      </c>
      <c r="H29" s="151">
        <f t="shared" ref="H29:R29" si="6">+H30+H40+H46+SUM(H47:H51)</f>
        <v>170498690.38000003</v>
      </c>
      <c r="I29" s="151">
        <f t="shared" si="6"/>
        <v>193559064.89999995</v>
      </c>
      <c r="J29" s="151">
        <f t="shared" si="6"/>
        <v>205426219.00999999</v>
      </c>
      <c r="K29" s="151">
        <f t="shared" si="6"/>
        <v>189744984.55000001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873969766.38999987</v>
      </c>
      <c r="T29" s="466">
        <f t="shared" si="3"/>
        <v>14.154273416739544</v>
      </c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53321750.879999988</v>
      </c>
      <c r="H30" s="187">
        <f t="shared" si="7"/>
        <v>71586974.050000027</v>
      </c>
      <c r="I30" s="187">
        <f t="shared" si="7"/>
        <v>83324130.189999983</v>
      </c>
      <c r="J30" s="187">
        <f t="shared" si="7"/>
        <v>95218509.070000008</v>
      </c>
      <c r="K30" s="187">
        <f t="shared" si="7"/>
        <v>92262209.819999993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395713574.00999999</v>
      </c>
      <c r="T30" s="462">
        <f t="shared" si="3"/>
        <v>6.4087321285589347</v>
      </c>
      <c r="U30" s="500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45778601.379999995</v>
      </c>
      <c r="H31" s="163">
        <v>54859279.480000019</v>
      </c>
      <c r="I31" s="163">
        <v>52148208.309999995</v>
      </c>
      <c r="J31" s="163">
        <v>53967761.119999982</v>
      </c>
      <c r="K31" s="163">
        <v>54180124.569999993</v>
      </c>
      <c r="L31" s="163"/>
      <c r="M31" s="163"/>
      <c r="N31" s="163"/>
      <c r="O31" s="163"/>
      <c r="P31" s="163"/>
      <c r="Q31" s="163"/>
      <c r="R31" s="163"/>
      <c r="S31" s="242">
        <f t="shared" si="4"/>
        <v>260933974.85999998</v>
      </c>
      <c r="T31" s="463">
        <f t="shared" si="3"/>
        <v>4.225925158876688</v>
      </c>
      <c r="U31" s="500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>
        <v>1372429.7699999993</v>
      </c>
      <c r="L32" s="163"/>
      <c r="M32" s="163"/>
      <c r="N32" s="163"/>
      <c r="O32" s="163"/>
      <c r="P32" s="163"/>
      <c r="Q32" s="163"/>
      <c r="R32" s="163"/>
      <c r="S32" s="242">
        <f t="shared" si="4"/>
        <v>6231583.4199999981</v>
      </c>
      <c r="T32" s="463">
        <f t="shared" si="3"/>
        <v>0.10092286820198876</v>
      </c>
      <c r="U32" s="500"/>
      <c r="V32" s="29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>
        <v>3182782.03</v>
      </c>
      <c r="L33" s="163"/>
      <c r="M33" s="163"/>
      <c r="N33" s="163"/>
      <c r="O33" s="163"/>
      <c r="P33" s="163"/>
      <c r="Q33" s="163"/>
      <c r="R33" s="163"/>
      <c r="S33" s="242">
        <f t="shared" si="4"/>
        <v>13180271.059999999</v>
      </c>
      <c r="T33" s="463">
        <f t="shared" si="3"/>
        <v>0.21345951251902956</v>
      </c>
      <c r="U33" s="500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878544.59</v>
      </c>
      <c r="H34" s="163">
        <v>3754705.580000001</v>
      </c>
      <c r="I34" s="163">
        <v>7000663.9900000002</v>
      </c>
      <c r="J34" s="163">
        <v>5103603.8800000008</v>
      </c>
      <c r="K34" s="163">
        <v>5116917.6100000003</v>
      </c>
      <c r="L34" s="163"/>
      <c r="M34" s="163"/>
      <c r="N34" s="163"/>
      <c r="O34" s="163"/>
      <c r="P34" s="163"/>
      <c r="Q34" s="163"/>
      <c r="R34" s="163"/>
      <c r="S34" s="242">
        <f t="shared" si="4"/>
        <v>21854435.650000002</v>
      </c>
      <c r="T34" s="463">
        <f t="shared" si="3"/>
        <v>0.35394091358144658</v>
      </c>
      <c r="U34" s="500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>
        <v>1740589.3100000003</v>
      </c>
      <c r="L35" s="163"/>
      <c r="M35" s="163"/>
      <c r="N35" s="163"/>
      <c r="O35" s="163"/>
      <c r="P35" s="163"/>
      <c r="Q35" s="163"/>
      <c r="R35" s="163"/>
      <c r="S35" s="242">
        <f t="shared" si="4"/>
        <v>6795202.8500000015</v>
      </c>
      <c r="T35" s="463">
        <f t="shared" si="3"/>
        <v>0.11005089965341888</v>
      </c>
      <c r="U35" s="500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>
        <v>14675383.51</v>
      </c>
      <c r="L36" s="163"/>
      <c r="M36" s="163"/>
      <c r="N36" s="163"/>
      <c r="O36" s="163"/>
      <c r="P36" s="163"/>
      <c r="Q36" s="163"/>
      <c r="R36" s="163"/>
      <c r="S36" s="242">
        <f>+SUM(G36:R36)</f>
        <v>45948983.109999999</v>
      </c>
      <c r="T36" s="463">
        <f t="shared" si="3"/>
        <v>0.7441612915816409</v>
      </c>
      <c r="U36" s="500"/>
      <c r="V36" s="29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>
        <v>781961.4600000002</v>
      </c>
      <c r="L37" s="163"/>
      <c r="M37" s="163"/>
      <c r="N37" s="163"/>
      <c r="O37" s="163"/>
      <c r="P37" s="163"/>
      <c r="Q37" s="163"/>
      <c r="R37" s="163"/>
      <c r="S37" s="242">
        <f t="shared" si="4"/>
        <v>3725091.4300000006</v>
      </c>
      <c r="T37" s="463">
        <f t="shared" si="3"/>
        <v>6.0329275256696804E-2</v>
      </c>
      <c r="U37" s="500"/>
      <c r="V37" s="29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>
        <v>5567662.9800000004</v>
      </c>
      <c r="L38" s="163"/>
      <c r="M38" s="163"/>
      <c r="N38" s="163"/>
      <c r="O38" s="163"/>
      <c r="P38" s="163"/>
      <c r="Q38" s="163"/>
      <c r="R38" s="163"/>
      <c r="S38" s="242">
        <f t="shared" si="4"/>
        <v>19195842.809999999</v>
      </c>
      <c r="T38" s="463">
        <f t="shared" si="3"/>
        <v>0.31088398940822076</v>
      </c>
      <c r="U38" s="500"/>
    </row>
    <row r="39" spans="1:24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>
        <v>5644358.5800000001</v>
      </c>
      <c r="L39" s="163"/>
      <c r="M39" s="163"/>
      <c r="N39" s="163"/>
      <c r="O39" s="163"/>
      <c r="P39" s="163"/>
      <c r="Q39" s="163"/>
      <c r="R39" s="163"/>
      <c r="S39" s="242">
        <f t="shared" si="4"/>
        <v>17848188.82</v>
      </c>
      <c r="T39" s="463">
        <f t="shared" si="3"/>
        <v>0.28905821947980437</v>
      </c>
      <c r="U39" s="500"/>
      <c r="V39" s="29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58454756.119999997</v>
      </c>
      <c r="H40" s="193">
        <f t="shared" ref="H40:R40" si="8">+SUM(H41:H45)</f>
        <v>66352183.089999989</v>
      </c>
      <c r="I40" s="193">
        <f t="shared" si="8"/>
        <v>68141527.619999975</v>
      </c>
      <c r="J40" s="193">
        <f t="shared" si="8"/>
        <v>65511040.719999991</v>
      </c>
      <c r="K40" s="193">
        <f t="shared" si="8"/>
        <v>64802740.460000001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323262248.00999993</v>
      </c>
      <c r="T40" s="487">
        <f t="shared" si="3"/>
        <v>5.2353552944320265</v>
      </c>
      <c r="U40" s="500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>
        <v>16251190.1</v>
      </c>
      <c r="L41" s="163"/>
      <c r="M41" s="163"/>
      <c r="N41" s="163"/>
      <c r="O41" s="163"/>
      <c r="P41" s="163"/>
      <c r="Q41" s="163"/>
      <c r="R41" s="163"/>
      <c r="S41" s="242">
        <f t="shared" si="4"/>
        <v>85685050.479999989</v>
      </c>
      <c r="T41" s="463">
        <f t="shared" si="3"/>
        <v>1.3877020451527222</v>
      </c>
      <c r="U41" s="500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0</v>
      </c>
      <c r="H42" s="163">
        <v>2161292.37</v>
      </c>
      <c r="I42" s="163">
        <v>2136078.06</v>
      </c>
      <c r="J42" s="163">
        <v>2131572.67</v>
      </c>
      <c r="K42" s="163">
        <v>2059702.3699999999</v>
      </c>
      <c r="L42" s="163"/>
      <c r="M42" s="163"/>
      <c r="N42" s="163"/>
      <c r="O42" s="163"/>
      <c r="P42" s="163"/>
      <c r="Q42" s="163"/>
      <c r="R42" s="163"/>
      <c r="S42" s="242">
        <f t="shared" si="4"/>
        <v>8488645.4699999988</v>
      </c>
      <c r="T42" s="463">
        <f t="shared" si="3"/>
        <v>0.13747684821688852</v>
      </c>
      <c r="U42" s="500"/>
      <c r="V42" s="29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42310100.469999999</v>
      </c>
      <c r="H43" s="163">
        <v>43436982.68</v>
      </c>
      <c r="I43" s="163">
        <v>43546253.729999982</v>
      </c>
      <c r="J43" s="163">
        <v>43640005.299999997</v>
      </c>
      <c r="K43" s="163">
        <v>43423554.060000002</v>
      </c>
      <c r="L43" s="163"/>
      <c r="M43" s="163"/>
      <c r="N43" s="163"/>
      <c r="O43" s="163"/>
      <c r="P43" s="163"/>
      <c r="Q43" s="163"/>
      <c r="R43" s="163"/>
      <c r="S43" s="242">
        <f t="shared" si="4"/>
        <v>216356896.24000001</v>
      </c>
      <c r="T43" s="463">
        <f t="shared" si="3"/>
        <v>3.5039823833122798</v>
      </c>
      <c r="U43" s="500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951408.72</v>
      </c>
      <c r="H44" s="163">
        <v>1207435.98</v>
      </c>
      <c r="I44" s="163">
        <v>2523574.06</v>
      </c>
      <c r="J44" s="163">
        <v>1805827.9000000001</v>
      </c>
      <c r="K44" s="163">
        <v>1743976.95</v>
      </c>
      <c r="L44" s="163"/>
      <c r="M44" s="163"/>
      <c r="N44" s="163"/>
      <c r="O44" s="163"/>
      <c r="P44" s="163"/>
      <c r="Q44" s="163"/>
      <c r="R44" s="163"/>
      <c r="S44" s="242">
        <f t="shared" si="4"/>
        <v>8232223.6100000003</v>
      </c>
      <c r="T44" s="463">
        <f t="shared" si="3"/>
        <v>0.13332399847763418</v>
      </c>
      <c r="U44" s="500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0</v>
      </c>
      <c r="H45" s="163">
        <v>946813.87</v>
      </c>
      <c r="I45" s="163">
        <v>1275769.99</v>
      </c>
      <c r="J45" s="163">
        <v>952531.37</v>
      </c>
      <c r="K45" s="163">
        <v>1324316.98</v>
      </c>
      <c r="L45" s="163"/>
      <c r="M45" s="163"/>
      <c r="N45" s="163"/>
      <c r="O45" s="163"/>
      <c r="P45" s="163"/>
      <c r="Q45" s="163"/>
      <c r="R45" s="163"/>
      <c r="S45" s="242">
        <f t="shared" si="4"/>
        <v>4499432.21</v>
      </c>
      <c r="T45" s="463">
        <f t="shared" si="3"/>
        <v>7.2870019272503486E-2</v>
      </c>
      <c r="U45" s="500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1575619.12</v>
      </c>
      <c r="H46" s="175">
        <v>24858213.860000003</v>
      </c>
      <c r="I46" s="175">
        <v>29154946.680000003</v>
      </c>
      <c r="J46" s="175">
        <v>33441596.300000001</v>
      </c>
      <c r="K46" s="175">
        <v>22480293.780000001</v>
      </c>
      <c r="L46" s="175"/>
      <c r="M46" s="175"/>
      <c r="N46" s="175"/>
      <c r="O46" s="175"/>
      <c r="P46" s="175"/>
      <c r="Q46" s="175"/>
      <c r="R46" s="175"/>
      <c r="S46" s="243">
        <f t="shared" si="4"/>
        <v>111510669.74000001</v>
      </c>
      <c r="T46" s="464">
        <f t="shared" si="3"/>
        <v>1.8059577906261135</v>
      </c>
      <c r="U46" s="500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420202.33999999997</v>
      </c>
      <c r="H47" s="175">
        <f>4946812.99-H58</f>
        <v>4450440.01</v>
      </c>
      <c r="I47" s="175">
        <v>10112490.899999999</v>
      </c>
      <c r="J47" s="175">
        <v>7075145.9400000004</v>
      </c>
      <c r="K47" s="175">
        <v>8044220.4300000006</v>
      </c>
      <c r="L47" s="175"/>
      <c r="M47" s="175"/>
      <c r="N47" s="175"/>
      <c r="O47" s="175"/>
      <c r="P47" s="175"/>
      <c r="Q47" s="175"/>
      <c r="R47" s="175"/>
      <c r="S47" s="243">
        <f t="shared" si="4"/>
        <v>30102499.619999997</v>
      </c>
      <c r="T47" s="464">
        <f t="shared" si="3"/>
        <v>0.48752145272568259</v>
      </c>
      <c r="U47" s="500"/>
      <c r="V47" s="291"/>
      <c r="W47" s="311"/>
      <c r="X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/>
      <c r="M48" s="163"/>
      <c r="N48" s="163"/>
      <c r="O48" s="163"/>
      <c r="P48" s="163"/>
      <c r="Q48" s="163"/>
      <c r="R48" s="163"/>
      <c r="S48" s="242">
        <f t="shared" si="4"/>
        <v>0</v>
      </c>
      <c r="T48" s="463">
        <f t="shared" si="3"/>
        <v>0</v>
      </c>
      <c r="U48" s="500"/>
      <c r="V48" s="311"/>
    </row>
    <row r="49" spans="1:21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0</v>
      </c>
      <c r="H49" s="163">
        <v>198585.54</v>
      </c>
      <c r="I49" s="163">
        <v>1537951.44</v>
      </c>
      <c r="J49" s="163">
        <v>3354027.05</v>
      </c>
      <c r="K49" s="163">
        <v>1068089.2</v>
      </c>
      <c r="L49" s="163"/>
      <c r="M49" s="163"/>
      <c r="N49" s="163"/>
      <c r="O49" s="163"/>
      <c r="P49" s="163"/>
      <c r="Q49" s="163"/>
      <c r="R49" s="163"/>
      <c r="S49" s="242">
        <f t="shared" si="4"/>
        <v>6158653.2299999995</v>
      </c>
      <c r="T49" s="463">
        <f t="shared" si="3"/>
        <v>9.9741735982897678E-2</v>
      </c>
      <c r="U49" s="500"/>
    </row>
    <row r="50" spans="1:21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0</v>
      </c>
      <c r="H50" s="163">
        <v>1168915.48</v>
      </c>
      <c r="I50" s="163">
        <v>0</v>
      </c>
      <c r="J50" s="163">
        <v>0</v>
      </c>
      <c r="K50" s="163">
        <v>0</v>
      </c>
      <c r="L50" s="163"/>
      <c r="M50" s="163"/>
      <c r="N50" s="163"/>
      <c r="O50" s="163"/>
      <c r="P50" s="163"/>
      <c r="Q50" s="163"/>
      <c r="R50" s="163"/>
      <c r="S50" s="242">
        <f t="shared" si="4"/>
        <v>1168915.48</v>
      </c>
      <c r="T50" s="463">
        <f t="shared" si="3"/>
        <v>1.8931031645774626E-2</v>
      </c>
      <c r="U50" s="500"/>
    </row>
    <row r="51" spans="1:21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968479.09000000008</v>
      </c>
      <c r="H51" s="457">
        <v>1883378.3499999994</v>
      </c>
      <c r="I51" s="457">
        <v>1288018.07</v>
      </c>
      <c r="J51" s="457">
        <v>825899.93</v>
      </c>
      <c r="K51" s="457">
        <v>1087430.8599999999</v>
      </c>
      <c r="L51" s="457"/>
      <c r="M51" s="457"/>
      <c r="N51" s="457"/>
      <c r="O51" s="457"/>
      <c r="P51" s="457"/>
      <c r="Q51" s="457"/>
      <c r="R51" s="457"/>
      <c r="S51" s="424">
        <f>+SUM(G51:R51)</f>
        <v>6053206.2999999989</v>
      </c>
      <c r="T51" s="467">
        <f t="shared" si="3"/>
        <v>9.8033982768114522E-2</v>
      </c>
      <c r="U51" s="500"/>
    </row>
    <row r="52" spans="1:21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52916652.589999989</v>
      </c>
      <c r="H53" s="151">
        <f t="shared" si="9"/>
        <v>-28090236.660000026</v>
      </c>
      <c r="I53" s="151">
        <f t="shared" si="9"/>
        <v>38858453.51000002</v>
      </c>
      <c r="J53" s="151">
        <f t="shared" si="9"/>
        <v>49497620.530000031</v>
      </c>
      <c r="K53" s="151">
        <f t="shared" si="9"/>
        <v>-3162045.599999994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110020444.37000002</v>
      </c>
      <c r="T53" s="469">
        <f t="shared" si="3"/>
        <v>1.7818230228678784</v>
      </c>
    </row>
    <row r="54" spans="1:21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56883548.349999987</v>
      </c>
      <c r="H54" s="205">
        <f t="shared" si="10"/>
        <v>-25659169.870000027</v>
      </c>
      <c r="I54" s="205">
        <f t="shared" si="10"/>
        <v>40594086.320000023</v>
      </c>
      <c r="J54" s="205">
        <f t="shared" si="10"/>
        <v>72637624.770000041</v>
      </c>
      <c r="K54" s="205">
        <f t="shared" si="10"/>
        <v>11513337.910000006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155969427.48000002</v>
      </c>
      <c r="T54" s="469">
        <f t="shared" si="3"/>
        <v>2.5259843144495195</v>
      </c>
    </row>
    <row r="55" spans="1:21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29896704.300000001</v>
      </c>
      <c r="H55" s="193">
        <f t="shared" si="11"/>
        <v>5811024.9299999997</v>
      </c>
      <c r="I55" s="193">
        <f t="shared" si="11"/>
        <v>8077109.9900000002</v>
      </c>
      <c r="J55" s="175">
        <f t="shared" si="11"/>
        <v>7902599.2300000004</v>
      </c>
      <c r="K55" s="193">
        <f t="shared" si="11"/>
        <v>91927760.939999998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143615199.38999999</v>
      </c>
      <c r="T55" s="470">
        <f t="shared" si="3"/>
        <v>2.3259028826158779</v>
      </c>
    </row>
    <row r="56" spans="1:21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>
        <v>44621033.690000005</v>
      </c>
      <c r="L56" s="211"/>
      <c r="M56" s="211"/>
      <c r="N56" s="211"/>
      <c r="O56" s="211"/>
      <c r="P56" s="211"/>
      <c r="Q56" s="211"/>
      <c r="R56" s="211"/>
      <c r="S56" s="250">
        <f t="shared" si="4"/>
        <v>52661334.420000002</v>
      </c>
      <c r="T56" s="471">
        <f t="shared" si="3"/>
        <v>0.8528703789719172</v>
      </c>
    </row>
    <row r="57" spans="1:21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>
        <v>47306727.25</v>
      </c>
      <c r="L57" s="211"/>
      <c r="M57" s="211"/>
      <c r="N57" s="211"/>
      <c r="O57" s="211"/>
      <c r="P57" s="211"/>
      <c r="Q57" s="211"/>
      <c r="R57" s="211"/>
      <c r="S57" s="250">
        <f t="shared" si="4"/>
        <v>90953864.969999999</v>
      </c>
      <c r="T57" s="471">
        <f t="shared" si="3"/>
        <v>1.4730325036439607</v>
      </c>
    </row>
    <row r="58" spans="1:21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496372.98</v>
      </c>
      <c r="I58" s="459">
        <v>0</v>
      </c>
      <c r="J58" s="459">
        <v>0</v>
      </c>
      <c r="K58" s="459">
        <v>118566.42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614939.4</v>
      </c>
      <c r="T58" s="472">
        <f t="shared" si="3"/>
        <v>9.9591779224565153E-3</v>
      </c>
    </row>
    <row r="59" spans="1:21" ht="13.5" thickBot="1">
      <c r="A59" s="150">
        <v>451</v>
      </c>
      <c r="B59" s="533" t="str">
        <f>+VLOOKUP($A59,Master!$D$30:$G$226,4,FALSE)</f>
        <v>Pozajmice i krediti</v>
      </c>
      <c r="C59" s="534"/>
      <c r="D59" s="534"/>
      <c r="E59" s="534"/>
      <c r="F59" s="534"/>
      <c r="G59" s="459">
        <v>0</v>
      </c>
      <c r="H59" s="459">
        <v>1052216</v>
      </c>
      <c r="I59" s="459">
        <v>0</v>
      </c>
      <c r="J59" s="459">
        <v>465341</v>
      </c>
      <c r="K59" s="459">
        <v>496449</v>
      </c>
      <c r="L59" s="459"/>
      <c r="M59" s="459"/>
      <c r="N59" s="459"/>
      <c r="O59" s="459"/>
      <c r="P59" s="459"/>
      <c r="Q59" s="459"/>
      <c r="R59" s="459"/>
      <c r="S59" s="249">
        <f>SUM(G59:R59)</f>
        <v>2014006</v>
      </c>
      <c r="T59" s="472">
        <f t="shared" si="3"/>
        <v>3.2617594662002397E-2</v>
      </c>
    </row>
    <row r="60" spans="1:21" ht="13.5" thickBot="1">
      <c r="A60" s="144">
        <v>1002</v>
      </c>
      <c r="B60" s="567" t="str">
        <f>+VLOOKUP($A60,Master!$D$30:$G$226,4,FALSE)</f>
        <v>Nedostajuća sredstva</v>
      </c>
      <c r="C60" s="568"/>
      <c r="D60" s="568"/>
      <c r="E60" s="568"/>
      <c r="F60" s="568"/>
      <c r="G60" s="217">
        <f>+G53-G55-G58-G59</f>
        <v>23019948.289999988</v>
      </c>
      <c r="H60" s="217">
        <f t="shared" ref="H60:J60" si="12">+H53-H55-H58-H59</f>
        <v>-35449850.570000023</v>
      </c>
      <c r="I60" s="217">
        <f t="shared" si="12"/>
        <v>30781343.520000018</v>
      </c>
      <c r="J60" s="217">
        <f t="shared" si="12"/>
        <v>41129680.300000027</v>
      </c>
      <c r="K60" s="217">
        <f t="shared" ref="K60" si="13">+K53-K55-K58-K59</f>
        <v>-95704821.959999993</v>
      </c>
      <c r="L60" s="217">
        <f t="shared" ref="L60" si="14">+L53-L55-L58-L59</f>
        <v>0</v>
      </c>
      <c r="M60" s="217">
        <f t="shared" ref="M60" si="15">+M53-M55-M58-M59</f>
        <v>0</v>
      </c>
      <c r="N60" s="217">
        <f t="shared" ref="N60" si="16">+N53-N55-N58-N59</f>
        <v>0</v>
      </c>
      <c r="O60" s="217">
        <f t="shared" ref="O60" si="17">+O53-O55-O58-O59</f>
        <v>0</v>
      </c>
      <c r="P60" s="217">
        <f t="shared" ref="P60" si="18">+P53-P55-P58-P59</f>
        <v>0</v>
      </c>
      <c r="Q60" s="217">
        <f t="shared" ref="Q60" si="19">+Q53-Q55-Q58-Q59</f>
        <v>0</v>
      </c>
      <c r="R60" s="217">
        <f t="shared" ref="R60:S60" si="20">+R53-R55-R58-R59</f>
        <v>0</v>
      </c>
      <c r="S60" s="249">
        <f t="shared" si="20"/>
        <v>-36223700.419999965</v>
      </c>
      <c r="T60" s="473">
        <f t="shared" si="3"/>
        <v>-0.58665663233245813</v>
      </c>
    </row>
    <row r="61" spans="1:21" ht="13.5" thickBot="1">
      <c r="A61" s="144">
        <v>1003</v>
      </c>
      <c r="B61" s="531" t="str">
        <f>+VLOOKUP($A61,Master!$D$30:$G$226,4,FALSE)</f>
        <v>Finansiranje</v>
      </c>
      <c r="C61" s="532"/>
      <c r="D61" s="532"/>
      <c r="E61" s="532"/>
      <c r="F61" s="532"/>
      <c r="G61" s="151">
        <f>+SUM(G62:G66)</f>
        <v>-23019948.289999988</v>
      </c>
      <c r="H61" s="151">
        <f t="shared" ref="H61:R61" si="21">+SUM(H62:H66)</f>
        <v>35449850.570000023</v>
      </c>
      <c r="I61" s="151">
        <f t="shared" si="21"/>
        <v>-30781343.520000026</v>
      </c>
      <c r="J61" s="151">
        <f t="shared" si="21"/>
        <v>-41129680.300000027</v>
      </c>
      <c r="K61" s="151">
        <f t="shared" si="21"/>
        <v>95704821.959999993</v>
      </c>
      <c r="L61" s="151">
        <f t="shared" si="21"/>
        <v>0</v>
      </c>
      <c r="M61" s="151">
        <f t="shared" si="21"/>
        <v>0</v>
      </c>
      <c r="N61" s="151">
        <f t="shared" si="21"/>
        <v>0</v>
      </c>
      <c r="O61" s="151">
        <f t="shared" si="21"/>
        <v>0</v>
      </c>
      <c r="P61" s="151">
        <f t="shared" si="21"/>
        <v>0</v>
      </c>
      <c r="Q61" s="151">
        <f t="shared" si="21"/>
        <v>0</v>
      </c>
      <c r="R61" s="151">
        <f t="shared" si="21"/>
        <v>0</v>
      </c>
      <c r="S61" s="252">
        <f t="shared" si="4"/>
        <v>36223700.419999972</v>
      </c>
      <c r="T61" s="474">
        <f t="shared" si="3"/>
        <v>0.58665663233245835</v>
      </c>
    </row>
    <row r="62" spans="1:21">
      <c r="A62" s="144">
        <v>7511</v>
      </c>
      <c r="B62" s="565" t="str">
        <f>+VLOOKUP($A62,Master!$D$30:$G$226,4,FALSE)</f>
        <v>Pozajmice i krediti od domaćih izvora</v>
      </c>
      <c r="C62" s="566"/>
      <c r="D62" s="566"/>
      <c r="E62" s="566"/>
      <c r="F62" s="566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/>
      <c r="M62" s="211"/>
      <c r="N62" s="211"/>
      <c r="O62" s="211"/>
      <c r="P62" s="211"/>
      <c r="Q62" s="211"/>
      <c r="R62" s="211"/>
      <c r="S62" s="250">
        <f t="shared" si="4"/>
        <v>0</v>
      </c>
      <c r="T62" s="471">
        <f t="shared" si="3"/>
        <v>0</v>
      </c>
    </row>
    <row r="63" spans="1:21">
      <c r="A63" s="144">
        <v>7512</v>
      </c>
      <c r="B63" s="541" t="str">
        <f>+VLOOKUP($A63,Master!$D$30:$G$226,4,FALSE)</f>
        <v>Pozajmice i krediti od inostranih izvora</v>
      </c>
      <c r="C63" s="542"/>
      <c r="D63" s="542"/>
      <c r="E63" s="542"/>
      <c r="F63" s="542"/>
      <c r="G63" s="211">
        <v>21765.27</v>
      </c>
      <c r="H63" s="211">
        <v>1062785.51</v>
      </c>
      <c r="I63" s="211">
        <v>101099873.19999999</v>
      </c>
      <c r="J63" s="211">
        <v>203543.33</v>
      </c>
      <c r="K63" s="211">
        <v>1359607.3299999998</v>
      </c>
      <c r="L63" s="211"/>
      <c r="M63" s="211"/>
      <c r="N63" s="211"/>
      <c r="O63" s="211"/>
      <c r="P63" s="211"/>
      <c r="Q63" s="211"/>
      <c r="R63" s="211"/>
      <c r="S63" s="250">
        <f t="shared" si="4"/>
        <v>103747574.63999999</v>
      </c>
      <c r="T63" s="471">
        <f t="shared" si="3"/>
        <v>1.6802315071421627</v>
      </c>
    </row>
    <row r="64" spans="1:21">
      <c r="A64" s="144">
        <v>72</v>
      </c>
      <c r="B64" s="541" t="str">
        <f>+VLOOKUP($A64,Master!$D$30:$G$226,4,FALSE)</f>
        <v>Primici od prodaje imovine</v>
      </c>
      <c r="C64" s="542"/>
      <c r="D64" s="542"/>
      <c r="E64" s="542"/>
      <c r="F64" s="542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>
        <v>634641.06000000006</v>
      </c>
      <c r="L64" s="211"/>
      <c r="M64" s="211"/>
      <c r="N64" s="211"/>
      <c r="O64" s="211"/>
      <c r="P64" s="211"/>
      <c r="Q64" s="211"/>
      <c r="R64" s="211"/>
      <c r="S64" s="250">
        <f t="shared" si="4"/>
        <v>1699534.9300000002</v>
      </c>
      <c r="T64" s="471">
        <f t="shared" si="3"/>
        <v>2.7524615845560849E-2</v>
      </c>
    </row>
    <row r="65" spans="1:20">
      <c r="A65" s="144">
        <v>73</v>
      </c>
      <c r="B65" s="541" t="s">
        <v>101</v>
      </c>
      <c r="C65" s="542"/>
      <c r="D65" s="542"/>
      <c r="E65" s="542"/>
      <c r="F65" s="542"/>
      <c r="G65" s="211">
        <v>139531.08000000002</v>
      </c>
      <c r="H65" s="211">
        <v>2017853.4</v>
      </c>
      <c r="I65" s="211">
        <v>1080976.0299999998</v>
      </c>
      <c r="J65" s="211">
        <v>1004336.8499999999</v>
      </c>
      <c r="K65" s="211">
        <v>1142213.31</v>
      </c>
      <c r="L65" s="211"/>
      <c r="M65" s="211"/>
      <c r="N65" s="211"/>
      <c r="O65" s="211"/>
      <c r="P65" s="211"/>
      <c r="Q65" s="211"/>
      <c r="R65" s="211"/>
      <c r="S65" s="250">
        <f t="shared" si="4"/>
        <v>5384910.6699999999</v>
      </c>
      <c r="T65" s="471">
        <f t="shared" si="3"/>
        <v>8.7210680367959051E-2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-23846052.699999988</v>
      </c>
      <c r="H66" s="225">
        <f t="shared" ref="H66:S66" si="22">-H60-SUM(H62:H65)</f>
        <v>32292169.980000023</v>
      </c>
      <c r="I66" s="225">
        <f t="shared" si="22"/>
        <v>-133129811.26000002</v>
      </c>
      <c r="J66" s="225">
        <f t="shared" si="22"/>
        <v>-42492986.100000024</v>
      </c>
      <c r="K66" s="225">
        <f t="shared" si="22"/>
        <v>92568360.25999999</v>
      </c>
      <c r="L66" s="225">
        <f t="shared" si="22"/>
        <v>0</v>
      </c>
      <c r="M66" s="225">
        <f t="shared" si="22"/>
        <v>0</v>
      </c>
      <c r="N66" s="225">
        <f t="shared" si="22"/>
        <v>0</v>
      </c>
      <c r="O66" s="225">
        <f t="shared" si="22"/>
        <v>0</v>
      </c>
      <c r="P66" s="225">
        <f t="shared" si="22"/>
        <v>0</v>
      </c>
      <c r="Q66" s="225">
        <f t="shared" si="22"/>
        <v>0</v>
      </c>
      <c r="R66" s="225">
        <f t="shared" si="22"/>
        <v>0</v>
      </c>
      <c r="S66" s="518">
        <f t="shared" si="22"/>
        <v>-74608319.820000023</v>
      </c>
      <c r="T66" s="475">
        <f t="shared" si="3"/>
        <v>-1.2083101710232245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23">+CONCATENATE(G6,"p")</f>
        <v>2023-01p</v>
      </c>
      <c r="H82" s="68" t="str">
        <f t="shared" si="23"/>
        <v>2023-02p</v>
      </c>
      <c r="I82" s="68" t="str">
        <f t="shared" si="23"/>
        <v>2023-03p</v>
      </c>
      <c r="J82" s="68" t="str">
        <f t="shared" si="23"/>
        <v>2023-04p</v>
      </c>
      <c r="K82" s="68" t="str">
        <f t="shared" si="23"/>
        <v>2023-05p</v>
      </c>
      <c r="L82" s="68" t="str">
        <f t="shared" si="23"/>
        <v>2023-06p</v>
      </c>
      <c r="M82" s="68" t="str">
        <f t="shared" si="23"/>
        <v>2023-07p</v>
      </c>
      <c r="N82" s="68" t="str">
        <f t="shared" si="23"/>
        <v>2023-08p</v>
      </c>
      <c r="O82" s="68" t="str">
        <f t="shared" si="23"/>
        <v>2023-09p</v>
      </c>
      <c r="P82" s="68" t="str">
        <f t="shared" si="23"/>
        <v>2023-10p</v>
      </c>
      <c r="Q82" s="68" t="str">
        <f t="shared" si="23"/>
        <v>2023-11p</v>
      </c>
      <c r="R82" s="68" t="str">
        <f t="shared" si="23"/>
        <v>2023-12p</v>
      </c>
    </row>
    <row r="83" spans="1:26" ht="15.75" customHeight="1" thickBot="1">
      <c r="B83" s="597" t="str">
        <f>+Master!G253</f>
        <v>Plan ostvarenja budžeta</v>
      </c>
      <c r="C83" s="598"/>
      <c r="D83" s="598"/>
      <c r="E83" s="598"/>
      <c r="F83" s="598"/>
      <c r="G83" s="605">
        <v>2023</v>
      </c>
      <c r="H83" s="606"/>
      <c r="I83" s="606"/>
      <c r="J83" s="606"/>
      <c r="K83" s="606"/>
      <c r="L83" s="606"/>
      <c r="M83" s="606"/>
      <c r="N83" s="606"/>
      <c r="O83" s="606"/>
      <c r="P83" s="606"/>
      <c r="Q83" s="606"/>
      <c r="R83" s="607"/>
      <c r="S83" s="107" t="str">
        <f>+S7</f>
        <v>BDP</v>
      </c>
      <c r="T83" s="108">
        <v>6174600000</v>
      </c>
    </row>
    <row r="84" spans="1:26" ht="15.75" customHeight="1">
      <c r="B84" s="599"/>
      <c r="C84" s="600"/>
      <c r="D84" s="600"/>
      <c r="E84" s="600"/>
      <c r="F84" s="601"/>
      <c r="G84" s="71" t="str">
        <f t="shared" ref="G84:R84" si="24">+G8</f>
        <v>Januar</v>
      </c>
      <c r="H84" s="71" t="str">
        <f t="shared" si="24"/>
        <v>Februar</v>
      </c>
      <c r="I84" s="71" t="str">
        <f t="shared" si="24"/>
        <v>Mart</v>
      </c>
      <c r="J84" s="71" t="str">
        <f t="shared" si="24"/>
        <v>April</v>
      </c>
      <c r="K84" s="71" t="str">
        <f t="shared" si="24"/>
        <v>Maj</v>
      </c>
      <c r="L84" s="71" t="str">
        <f t="shared" si="24"/>
        <v>Jun</v>
      </c>
      <c r="M84" s="71" t="str">
        <f t="shared" si="24"/>
        <v>Jul</v>
      </c>
      <c r="N84" s="71" t="str">
        <f t="shared" si="24"/>
        <v>Avgust</v>
      </c>
      <c r="O84" s="71" t="str">
        <f t="shared" si="24"/>
        <v>Septembar</v>
      </c>
      <c r="P84" s="71" t="str">
        <f t="shared" si="24"/>
        <v>Oktobar</v>
      </c>
      <c r="Q84" s="71" t="str">
        <f t="shared" si="24"/>
        <v>Novembar</v>
      </c>
      <c r="R84" s="71" t="str">
        <f t="shared" si="24"/>
        <v>Decembar</v>
      </c>
      <c r="S84" s="605" t="str">
        <f>+Master!G247</f>
        <v>Jan - Dec</v>
      </c>
      <c r="T84" s="607">
        <f>+T8</f>
        <v>0</v>
      </c>
    </row>
    <row r="85" spans="1:26" ht="13.5" thickBot="1">
      <c r="B85" s="602"/>
      <c r="C85" s="603"/>
      <c r="D85" s="603"/>
      <c r="E85" s="603"/>
      <c r="F85" s="604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25">+CONCATENATE(A10,"p")</f>
        <v>7p</v>
      </c>
      <c r="B86" s="571" t="str">
        <f>+VLOOKUP(LEFT($A86,LEN(A86)-1)*1,Master!$D$30:$G$226,4,FALSE)</f>
        <v>Prihodi budžeta</v>
      </c>
      <c r="C86" s="572"/>
      <c r="D86" s="572"/>
      <c r="E86" s="572"/>
      <c r="F86" s="572"/>
      <c r="G86" s="93">
        <f t="shared" ref="G86:Q86" si="26">+G87+G95+SUM(G100:G104)</f>
        <v>153112731.45240748</v>
      </c>
      <c r="H86" s="93">
        <f t="shared" si="26"/>
        <v>127832756.55548061</v>
      </c>
      <c r="I86" s="93">
        <f t="shared" si="26"/>
        <v>201740232.63025409</v>
      </c>
      <c r="J86" s="93">
        <f t="shared" si="26"/>
        <v>197163981.770235</v>
      </c>
      <c r="K86" s="93">
        <f t="shared" si="26"/>
        <v>158296327.97128749</v>
      </c>
      <c r="L86" s="93">
        <f t="shared" si="26"/>
        <v>167200464.48127508</v>
      </c>
      <c r="M86" s="93">
        <f t="shared" si="26"/>
        <v>181861975.69392896</v>
      </c>
      <c r="N86" s="93">
        <f t="shared" si="26"/>
        <v>202109513.21302867</v>
      </c>
      <c r="O86" s="93">
        <f t="shared" si="26"/>
        <v>185021882.2158348</v>
      </c>
      <c r="P86" s="93">
        <f t="shared" si="26"/>
        <v>177565269.2391125</v>
      </c>
      <c r="Q86" s="93">
        <f t="shared" si="26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25"/>
        <v>711p</v>
      </c>
      <c r="B87" s="595" t="str">
        <f>+VLOOKUP(LEFT($A87,LEN(A87)-1)*1,Master!$D$30:$G$226,4,FALSE)</f>
        <v>Porezi</v>
      </c>
      <c r="C87" s="596"/>
      <c r="D87" s="596"/>
      <c r="E87" s="596"/>
      <c r="F87" s="596"/>
      <c r="G87" s="79">
        <f t="shared" ref="G87:R87" si="27">+SUM(G88:G94)</f>
        <v>89053259.19649069</v>
      </c>
      <c r="H87" s="79">
        <f t="shared" si="27"/>
        <v>86133720.726993382</v>
      </c>
      <c r="I87" s="79">
        <f t="shared" si="27"/>
        <v>151611174.865978</v>
      </c>
      <c r="J87" s="79">
        <f t="shared" si="27"/>
        <v>145526098.37503338</v>
      </c>
      <c r="K87" s="79">
        <f t="shared" si="27"/>
        <v>114721167.87287787</v>
      </c>
      <c r="L87" s="79">
        <f t="shared" si="27"/>
        <v>116649816.05907366</v>
      </c>
      <c r="M87" s="79">
        <f t="shared" si="27"/>
        <v>123219445.94451815</v>
      </c>
      <c r="N87" s="79">
        <f t="shared" si="27"/>
        <v>144506632.21078962</v>
      </c>
      <c r="O87" s="79">
        <f t="shared" si="27"/>
        <v>130700085.51141171</v>
      </c>
      <c r="P87" s="79">
        <f t="shared" si="27"/>
        <v>120588265.76124729</v>
      </c>
      <c r="Q87" s="79">
        <f t="shared" si="27"/>
        <v>112197774.08556552</v>
      </c>
      <c r="R87" s="80">
        <f t="shared" si="27"/>
        <v>130556572.94447696</v>
      </c>
      <c r="S87" s="111">
        <f t="shared" ref="S87:S139" si="28">+SUM(G87:R87)</f>
        <v>1465464013.5544562</v>
      </c>
      <c r="T87" s="462">
        <f t="shared" ref="T87:T140" si="29">+S87/$T$83*100</f>
        <v>23.733748154608499</v>
      </c>
      <c r="V87" s="311"/>
    </row>
    <row r="88" spans="1:26">
      <c r="A88" s="116" t="str">
        <f t="shared" si="25"/>
        <v>7111p</v>
      </c>
      <c r="B88" s="587" t="str">
        <f>+VLOOKUP(LEFT($A88,LEN(A88)-1)*1,Master!$D$30:$G$229,4,FALSE)</f>
        <v>Porez na dohodak fizičkih lica</v>
      </c>
      <c r="C88" s="588"/>
      <c r="D88" s="588"/>
      <c r="E88" s="588"/>
      <c r="F88" s="588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28"/>
        <v>61039853.663200006</v>
      </c>
      <c r="T88" s="463">
        <f t="shared" si="29"/>
        <v>0.98856369097917274</v>
      </c>
      <c r="V88" s="311"/>
    </row>
    <row r="89" spans="1:26">
      <c r="A89" s="116" t="str">
        <f t="shared" si="25"/>
        <v>7112p</v>
      </c>
      <c r="B89" s="587" t="str">
        <f>+VLOOKUP(LEFT($A89,LEN(A89)-1)*1,Master!$D$30:$G$229,4,FALSE)</f>
        <v>Porez na dobit pravnih lica</v>
      </c>
      <c r="C89" s="588"/>
      <c r="D89" s="588"/>
      <c r="E89" s="588"/>
      <c r="F89" s="588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28"/>
        <v>121648421.1653218</v>
      </c>
      <c r="T89" s="463">
        <f t="shared" si="29"/>
        <v>1.9701425382263109</v>
      </c>
      <c r="V89" s="311"/>
    </row>
    <row r="90" spans="1:26">
      <c r="A90" s="116" t="str">
        <f t="shared" si="25"/>
        <v>7113p</v>
      </c>
      <c r="B90" s="587" t="str">
        <f>+VLOOKUP(LEFT($A90,LEN(A90)-1)*1,Master!$D$30:$G$229,4,FALSE)</f>
        <v>Porez na promet nepokretnosti</v>
      </c>
      <c r="C90" s="588"/>
      <c r="D90" s="588"/>
      <c r="E90" s="588"/>
      <c r="F90" s="588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8"/>
        <v>0</v>
      </c>
      <c r="T90" s="463">
        <f t="shared" si="29"/>
        <v>0</v>
      </c>
      <c r="V90" s="311"/>
    </row>
    <row r="91" spans="1:26">
      <c r="A91" s="116" t="str">
        <f t="shared" si="25"/>
        <v>7114p</v>
      </c>
      <c r="B91" s="587" t="str">
        <f>+VLOOKUP(LEFT($A91,LEN(A91)-1)*1,Master!$D$30:$G$229,4,FALSE)</f>
        <v>Porez na dodatu vrijednost</v>
      </c>
      <c r="C91" s="588"/>
      <c r="D91" s="588"/>
      <c r="E91" s="588"/>
      <c r="F91" s="588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28"/>
        <v>958981810.21551323</v>
      </c>
      <c r="T91" s="463">
        <f t="shared" si="29"/>
        <v>15.531075862655285</v>
      </c>
      <c r="V91" s="311"/>
    </row>
    <row r="92" spans="1:26">
      <c r="A92" s="116" t="str">
        <f t="shared" si="25"/>
        <v>7115p</v>
      </c>
      <c r="B92" s="587" t="str">
        <f>+VLOOKUP(LEFT($A92,LEN(A92)-1)*1,Master!$D$30:$G$229,4,FALSE)</f>
        <v>Akcize</v>
      </c>
      <c r="C92" s="588"/>
      <c r="D92" s="588"/>
      <c r="E92" s="588"/>
      <c r="F92" s="588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28"/>
        <v>271452175.03867495</v>
      </c>
      <c r="T92" s="463">
        <f t="shared" si="29"/>
        <v>4.3962714190178307</v>
      </c>
      <c r="V92" s="311"/>
      <c r="X92" s="257"/>
      <c r="Y92" s="257"/>
      <c r="Z92" s="257"/>
    </row>
    <row r="93" spans="1:26">
      <c r="A93" s="116" t="str">
        <f t="shared" si="25"/>
        <v>7116p</v>
      </c>
      <c r="B93" s="587" t="str">
        <f>+VLOOKUP(LEFT($A93,LEN(A93)-1)*1,Master!$D$30:$G$229,4,FALSE)</f>
        <v>Porez na međunarodnu trgovinu i transakcije</v>
      </c>
      <c r="C93" s="588"/>
      <c r="D93" s="588"/>
      <c r="E93" s="588"/>
      <c r="F93" s="588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28"/>
        <v>40252350.156719081</v>
      </c>
      <c r="T93" s="463">
        <f t="shared" si="29"/>
        <v>0.6519021500456561</v>
      </c>
      <c r="V93" s="311"/>
    </row>
    <row r="94" spans="1:26">
      <c r="A94" s="116" t="str">
        <f t="shared" si="25"/>
        <v>7118p</v>
      </c>
      <c r="B94" s="587" t="str">
        <f>+VLOOKUP(LEFT($A94,LEN(A94)-1)*1,Master!$D$30:$G$229,4,FALSE)</f>
        <v>Ostali državni porezi</v>
      </c>
      <c r="C94" s="588"/>
      <c r="D94" s="588"/>
      <c r="E94" s="588"/>
      <c r="F94" s="588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28"/>
        <v>12089403.315027073</v>
      </c>
      <c r="T94" s="463">
        <f t="shared" si="29"/>
        <v>0.19579249368423984</v>
      </c>
      <c r="V94" s="311"/>
    </row>
    <row r="95" spans="1:26">
      <c r="A95" s="116" t="str">
        <f t="shared" si="25"/>
        <v>712p</v>
      </c>
      <c r="B95" s="593" t="str">
        <f>+VLOOKUP(LEFT($A95,LEN(A95)-1)*1,Master!$D$30:$G$229,4,FALSE)</f>
        <v>Doprinosi</v>
      </c>
      <c r="C95" s="594"/>
      <c r="D95" s="594"/>
      <c r="E95" s="594"/>
      <c r="F95" s="594"/>
      <c r="G95" s="81">
        <f>+SUM(G96:G99)</f>
        <v>14028547.954861166</v>
      </c>
      <c r="H95" s="81">
        <f t="shared" ref="H95:R95" si="30">+SUM(H96:H99)</f>
        <v>35494684.891336001</v>
      </c>
      <c r="I95" s="479">
        <f t="shared" si="30"/>
        <v>34746900.973094396</v>
      </c>
      <c r="J95" s="81">
        <f t="shared" si="30"/>
        <v>42833596.089660697</v>
      </c>
      <c r="K95" s="81">
        <f t="shared" si="30"/>
        <v>31865136.166640289</v>
      </c>
      <c r="L95" s="81">
        <f t="shared" si="30"/>
        <v>38887014.54653661</v>
      </c>
      <c r="M95" s="81">
        <f t="shared" si="30"/>
        <v>41674957.146424204</v>
      </c>
      <c r="N95" s="81">
        <f t="shared" si="30"/>
        <v>39623582.115929469</v>
      </c>
      <c r="O95" s="81">
        <f t="shared" si="30"/>
        <v>38556106.773443051</v>
      </c>
      <c r="P95" s="81">
        <f t="shared" si="30"/>
        <v>41225764.80063308</v>
      </c>
      <c r="Q95" s="81">
        <f t="shared" si="30"/>
        <v>39258499.915648282</v>
      </c>
      <c r="R95" s="82">
        <f t="shared" si="30"/>
        <v>76561513.993556961</v>
      </c>
      <c r="S95" s="113">
        <f t="shared" si="28"/>
        <v>474756305.36776417</v>
      </c>
      <c r="T95" s="464">
        <f t="shared" si="29"/>
        <v>7.6888592842899008</v>
      </c>
      <c r="V95" s="311"/>
    </row>
    <row r="96" spans="1:26">
      <c r="A96" s="116" t="str">
        <f t="shared" si="25"/>
        <v>7121p</v>
      </c>
      <c r="B96" s="587" t="str">
        <f>+VLOOKUP(LEFT($A96,LEN(A96)-1)*1,Master!$D$30:$G$229,4,FALSE)</f>
        <v>Doprinosi za penzijsko i invalidsko osiguranje</v>
      </c>
      <c r="C96" s="588"/>
      <c r="D96" s="588"/>
      <c r="E96" s="588"/>
      <c r="F96" s="588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28"/>
        <v>438725546.84560192</v>
      </c>
      <c r="T96" s="463">
        <f t="shared" si="29"/>
        <v>7.1053274195187051</v>
      </c>
      <c r="V96" s="311"/>
      <c r="W96" s="311"/>
    </row>
    <row r="97" spans="1:23">
      <c r="A97" s="116" t="str">
        <f t="shared" si="25"/>
        <v>7122p</v>
      </c>
      <c r="B97" s="587" t="str">
        <f>+VLOOKUP(LEFT($A97,LEN(A97)-1)*1,Master!$D$30:$G$229,4,FALSE)</f>
        <v>Doprinosi za zdravstveno osiguranje</v>
      </c>
      <c r="C97" s="588"/>
      <c r="D97" s="588"/>
      <c r="E97" s="588"/>
      <c r="F97" s="588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28"/>
        <v>1200286.4243292995</v>
      </c>
      <c r="T97" s="463">
        <f t="shared" si="29"/>
        <v>1.9439096043942922E-2</v>
      </c>
      <c r="V97" s="311"/>
    </row>
    <row r="98" spans="1:23">
      <c r="A98" s="116" t="str">
        <f t="shared" si="25"/>
        <v>7123p</v>
      </c>
      <c r="B98" s="587" t="str">
        <f>+VLOOKUP(LEFT($A98,LEN(A98)-1)*1,Master!$D$30:$G$229,4,FALSE)</f>
        <v>Doprinosi za osiguranje od nezaposlenosti</v>
      </c>
      <c r="C98" s="588"/>
      <c r="D98" s="588"/>
      <c r="E98" s="588"/>
      <c r="F98" s="588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28"/>
        <v>20360913.711489163</v>
      </c>
      <c r="T98" s="463">
        <f t="shared" si="29"/>
        <v>0.32975275663993076</v>
      </c>
      <c r="V98" s="311"/>
    </row>
    <row r="99" spans="1:23">
      <c r="A99" s="116" t="str">
        <f t="shared" si="25"/>
        <v>7124p</v>
      </c>
      <c r="B99" s="587" t="str">
        <f>+VLOOKUP(LEFT($A99,LEN(A99)-1)*1,Master!$D$30:$G$229,4,FALSE)</f>
        <v>Ostali doprinosi</v>
      </c>
      <c r="C99" s="588"/>
      <c r="D99" s="588"/>
      <c r="E99" s="588"/>
      <c r="F99" s="588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28"/>
        <v>14469558.386343762</v>
      </c>
      <c r="T99" s="463">
        <f t="shared" si="29"/>
        <v>0.23434001208732166</v>
      </c>
      <c r="V99" s="311"/>
    </row>
    <row r="100" spans="1:23">
      <c r="A100" s="116" t="str">
        <f t="shared" si="25"/>
        <v>713p</v>
      </c>
      <c r="B100" s="593" t="str">
        <f>+VLOOKUP(LEFT($A100,LEN(A100)-1)*1,Master!$D$30:$G$229,4,FALSE)</f>
        <v>Takse</v>
      </c>
      <c r="C100" s="594"/>
      <c r="D100" s="594"/>
      <c r="E100" s="594"/>
      <c r="F100" s="594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28"/>
        <v>14250938.223525003</v>
      </c>
      <c r="T100" s="464">
        <f t="shared" si="29"/>
        <v>0.23079937523928679</v>
      </c>
      <c r="V100" s="311"/>
    </row>
    <row r="101" spans="1:23">
      <c r="A101" s="116" t="str">
        <f t="shared" si="25"/>
        <v>714p</v>
      </c>
      <c r="B101" s="593" t="str">
        <f>+VLOOKUP(LEFT($A101,LEN(A101)-1)*1,Master!$D$30:$G$229,4,FALSE)</f>
        <v>Naknade</v>
      </c>
      <c r="C101" s="594"/>
      <c r="D101" s="594"/>
      <c r="E101" s="594"/>
      <c r="F101" s="594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28"/>
        <v>41688257.276150532</v>
      </c>
      <c r="T101" s="464">
        <f t="shared" si="29"/>
        <v>0.67515721303648069</v>
      </c>
      <c r="V101" s="311"/>
    </row>
    <row r="102" spans="1:23">
      <c r="A102" s="116" t="str">
        <f t="shared" si="25"/>
        <v>715p</v>
      </c>
      <c r="B102" s="593" t="str">
        <f>+VLOOKUP(LEFT($A102,LEN(A102)-1)*1,Master!$D$30:$G$229,4,FALSE)</f>
        <v>Ostali prihodi</v>
      </c>
      <c r="C102" s="594"/>
      <c r="D102" s="594"/>
      <c r="E102" s="594"/>
      <c r="F102" s="594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28"/>
        <v>100175411.57200001</v>
      </c>
      <c r="T102" s="464">
        <f t="shared" si="29"/>
        <v>1.6223789649855862</v>
      </c>
      <c r="V102" s="311"/>
    </row>
    <row r="103" spans="1:23">
      <c r="A103" s="116" t="str">
        <f t="shared" si="25"/>
        <v>73p</v>
      </c>
      <c r="B103" s="593" t="str">
        <f>+VLOOKUP(LEFT($A103,LEN(A103)-1)*1,Master!$D$30:$G$229,4,FALSE)</f>
        <v>Primici od otplate kredita i sredstva prenesena iz prethodne godine</v>
      </c>
      <c r="C103" s="594"/>
      <c r="D103" s="594"/>
      <c r="E103" s="594"/>
      <c r="F103" s="594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28"/>
        <v>9747904</v>
      </c>
      <c r="T103" s="464">
        <f t="shared" si="29"/>
        <v>0.15787101998510025</v>
      </c>
      <c r="V103" s="311"/>
      <c r="W103" s="311"/>
    </row>
    <row r="104" spans="1:23" ht="13.5" thickBot="1">
      <c r="A104" s="116" t="str">
        <f t="shared" si="25"/>
        <v>74p</v>
      </c>
      <c r="B104" s="589" t="str">
        <f>+VLOOKUP(LEFT($A104,LEN(A104)-1)*1,Master!$D$30:$G$229,4,FALSE)</f>
        <v>Donacije i transferi</v>
      </c>
      <c r="C104" s="590"/>
      <c r="D104" s="590"/>
      <c r="E104" s="590"/>
      <c r="F104" s="590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28"/>
        <v>41383384.580000006</v>
      </c>
      <c r="T104" s="465">
        <f t="shared" si="29"/>
        <v>0.67021968354225381</v>
      </c>
      <c r="V104" s="311"/>
    </row>
    <row r="105" spans="1:23" ht="13.5" thickBot="1">
      <c r="A105" s="116" t="str">
        <f t="shared" si="25"/>
        <v>4p</v>
      </c>
      <c r="B105" s="571" t="str">
        <f>+VLOOKUP(LEFT($A105,LEN(A105)-1)*1,Master!$D$30:$G$229,4,FALSE)</f>
        <v>Izdaci budžeta</v>
      </c>
      <c r="C105" s="572"/>
      <c r="D105" s="572"/>
      <c r="E105" s="572"/>
      <c r="F105" s="572"/>
      <c r="G105" s="93">
        <f t="shared" ref="G105:R105" si="31">+G106+G116+G122+SUM(G123:G127)</f>
        <v>175509865.05999997</v>
      </c>
      <c r="H105" s="93">
        <f t="shared" si="31"/>
        <v>194904102.36999997</v>
      </c>
      <c r="I105" s="93">
        <f t="shared" si="31"/>
        <v>204056525.62</v>
      </c>
      <c r="J105" s="93">
        <f t="shared" si="31"/>
        <v>215049716.38000003</v>
      </c>
      <c r="K105" s="93">
        <f t="shared" si="31"/>
        <v>199767991.34</v>
      </c>
      <c r="L105" s="93">
        <f t="shared" si="31"/>
        <v>194478060.15000001</v>
      </c>
      <c r="M105" s="93">
        <f t="shared" si="31"/>
        <v>237229120.77000004</v>
      </c>
      <c r="N105" s="93">
        <f t="shared" si="31"/>
        <v>208577181.37000003</v>
      </c>
      <c r="O105" s="93">
        <f t="shared" si="31"/>
        <v>212332628.14999998</v>
      </c>
      <c r="P105" s="93">
        <f t="shared" si="31"/>
        <v>219165654.14000002</v>
      </c>
      <c r="Q105" s="93">
        <f t="shared" si="31"/>
        <v>215801622.55000001</v>
      </c>
      <c r="R105" s="93">
        <f t="shared" si="31"/>
        <v>236910680.68000001</v>
      </c>
      <c r="S105" s="450">
        <f>+SUM(G105:R105)</f>
        <v>2513783148.5799999</v>
      </c>
      <c r="T105" s="477">
        <f t="shared" si="29"/>
        <v>40.711676036990248</v>
      </c>
      <c r="V105" s="291"/>
    </row>
    <row r="106" spans="1:23">
      <c r="A106" s="116" t="str">
        <f t="shared" si="25"/>
        <v>41p</v>
      </c>
      <c r="B106" s="591" t="str">
        <f>+VLOOKUP(LEFT($A106,LEN(A106)-1)*1,Master!$D$30:$G$229,4,FALSE)</f>
        <v>Tekući izdaci</v>
      </c>
      <c r="C106" s="592"/>
      <c r="D106" s="592"/>
      <c r="E106" s="592"/>
      <c r="F106" s="592"/>
      <c r="G106" s="85">
        <f t="shared" ref="G106:R106" si="32">+SUM(G107:G115)</f>
        <v>71899625.829999968</v>
      </c>
      <c r="H106" s="85">
        <f t="shared" si="32"/>
        <v>80973595.029999986</v>
      </c>
      <c r="I106" s="85">
        <f t="shared" si="32"/>
        <v>81069361.99000001</v>
      </c>
      <c r="J106" s="85">
        <f t="shared" si="32"/>
        <v>100567396.8</v>
      </c>
      <c r="K106" s="85">
        <f t="shared" si="32"/>
        <v>84597904.25999999</v>
      </c>
      <c r="L106" s="85">
        <f t="shared" si="32"/>
        <v>78964000.50999999</v>
      </c>
      <c r="M106" s="85">
        <f t="shared" si="32"/>
        <v>94970976.420000017</v>
      </c>
      <c r="N106" s="85">
        <f t="shared" si="32"/>
        <v>81866855.860000014</v>
      </c>
      <c r="O106" s="85">
        <f t="shared" si="32"/>
        <v>80815803.73999998</v>
      </c>
      <c r="P106" s="85">
        <f t="shared" si="32"/>
        <v>93936445.850000009</v>
      </c>
      <c r="Q106" s="85">
        <f t="shared" si="32"/>
        <v>91854698.299999997</v>
      </c>
      <c r="R106" s="86">
        <f t="shared" si="32"/>
        <v>112771922.60000001</v>
      </c>
      <c r="S106" s="111">
        <f t="shared" si="28"/>
        <v>1054288587.1899999</v>
      </c>
      <c r="T106" s="462">
        <f t="shared" si="29"/>
        <v>17.074605435007932</v>
      </c>
      <c r="V106" s="291"/>
      <c r="W106" s="291"/>
    </row>
    <row r="107" spans="1:23">
      <c r="A107" s="116" t="str">
        <f t="shared" si="25"/>
        <v>411p</v>
      </c>
      <c r="B107" s="587" t="str">
        <f>+VLOOKUP(LEFT($A107,LEN(A107)-1)*1,Master!$D$30:$G$229,4,FALSE)</f>
        <v>Bruto zarade i doprinosi na teret poslodavca</v>
      </c>
      <c r="C107" s="588"/>
      <c r="D107" s="588"/>
      <c r="E107" s="588"/>
      <c r="F107" s="588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28"/>
        <v>627306329.07000005</v>
      </c>
      <c r="T107" s="463">
        <f t="shared" si="29"/>
        <v>10.159465051501313</v>
      </c>
      <c r="V107" s="516"/>
    </row>
    <row r="108" spans="1:23">
      <c r="A108" s="116" t="str">
        <f t="shared" si="25"/>
        <v>412p</v>
      </c>
      <c r="B108" s="587" t="str">
        <f>+VLOOKUP(LEFT($A108,LEN(A108)-1)*1,Master!$D$30:$G$229,4,FALSE)</f>
        <v>Ostala lična primanja</v>
      </c>
      <c r="C108" s="588"/>
      <c r="D108" s="588"/>
      <c r="E108" s="588"/>
      <c r="F108" s="588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28"/>
        <v>19652018.739999998</v>
      </c>
      <c r="T108" s="463">
        <f t="shared" si="29"/>
        <v>0.31827193243287011</v>
      </c>
      <c r="V108" s="516"/>
    </row>
    <row r="109" spans="1:23">
      <c r="A109" s="116" t="str">
        <f t="shared" si="25"/>
        <v>413p</v>
      </c>
      <c r="B109" s="587" t="str">
        <f>+VLOOKUP(LEFT($A109,LEN(A109)-1)*1,Master!$D$30:$G$229,4,FALSE)</f>
        <v>Rashodi za materijal</v>
      </c>
      <c r="C109" s="588"/>
      <c r="D109" s="588"/>
      <c r="E109" s="588"/>
      <c r="F109" s="588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28"/>
        <v>53726729.589999996</v>
      </c>
      <c r="T109" s="463">
        <f t="shared" si="29"/>
        <v>0.8701248597479998</v>
      </c>
      <c r="V109" s="516"/>
    </row>
    <row r="110" spans="1:23">
      <c r="A110" s="116" t="str">
        <f t="shared" si="25"/>
        <v>414p</v>
      </c>
      <c r="B110" s="587" t="str">
        <f>+VLOOKUP(LEFT($A110,LEN(A110)-1)*1,Master!$D$30:$G$229,4,FALSE)</f>
        <v>Rashodi za usluge</v>
      </c>
      <c r="C110" s="588"/>
      <c r="D110" s="588"/>
      <c r="E110" s="588"/>
      <c r="F110" s="588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28"/>
        <v>66414663.019999959</v>
      </c>
      <c r="T110" s="463">
        <f t="shared" si="29"/>
        <v>1.0756107767304759</v>
      </c>
      <c r="V110" s="516"/>
    </row>
    <row r="111" spans="1:23">
      <c r="A111" s="116" t="str">
        <f t="shared" si="25"/>
        <v>415p</v>
      </c>
      <c r="B111" s="587" t="str">
        <f>+VLOOKUP(LEFT($A111,LEN(A111)-1)*1,Master!$D$30:$G$229,4,FALSE)</f>
        <v>Rashodi za tekuće održavanje</v>
      </c>
      <c r="C111" s="588"/>
      <c r="D111" s="588"/>
      <c r="E111" s="588"/>
      <c r="F111" s="588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28"/>
        <v>35579121.740000002</v>
      </c>
      <c r="T111" s="463">
        <f t="shared" si="29"/>
        <v>0.57621743497554501</v>
      </c>
      <c r="V111" s="516"/>
    </row>
    <row r="112" spans="1:23">
      <c r="A112" s="116" t="str">
        <f t="shared" si="25"/>
        <v>416p</v>
      </c>
      <c r="B112" s="587" t="str">
        <f>+VLOOKUP(LEFT($A112,LEN(A112)-1)*1,Master!$D$30:$G$229,4,FALSE)</f>
        <v>Kamate</v>
      </c>
      <c r="C112" s="588"/>
      <c r="D112" s="588"/>
      <c r="E112" s="588"/>
      <c r="F112" s="588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28"/>
        <v>109927809.38000001</v>
      </c>
      <c r="T112" s="463">
        <f t="shared" si="29"/>
        <v>1.7803227639037349</v>
      </c>
      <c r="V112" s="516"/>
    </row>
    <row r="113" spans="1:22">
      <c r="A113" s="116" t="str">
        <f t="shared" si="25"/>
        <v>417p</v>
      </c>
      <c r="B113" s="587" t="str">
        <f>+VLOOKUP(LEFT($A113,LEN(A113)-1)*1,Master!$D$30:$G$229,4,FALSE)</f>
        <v>Renta</v>
      </c>
      <c r="C113" s="588"/>
      <c r="D113" s="588"/>
      <c r="E113" s="588"/>
      <c r="F113" s="588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28"/>
        <v>12254306.269999998</v>
      </c>
      <c r="T113" s="463">
        <f t="shared" si="29"/>
        <v>0.19846315988080193</v>
      </c>
      <c r="V113" s="516"/>
    </row>
    <row r="114" spans="1:22">
      <c r="A114" s="116" t="str">
        <f t="shared" si="25"/>
        <v>418p</v>
      </c>
      <c r="B114" s="587" t="str">
        <f>+VLOOKUP(LEFT($A114,LEN(A114)-1)*1,Master!$D$30:$G$229,4,FALSE)</f>
        <v>Subvencije</v>
      </c>
      <c r="C114" s="588"/>
      <c r="D114" s="588"/>
      <c r="E114" s="588"/>
      <c r="F114" s="588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28"/>
        <v>60973265.960000008</v>
      </c>
      <c r="T114" s="463">
        <f t="shared" si="29"/>
        <v>0.98748527775078565</v>
      </c>
      <c r="V114" s="516"/>
    </row>
    <row r="115" spans="1:22">
      <c r="A115" s="116" t="str">
        <f t="shared" si="25"/>
        <v>419p</v>
      </c>
      <c r="B115" s="587" t="str">
        <f>+VLOOKUP(LEFT($A115,LEN(A115)-1)*1,Master!$D$30:$G$229,4,FALSE)</f>
        <v>Ostali izdaci</v>
      </c>
      <c r="C115" s="588"/>
      <c r="D115" s="588"/>
      <c r="E115" s="588"/>
      <c r="F115" s="588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28"/>
        <v>68454343.420000017</v>
      </c>
      <c r="T115" s="463">
        <f t="shared" si="29"/>
        <v>1.1086441780844105</v>
      </c>
      <c r="V115" s="516"/>
    </row>
    <row r="116" spans="1:22">
      <c r="A116" s="116" t="str">
        <f t="shared" si="25"/>
        <v>42p</v>
      </c>
      <c r="B116" s="583" t="str">
        <f>+VLOOKUP(LEFT($A116,LEN(A116)-1)*1,Master!$D$30:$G$229,4,FALSE)</f>
        <v>Transferi za socijalnu zaštitu</v>
      </c>
      <c r="C116" s="584"/>
      <c r="D116" s="584"/>
      <c r="E116" s="584"/>
      <c r="F116" s="584"/>
      <c r="G116" s="84">
        <f t="shared" ref="G116:R116" si="33">+SUM(G117:G121)</f>
        <v>64631162.970000006</v>
      </c>
      <c r="H116" s="84">
        <f t="shared" si="33"/>
        <v>64593275.310000002</v>
      </c>
      <c r="I116" s="84">
        <f t="shared" si="33"/>
        <v>64593275.430000007</v>
      </c>
      <c r="J116" s="84">
        <f t="shared" si="33"/>
        <v>64693275.430000007</v>
      </c>
      <c r="K116" s="84">
        <f t="shared" si="33"/>
        <v>64693275.430000007</v>
      </c>
      <c r="L116" s="84">
        <f t="shared" si="33"/>
        <v>64793279.390000008</v>
      </c>
      <c r="M116" s="84">
        <f t="shared" si="33"/>
        <v>66194886.530000009</v>
      </c>
      <c r="N116" s="84">
        <f t="shared" si="33"/>
        <v>66197971.850000009</v>
      </c>
      <c r="O116" s="84">
        <f t="shared" si="33"/>
        <v>66197971.850000009</v>
      </c>
      <c r="P116" s="84">
        <f t="shared" si="33"/>
        <v>66197971.760000005</v>
      </c>
      <c r="Q116" s="84">
        <f t="shared" si="33"/>
        <v>66197971.850000009</v>
      </c>
      <c r="R116" s="84">
        <f t="shared" si="33"/>
        <v>66197971.939999998</v>
      </c>
      <c r="S116" s="113">
        <f t="shared" si="28"/>
        <v>785182289.74000001</v>
      </c>
      <c r="T116" s="464">
        <f t="shared" si="29"/>
        <v>12.716326397499433</v>
      </c>
      <c r="V116" s="311"/>
    </row>
    <row r="117" spans="1:22">
      <c r="A117" s="116" t="str">
        <f t="shared" si="25"/>
        <v>421p</v>
      </c>
      <c r="B117" s="587" t="str">
        <f>+VLOOKUP(LEFT($A117,LEN(A117)-1)*1,Master!$D$30:$G$229,4,FALSE)</f>
        <v>Prava iz oblasti socijalne zaštite</v>
      </c>
      <c r="C117" s="588"/>
      <c r="D117" s="588"/>
      <c r="E117" s="588"/>
      <c r="F117" s="588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28"/>
        <v>190160811.71000004</v>
      </c>
      <c r="T117" s="463">
        <f t="shared" si="29"/>
        <v>3.0797268116153282</v>
      </c>
      <c r="V117" s="516"/>
    </row>
    <row r="118" spans="1:22">
      <c r="A118" s="116" t="str">
        <f t="shared" ref="A118:A134" si="34">+CONCATENATE(A42,"p")</f>
        <v>422p</v>
      </c>
      <c r="B118" s="587" t="str">
        <f>+VLOOKUP(LEFT($A118,LEN(A118)-1)*1,Master!$D$30:$G$229,4,FALSE)</f>
        <v>Sredstva za tehnološke viškove</v>
      </c>
      <c r="C118" s="588"/>
      <c r="D118" s="588"/>
      <c r="E118" s="588"/>
      <c r="F118" s="588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28"/>
        <v>28611075.999999996</v>
      </c>
      <c r="T118" s="463">
        <f t="shared" si="29"/>
        <v>0.46336727885207135</v>
      </c>
      <c r="V118" s="516"/>
    </row>
    <row r="119" spans="1:22">
      <c r="A119" s="116" t="str">
        <f t="shared" si="34"/>
        <v>423p</v>
      </c>
      <c r="B119" s="587" t="str">
        <f>+VLOOKUP(LEFT($A119,LEN(A119)-1)*1,Master!$D$30:$G$229,4,FALSE)</f>
        <v>Prava iz oblasti penzijskog i invalidskog osiguranja</v>
      </c>
      <c r="C119" s="588"/>
      <c r="D119" s="588"/>
      <c r="E119" s="588"/>
      <c r="F119" s="588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28"/>
        <v>529750402.03000009</v>
      </c>
      <c r="T119" s="463">
        <f t="shared" si="29"/>
        <v>8.5795096367376029</v>
      </c>
      <c r="V119" s="516"/>
    </row>
    <row r="120" spans="1:22">
      <c r="A120" s="116" t="str">
        <f t="shared" si="34"/>
        <v>424p</v>
      </c>
      <c r="B120" s="587" t="str">
        <f>+VLOOKUP(LEFT($A120,LEN(A120)-1)*1,Master!$D$30:$G$229,4,FALSE)</f>
        <v>Ostala prava iz oblasti zdravstvene zaštite</v>
      </c>
      <c r="C120" s="588"/>
      <c r="D120" s="588"/>
      <c r="E120" s="588"/>
      <c r="F120" s="588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28"/>
        <v>21060000</v>
      </c>
      <c r="T120" s="463">
        <f t="shared" si="29"/>
        <v>0.34107472548829071</v>
      </c>
      <c r="V120" s="516"/>
    </row>
    <row r="121" spans="1:22">
      <c r="A121" s="116" t="str">
        <f t="shared" si="34"/>
        <v>425p</v>
      </c>
      <c r="B121" s="587" t="str">
        <f>+VLOOKUP(LEFT($A121,LEN(A121)-1)*1,Master!$D$30:$G$229,4,FALSE)</f>
        <v>Ostala prava iz zdravstvenog osiguranja</v>
      </c>
      <c r="C121" s="588"/>
      <c r="D121" s="588"/>
      <c r="E121" s="588"/>
      <c r="F121" s="588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28"/>
        <v>15600000</v>
      </c>
      <c r="T121" s="463">
        <f t="shared" si="29"/>
        <v>0.25264794480614128</v>
      </c>
      <c r="V121" s="516"/>
    </row>
    <row r="122" spans="1:22">
      <c r="A122" s="116" t="str">
        <f t="shared" si="34"/>
        <v>43p</v>
      </c>
      <c r="B122" s="585" t="str">
        <f>+VLOOKUP(LEFT($A122,LEN(A122)-1)*1,Master!$D$30:$G$229,4,FALSE)</f>
        <v xml:space="preserve">Transferi institucijama, pojedincima, nevladinom i javnom sektoru </v>
      </c>
      <c r="C122" s="586"/>
      <c r="D122" s="586"/>
      <c r="E122" s="586"/>
      <c r="F122" s="586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29"/>
        <v>5.7077314491626998</v>
      </c>
      <c r="V122" s="516"/>
    </row>
    <row r="123" spans="1:22">
      <c r="A123" s="116" t="str">
        <f t="shared" si="34"/>
        <v>44p</v>
      </c>
      <c r="B123" s="585" t="str">
        <f>+VLOOKUP(LEFT($A123,LEN(A123)-1)*1,Master!$D$30:$G$229,4,FALSE)</f>
        <v>Kapitalni izdaci</v>
      </c>
      <c r="C123" s="586"/>
      <c r="D123" s="586"/>
      <c r="E123" s="586"/>
      <c r="F123" s="586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29"/>
        <v>4.0663124239626862</v>
      </c>
      <c r="U123" s="311"/>
      <c r="V123" s="516"/>
    </row>
    <row r="124" spans="1:22">
      <c r="A124" s="116" t="str">
        <f t="shared" si="34"/>
        <v>451p</v>
      </c>
      <c r="B124" s="577" t="str">
        <f>+VLOOKUP(LEFT($A124,LEN(A124)-1)*1,Master!$D$30:$G$229,4,FALSE)</f>
        <v>Pozajmice i krediti</v>
      </c>
      <c r="C124" s="578"/>
      <c r="D124" s="578"/>
      <c r="E124" s="578"/>
      <c r="F124" s="578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28"/>
        <v>4524007</v>
      </c>
      <c r="T124" s="463">
        <f t="shared" si="29"/>
        <v>7.3268017361448515E-2</v>
      </c>
      <c r="U124" s="311"/>
      <c r="V124" s="516"/>
    </row>
    <row r="125" spans="1:22">
      <c r="A125" s="116" t="str">
        <f t="shared" si="34"/>
        <v>47p</v>
      </c>
      <c r="B125" s="577" t="str">
        <f>+VLOOKUP(LEFT($A125,LEN(A125)-1)*1,Master!$D$30:$G$229,4,FALSE)</f>
        <v>Rezerve</v>
      </c>
      <c r="C125" s="578"/>
      <c r="D125" s="578"/>
      <c r="E125" s="578"/>
      <c r="F125" s="578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28"/>
        <v>38847999</v>
      </c>
      <c r="T125" s="463">
        <f t="shared" si="29"/>
        <v>0.62915814789621993</v>
      </c>
      <c r="U125" s="311"/>
      <c r="V125" s="516"/>
    </row>
    <row r="126" spans="1:22">
      <c r="A126" s="116" t="str">
        <f t="shared" si="34"/>
        <v>462p</v>
      </c>
      <c r="B126" s="577" t="str">
        <f>+VLOOKUP(LEFT($A126,LEN(A126)-1)*1,Master!$D$30:$G$229,4,FALSE)</f>
        <v>Otplata garancija</v>
      </c>
      <c r="C126" s="578"/>
      <c r="D126" s="578"/>
      <c r="E126" s="578"/>
      <c r="F126" s="578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28"/>
        <v>1.9999999999999998</v>
      </c>
      <c r="T126" s="463">
        <f t="shared" si="29"/>
        <v>3.23907621546335E-8</v>
      </c>
      <c r="U126" s="311"/>
      <c r="V126" s="516"/>
    </row>
    <row r="127" spans="1:22">
      <c r="A127" s="117" t="str">
        <f t="shared" si="34"/>
        <v>4630p</v>
      </c>
      <c r="B127" s="577" t="str">
        <f>+VLOOKUP(LEFT($A127,LEN(A127)-1)*1,Master!$D$30:$G$229,4,FALSE)</f>
        <v>Otplata obaveza iz prethodnog perioda</v>
      </c>
      <c r="C127" s="578"/>
      <c r="D127" s="578"/>
      <c r="E127" s="578"/>
      <c r="F127" s="578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29"/>
        <v>0.44427413370906715</v>
      </c>
      <c r="U127" s="311"/>
      <c r="V127" s="516"/>
    </row>
    <row r="128" spans="1:22" ht="13.5" thickBot="1">
      <c r="A128" s="116" t="str">
        <f t="shared" si="34"/>
        <v>1005p</v>
      </c>
      <c r="B128" s="577" t="str">
        <f>+VLOOKUP(LEFT($A128,LEN(A128)-1)*1,Master!$D$30:$G$229,4,FALSE)</f>
        <v>Neto povećanje obaveza</v>
      </c>
      <c r="C128" s="578"/>
      <c r="D128" s="578"/>
      <c r="E128" s="578"/>
      <c r="F128" s="578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9"/>
        <v>0</v>
      </c>
      <c r="U128" s="311"/>
      <c r="V128" s="311"/>
    </row>
    <row r="129" spans="1:22" ht="13.5" thickBot="1">
      <c r="A129" s="117" t="str">
        <f t="shared" si="34"/>
        <v>1000p</v>
      </c>
      <c r="B129" s="579" t="str">
        <f>+VLOOKUP(LEFT($A129,LEN(A129)-1)*1,Master!$D$30:$G$226,4,FALSE)</f>
        <v>Suficit / deficit</v>
      </c>
      <c r="C129" s="580"/>
      <c r="D129" s="580"/>
      <c r="E129" s="580"/>
      <c r="F129" s="580"/>
      <c r="G129" s="93">
        <f t="shared" ref="G129:R129" si="35">+G86-G105</f>
        <v>-22397133.607592493</v>
      </c>
      <c r="H129" s="93">
        <f t="shared" si="35"/>
        <v>-67071345.814519361</v>
      </c>
      <c r="I129" s="93">
        <f t="shared" si="35"/>
        <v>-2316292.9897459149</v>
      </c>
      <c r="J129" s="93">
        <f t="shared" si="35"/>
        <v>-17885734.609765023</v>
      </c>
      <c r="K129" s="93">
        <f t="shared" si="35"/>
        <v>-41471663.368712515</v>
      </c>
      <c r="L129" s="93">
        <f t="shared" si="35"/>
        <v>-27277595.668724924</v>
      </c>
      <c r="M129" s="93">
        <f t="shared" si="35"/>
        <v>-55367145.076071084</v>
      </c>
      <c r="N129" s="93">
        <f t="shared" si="35"/>
        <v>-6467668.1569713652</v>
      </c>
      <c r="O129" s="93">
        <f t="shared" si="35"/>
        <v>-27310745.93416518</v>
      </c>
      <c r="P129" s="93">
        <f t="shared" si="35"/>
        <v>-41600384.900887519</v>
      </c>
      <c r="Q129" s="93">
        <f t="shared" si="35"/>
        <v>-46834285.210350275</v>
      </c>
      <c r="R129" s="93">
        <f t="shared" si="35"/>
        <v>-10316938.668598384</v>
      </c>
      <c r="S129" s="106">
        <f t="shared" si="28"/>
        <v>-366316934.00610411</v>
      </c>
      <c r="T129" s="469">
        <f t="shared" si="29"/>
        <v>-5.932642341303147</v>
      </c>
      <c r="U129" s="311"/>
      <c r="V129" s="311"/>
    </row>
    <row r="130" spans="1:22" ht="13.5" thickBot="1">
      <c r="A130" s="117" t="str">
        <f t="shared" si="34"/>
        <v>1001p</v>
      </c>
      <c r="B130" s="581" t="str">
        <f>+VLOOKUP(LEFT($A130,LEN(A130)-1)*1,Master!$D$30:$G$226,4,FALSE)</f>
        <v>Primarni suficit/deficit</v>
      </c>
      <c r="C130" s="582"/>
      <c r="D130" s="582"/>
      <c r="E130" s="582"/>
      <c r="F130" s="582"/>
      <c r="G130" s="94">
        <f>+G129+G112</f>
        <v>-16955013.227592494</v>
      </c>
      <c r="H130" s="94">
        <f t="shared" ref="H130:R130" si="36">+H129+H112</f>
        <v>-64630035.204519361</v>
      </c>
      <c r="I130" s="94">
        <f t="shared" si="36"/>
        <v>-314464.45974591444</v>
      </c>
      <c r="J130" s="94">
        <f t="shared" si="36"/>
        <v>6704359.1802349798</v>
      </c>
      <c r="K130" s="94">
        <f t="shared" si="36"/>
        <v>-30861356.008712515</v>
      </c>
      <c r="L130" s="94">
        <f t="shared" si="36"/>
        <v>-24201043.138724923</v>
      </c>
      <c r="M130" s="94">
        <f t="shared" si="36"/>
        <v>-45628256.98607108</v>
      </c>
      <c r="N130" s="94">
        <f t="shared" si="36"/>
        <v>-3687920.8469713656</v>
      </c>
      <c r="O130" s="94">
        <f t="shared" si="36"/>
        <v>-25434319.32416518</v>
      </c>
      <c r="P130" s="94">
        <f t="shared" si="36"/>
        <v>-26802095.280887522</v>
      </c>
      <c r="Q130" s="94">
        <f t="shared" si="36"/>
        <v>-38003149.750350274</v>
      </c>
      <c r="R130" s="94">
        <f t="shared" si="36"/>
        <v>13424170.421401616</v>
      </c>
      <c r="S130" s="106">
        <f t="shared" si="28"/>
        <v>-256389124.626104</v>
      </c>
      <c r="T130" s="469">
        <f t="shared" si="29"/>
        <v>-4.1523195773994104</v>
      </c>
      <c r="U130" s="311"/>
      <c r="V130" s="311"/>
    </row>
    <row r="131" spans="1:22">
      <c r="A131" s="117" t="str">
        <f t="shared" si="34"/>
        <v>46p</v>
      </c>
      <c r="B131" s="583" t="str">
        <f>+VLOOKUP(LEFT($A131,LEN(A131)-1)*1,Master!$D$30:$G$226,4,FALSE)</f>
        <v>Otplata dugova</v>
      </c>
      <c r="C131" s="584"/>
      <c r="D131" s="584"/>
      <c r="E131" s="584"/>
      <c r="F131" s="584"/>
      <c r="G131" s="84">
        <f>+SUM(G132:G133)</f>
        <v>30842089.259999998</v>
      </c>
      <c r="H131" s="84">
        <f t="shared" ref="H131:R131" si="37">+SUM(H132:H133)</f>
        <v>6803111.790000001</v>
      </c>
      <c r="I131" s="84">
        <f t="shared" si="37"/>
        <v>9004349.7899999991</v>
      </c>
      <c r="J131" s="84">
        <f t="shared" si="37"/>
        <v>7976370.0700000003</v>
      </c>
      <c r="K131" s="84">
        <f t="shared" si="37"/>
        <v>92780108.99000001</v>
      </c>
      <c r="L131" s="84">
        <f t="shared" si="37"/>
        <v>14226825.530000001</v>
      </c>
      <c r="M131" s="483">
        <f t="shared" ref="M131" si="38">+SUM(M132:M133)</f>
        <v>40968432.359999999</v>
      </c>
      <c r="N131" s="84">
        <f t="shared" si="37"/>
        <v>9320542.290000001</v>
      </c>
      <c r="O131" s="84">
        <f t="shared" si="37"/>
        <v>19467352.800000001</v>
      </c>
      <c r="P131" s="84">
        <f t="shared" si="37"/>
        <v>19749872.740000002</v>
      </c>
      <c r="Q131" s="84">
        <f t="shared" si="37"/>
        <v>64752298.200000003</v>
      </c>
      <c r="R131" s="84">
        <f t="shared" si="37"/>
        <v>22194542.870000001</v>
      </c>
      <c r="S131" s="104">
        <f t="shared" si="28"/>
        <v>338085896.69000006</v>
      </c>
      <c r="T131" s="470">
        <f t="shared" si="29"/>
        <v>5.4754299337608927</v>
      </c>
      <c r="U131" s="311"/>
      <c r="V131" s="311"/>
    </row>
    <row r="132" spans="1:22">
      <c r="A132" s="117" t="str">
        <f t="shared" si="34"/>
        <v>4611p</v>
      </c>
      <c r="B132" s="575" t="str">
        <f>+VLOOKUP(LEFT($A132,LEN(A132)-1)*1,Master!$D$30:$G$226,4,FALSE)</f>
        <v>Otplata hartija od vrijednosti i kredita rezidentima</v>
      </c>
      <c r="C132" s="576"/>
      <c r="D132" s="576"/>
      <c r="E132" s="576"/>
      <c r="F132" s="576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28"/>
        <v>96555896.690000013</v>
      </c>
      <c r="T132" s="471">
        <f t="shared" si="29"/>
        <v>1.5637595421565773</v>
      </c>
      <c r="U132" s="311"/>
      <c r="V132" s="311"/>
    </row>
    <row r="133" spans="1:22" ht="13.5" thickBot="1">
      <c r="A133" s="117" t="str">
        <f t="shared" si="34"/>
        <v>4612p</v>
      </c>
      <c r="B133" s="577" t="str">
        <f>+VLOOKUP(LEFT($A133,LEN(A133)-1)*1,Master!$D$30:$G$226,4,FALSE)</f>
        <v>Otplata hartija od vrijednosti i kredita nerezidentima</v>
      </c>
      <c r="C133" s="578"/>
      <c r="D133" s="578"/>
      <c r="E133" s="578"/>
      <c r="F133" s="578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28"/>
        <v>241530000</v>
      </c>
      <c r="T133" s="471">
        <f t="shared" si="29"/>
        <v>3.9116703916043147</v>
      </c>
      <c r="U133" s="311"/>
      <c r="V133" s="311"/>
    </row>
    <row r="134" spans="1:22" ht="13.5" thickBot="1">
      <c r="A134" s="117" t="str">
        <f t="shared" si="34"/>
        <v>4418p</v>
      </c>
      <c r="B134" s="571" t="str">
        <f>+VLOOKUP(LEFT($A134,LEN(A134)-1)*1,Master!$D$30:$G$226,4,FALSE)</f>
        <v>Izdaci za kupovinu hartija od vrijednosti</v>
      </c>
      <c r="C134" s="572"/>
      <c r="D134" s="572"/>
      <c r="E134" s="572"/>
      <c r="F134" s="572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28"/>
        <v>779000</v>
      </c>
      <c r="T134" s="478">
        <f t="shared" si="29"/>
        <v>1.2616201859229747E-2</v>
      </c>
      <c r="U134" s="311"/>
      <c r="V134" s="311"/>
    </row>
    <row r="135" spans="1:22" ht="13.5" thickBot="1">
      <c r="A135" s="117" t="str">
        <f>+CONCATENATE(A60,"p")</f>
        <v>1002p</v>
      </c>
      <c r="B135" s="573" t="str">
        <f>+VLOOKUP(LEFT($A135,LEN(A135)-1)*1,Master!$D$30:$G$226,4,FALSE)</f>
        <v>Nedostajuća sredstva</v>
      </c>
      <c r="C135" s="574"/>
      <c r="D135" s="574"/>
      <c r="E135" s="574"/>
      <c r="F135" s="574"/>
      <c r="G135" s="77">
        <f t="shared" ref="G135:R135" si="39">+G129-G131-G134</f>
        <v>-53245889.537592493</v>
      </c>
      <c r="H135" s="77">
        <f t="shared" si="39"/>
        <v>-73881124.274519369</v>
      </c>
      <c r="I135" s="77">
        <f t="shared" si="39"/>
        <v>-11706309.449745914</v>
      </c>
      <c r="J135" s="77">
        <f t="shared" si="39"/>
        <v>-26168771.349765025</v>
      </c>
      <c r="K135" s="77">
        <f t="shared" si="39"/>
        <v>-134258439.02871251</v>
      </c>
      <c r="L135" s="77">
        <f t="shared" si="39"/>
        <v>-41511087.848724924</v>
      </c>
      <c r="M135" s="77">
        <f t="shared" si="39"/>
        <v>-96345577.436071083</v>
      </c>
      <c r="N135" s="77">
        <f t="shared" si="39"/>
        <v>-15798210.446971366</v>
      </c>
      <c r="O135" s="77">
        <f t="shared" si="39"/>
        <v>-46788098.734165177</v>
      </c>
      <c r="P135" s="77">
        <f t="shared" si="39"/>
        <v>-61360257.640887521</v>
      </c>
      <c r="Q135" s="77">
        <f t="shared" si="39"/>
        <v>-111596583.41035028</v>
      </c>
      <c r="R135" s="77">
        <f t="shared" si="39"/>
        <v>-32521481.538598385</v>
      </c>
      <c r="S135" s="109">
        <f t="shared" si="28"/>
        <v>-705181830.69610417</v>
      </c>
      <c r="T135" s="473">
        <f t="shared" si="29"/>
        <v>-11.420688476923269</v>
      </c>
      <c r="U135" s="311"/>
      <c r="V135" s="311"/>
    </row>
    <row r="136" spans="1:22" ht="13.5" thickBot="1">
      <c r="A136" s="117" t="str">
        <f>+CONCATENATE(A61,"p")</f>
        <v>1003p</v>
      </c>
      <c r="B136" s="571" t="str">
        <f>+VLOOKUP(LEFT($A136,LEN(A136)-1)*1,Master!$D$30:$G$226,4,FALSE)</f>
        <v>Finansiranje</v>
      </c>
      <c r="C136" s="572"/>
      <c r="D136" s="572"/>
      <c r="E136" s="572"/>
      <c r="F136" s="572"/>
      <c r="G136" s="93">
        <f t="shared" ref="G136:R136" si="40">+SUM(G137:G140)</f>
        <v>53245889.537592493</v>
      </c>
      <c r="H136" s="93">
        <f t="shared" si="40"/>
        <v>73881124.274519369</v>
      </c>
      <c r="I136" s="93">
        <f t="shared" si="40"/>
        <v>11706309.449745908</v>
      </c>
      <c r="J136" s="93">
        <f t="shared" si="40"/>
        <v>26168771.349765025</v>
      </c>
      <c r="K136" s="93">
        <f t="shared" si="40"/>
        <v>134258439.02871251</v>
      </c>
      <c r="L136" s="93">
        <f t="shared" si="40"/>
        <v>41511087.848724924</v>
      </c>
      <c r="M136" s="93">
        <f t="shared" si="40"/>
        <v>96345577.436071083</v>
      </c>
      <c r="N136" s="93">
        <f t="shared" si="40"/>
        <v>15798210.446971366</v>
      </c>
      <c r="O136" s="93">
        <f t="shared" si="40"/>
        <v>46788098.734165192</v>
      </c>
      <c r="P136" s="93">
        <f t="shared" si="40"/>
        <v>61360257.640887521</v>
      </c>
      <c r="Q136" s="93">
        <f t="shared" si="40"/>
        <v>111596583.41035028</v>
      </c>
      <c r="R136" s="93">
        <f t="shared" si="40"/>
        <v>32521481.538598385</v>
      </c>
      <c r="S136" s="110">
        <f t="shared" si="28"/>
        <v>705181830.69610417</v>
      </c>
      <c r="T136" s="474">
        <f t="shared" si="29"/>
        <v>11.420688476923269</v>
      </c>
      <c r="U136" s="311"/>
      <c r="V136" s="311"/>
    </row>
    <row r="137" spans="1:22">
      <c r="A137" s="117" t="str">
        <f>+CONCATENATE(A62,"p")</f>
        <v>7511p</v>
      </c>
      <c r="B137" s="575" t="str">
        <f>+VLOOKUP(LEFT($A137,LEN(A137)-1)*1,Master!$D$30:$G$226,4,FALSE)</f>
        <v>Pozajmice i krediti od domaćih izvora</v>
      </c>
      <c r="C137" s="576"/>
      <c r="D137" s="576"/>
      <c r="E137" s="576"/>
      <c r="F137" s="576"/>
      <c r="G137" s="96">
        <v>0</v>
      </c>
      <c r="H137" s="96">
        <v>0</v>
      </c>
      <c r="I137" s="96">
        <v>100000000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8"/>
        <v>100000000</v>
      </c>
      <c r="T137" s="471">
        <f t="shared" si="29"/>
        <v>1.6195381077316748</v>
      </c>
      <c r="U137" s="311"/>
      <c r="V137" s="311"/>
    </row>
    <row r="138" spans="1:22">
      <c r="A138" s="117" t="str">
        <f>+CONCATENATE(A63,"p")</f>
        <v>7512p</v>
      </c>
      <c r="B138" s="577" t="str">
        <f>+VLOOKUP(LEFT($A138,LEN(A138)-1)*1,Master!$D$30:$G$226,4,FALSE)</f>
        <v>Pozajmice i krediti od inostranih izvora</v>
      </c>
      <c r="C138" s="578"/>
      <c r="D138" s="578"/>
      <c r="E138" s="578"/>
      <c r="F138" s="578"/>
      <c r="G138" s="96">
        <v>0</v>
      </c>
      <c r="H138" s="96">
        <v>0</v>
      </c>
      <c r="I138" s="96">
        <v>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517">
        <v>499181830.68901968</v>
      </c>
      <c r="P138" s="96">
        <v>0</v>
      </c>
      <c r="Q138" s="96">
        <v>0</v>
      </c>
      <c r="R138" s="96">
        <v>0</v>
      </c>
      <c r="S138" s="103">
        <f t="shared" si="28"/>
        <v>499181830.68901968</v>
      </c>
      <c r="T138" s="471">
        <f t="shared" si="29"/>
        <v>8.084439974881283</v>
      </c>
      <c r="U138" s="311"/>
      <c r="V138" s="311"/>
    </row>
    <row r="139" spans="1:22">
      <c r="A139" s="117" t="str">
        <f>+CONCATENATE(A64,"p")</f>
        <v>72p</v>
      </c>
      <c r="B139" s="577" t="str">
        <f>+VLOOKUP(LEFT($A139,LEN(A139)-1)*1,Master!$D$30:$G$226,4,FALSE)</f>
        <v>Primici od prodaje imovine</v>
      </c>
      <c r="C139" s="578"/>
      <c r="D139" s="578"/>
      <c r="E139" s="578"/>
      <c r="F139" s="578"/>
      <c r="G139" s="96">
        <v>500000</v>
      </c>
      <c r="H139" s="96">
        <v>500000</v>
      </c>
      <c r="I139" s="96">
        <v>500000</v>
      </c>
      <c r="J139" s="96">
        <v>500000</v>
      </c>
      <c r="K139" s="96">
        <v>500000</v>
      </c>
      <c r="L139" s="96">
        <v>500000</v>
      </c>
      <c r="M139" s="96">
        <v>500000</v>
      </c>
      <c r="N139" s="96">
        <v>500000</v>
      </c>
      <c r="O139" s="96">
        <v>500000</v>
      </c>
      <c r="P139" s="96">
        <v>500000</v>
      </c>
      <c r="Q139" s="96">
        <v>500000</v>
      </c>
      <c r="R139" s="96">
        <v>500000</v>
      </c>
      <c r="S139" s="103">
        <f t="shared" si="28"/>
        <v>6000000</v>
      </c>
      <c r="T139" s="471">
        <f t="shared" si="29"/>
        <v>9.7172286463900498E-2</v>
      </c>
      <c r="U139" s="311"/>
      <c r="V139" s="311"/>
    </row>
    <row r="140" spans="1:22" ht="13.5" thickBot="1">
      <c r="A140" s="117" t="str">
        <f t="shared" ref="A140" si="41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>-G135-SUM(G137:G139)</f>
        <v>52745889.537592493</v>
      </c>
      <c r="H140" s="97">
        <f t="shared" ref="H140:R140" si="42">-H135-SUM(H137:H139)</f>
        <v>73381124.274519369</v>
      </c>
      <c r="I140" s="97">
        <f t="shared" si="42"/>
        <v>-88793690.550254092</v>
      </c>
      <c r="J140" s="97">
        <f t="shared" si="42"/>
        <v>25668771.349765025</v>
      </c>
      <c r="K140" s="97">
        <f t="shared" si="42"/>
        <v>133758439.02871251</v>
      </c>
      <c r="L140" s="97">
        <f t="shared" si="42"/>
        <v>41011087.848724924</v>
      </c>
      <c r="M140" s="97">
        <f t="shared" si="42"/>
        <v>95845577.436071083</v>
      </c>
      <c r="N140" s="97">
        <f t="shared" si="42"/>
        <v>15298210.446971366</v>
      </c>
      <c r="O140" s="97">
        <f t="shared" si="42"/>
        <v>-452893731.95485449</v>
      </c>
      <c r="P140" s="97">
        <f t="shared" si="42"/>
        <v>60860257.640887521</v>
      </c>
      <c r="Q140" s="97">
        <f t="shared" si="42"/>
        <v>111096583.41035028</v>
      </c>
      <c r="R140" s="97">
        <f t="shared" si="42"/>
        <v>32021481.538598385</v>
      </c>
      <c r="S140" s="105">
        <f>+SUM(G140:R140)</f>
        <v>100000000.00708437</v>
      </c>
      <c r="T140" s="475">
        <f t="shared" si="29"/>
        <v>1.6195381078464091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sheetProtection algorithmName="SHA-512" hashValue="yrQ7QJuKsaT9PkFRu0UATJLicbyKn1yKsCwBNVsH+oSYtfDvyEfDmXs+arW6GuJC4GPZn5McXbKTMbm9hOkkdw==" saltValue="wS7GqzuQDnFFih1LDMYmMA==" spinCount="100000" sheet="1" objects="1" scenarios="1"/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8"/>
  <sheetViews>
    <sheetView zoomScaleNormal="100" workbookViewId="0">
      <pane ySplit="1" topLeftCell="A48" activePane="bottomLeft" state="frozen"/>
      <selection pane="bottomLeft" activeCell="G65" sqref="G65:K65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3.453125" style="258" customWidth="1"/>
    <col min="7" max="7" width="12" style="258" customWidth="1"/>
    <col min="8" max="8" width="12.26953125" style="258" customWidth="1"/>
    <col min="9" max="9" width="10.7265625" style="258" customWidth="1"/>
    <col min="10" max="10" width="14.453125" style="258" customWidth="1"/>
    <col min="11" max="11" width="10.7265625" style="258" customWidth="1"/>
    <col min="12" max="12" width="12.26953125" style="258" customWidth="1"/>
    <col min="13" max="14" width="10.7265625" style="258" customWidth="1"/>
    <col min="15" max="16" width="12.26953125" style="258" customWidth="1"/>
    <col min="17" max="17" width="15.453125" style="258" customWidth="1"/>
    <col min="18" max="18" width="10.7265625" style="258" customWidth="1"/>
    <col min="19" max="19" width="13.26953125" style="258" customWidth="1"/>
    <col min="20" max="20" width="10.7265625" style="258" customWidth="1"/>
    <col min="21" max="21" width="16.81640625" style="291" bestFit="1" customWidth="1"/>
    <col min="22" max="22" width="15.81640625" style="258" bestFit="1" customWidth="1"/>
    <col min="23" max="23" width="17.54296875" style="258" customWidth="1"/>
    <col min="24" max="16384" width="9.179687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4.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2022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5796761000</v>
      </c>
    </row>
    <row r="8" spans="1:23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3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1" t="str">
        <f>+VLOOKUP($A10,Master!$D$30:$G$226,4,FALSE)</f>
        <v>Prihodi budžeta</v>
      </c>
      <c r="C10" s="532"/>
      <c r="D10" s="532"/>
      <c r="E10" s="532"/>
      <c r="F10" s="532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25" t="str">
        <f>+VLOOKUP($A19,Master!$D$30:$G$226,4,FALSE)</f>
        <v>Doprinosi</v>
      </c>
      <c r="C19" s="526"/>
      <c r="D19" s="526"/>
      <c r="E19" s="526"/>
      <c r="F19" s="526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25" t="str">
        <f>+VLOOKUP($A28,Master!$D$30:$G$226,4,FALSE)</f>
        <v>Donacije i transferi</v>
      </c>
      <c r="C28" s="526"/>
      <c r="D28" s="526"/>
      <c r="E28" s="526"/>
      <c r="F28" s="526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23" t="str">
        <f>+VLOOKUP($A39,Master!$D$30:$G$226,4,FALSE)</f>
        <v>Ostali izdaci</v>
      </c>
      <c r="C39" s="524"/>
      <c r="D39" s="524"/>
      <c r="E39" s="524"/>
      <c r="F39" s="524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33" t="str">
        <f>+VLOOKUP($A59,Master!$D$30:$G$226,4,FALSE)</f>
        <v>Pozajmice i krediti</v>
      </c>
      <c r="C59" s="534"/>
      <c r="D59" s="534"/>
      <c r="E59" s="534"/>
      <c r="F59" s="534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67" t="str">
        <f>+VLOOKUP($A60,Master!$D$30:$G$226,4,FALSE)</f>
        <v>Nedostajuća sredstva</v>
      </c>
      <c r="C60" s="568"/>
      <c r="D60" s="568"/>
      <c r="E60" s="568"/>
      <c r="F60" s="568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31" t="str">
        <f>+VLOOKUP($A61,Master!$D$30:$G$226,4,FALSE)</f>
        <v>Finansiranje</v>
      </c>
      <c r="C61" s="532"/>
      <c r="D61" s="532"/>
      <c r="E61" s="532"/>
      <c r="F61" s="532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65" t="str">
        <f>+VLOOKUP($A62,Master!$D$30:$G$226,4,FALSE)</f>
        <v>Pozajmice i krediti od domaćih izvora</v>
      </c>
      <c r="C62" s="566"/>
      <c r="D62" s="566"/>
      <c r="E62" s="566"/>
      <c r="F62" s="566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41" t="str">
        <f>+VLOOKUP($A64,Master!$D$30:$G$226,4,FALSE)</f>
        <v>Primici od prodaje imovine</v>
      </c>
      <c r="C64" s="542"/>
      <c r="D64" s="542"/>
      <c r="E64" s="542"/>
      <c r="F64" s="542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41" t="s">
        <v>101</v>
      </c>
      <c r="C65" s="542"/>
      <c r="D65" s="542"/>
      <c r="E65" s="542"/>
      <c r="F65" s="542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597" t="str">
        <f>+Master!G253</f>
        <v>Plan ostvarenja budžeta</v>
      </c>
      <c r="C83" s="598"/>
      <c r="D83" s="598"/>
      <c r="E83" s="598"/>
      <c r="F83" s="598"/>
      <c r="G83" s="605">
        <v>2022</v>
      </c>
      <c r="H83" s="606"/>
      <c r="I83" s="606"/>
      <c r="J83" s="606"/>
      <c r="K83" s="606"/>
      <c r="L83" s="606"/>
      <c r="M83" s="606"/>
      <c r="N83" s="606"/>
      <c r="O83" s="606"/>
      <c r="P83" s="606"/>
      <c r="Q83" s="606"/>
      <c r="R83" s="607"/>
      <c r="S83" s="107" t="str">
        <f>+S7</f>
        <v>BDP</v>
      </c>
      <c r="T83" s="108">
        <v>5700400000</v>
      </c>
    </row>
    <row r="84" spans="1:26" ht="15.75" customHeight="1">
      <c r="B84" s="599"/>
      <c r="C84" s="600"/>
      <c r="D84" s="600"/>
      <c r="E84" s="600"/>
      <c r="F84" s="601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605" t="str">
        <f>+Master!G247</f>
        <v>Jan - Dec</v>
      </c>
      <c r="T84" s="607">
        <f>+T8</f>
        <v>0</v>
      </c>
    </row>
    <row r="85" spans="1:26" ht="13.5" thickBot="1">
      <c r="B85" s="602"/>
      <c r="C85" s="603"/>
      <c r="D85" s="603"/>
      <c r="E85" s="603"/>
      <c r="F85" s="604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71" t="str">
        <f>+VLOOKUP(LEFT($A86,LEN(A86)-1)*1,Master!$D$30:$G$226,4,FALSE)</f>
        <v>Prihodi budžeta</v>
      </c>
      <c r="C86" s="572"/>
      <c r="D86" s="572"/>
      <c r="E86" s="572"/>
      <c r="F86" s="572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595" t="str">
        <f>+VLOOKUP(LEFT($A87,LEN(A87)-1)*1,Master!$D$30:$G$226,4,FALSE)</f>
        <v>Porezi</v>
      </c>
      <c r="C87" s="596"/>
      <c r="D87" s="596"/>
      <c r="E87" s="596"/>
      <c r="F87" s="596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87" t="str">
        <f>+VLOOKUP(LEFT($A88,LEN(A88)-1)*1,Master!$D$30:$G$229,4,FALSE)</f>
        <v>Porez na dohodak fizičkih lica</v>
      </c>
      <c r="C88" s="588"/>
      <c r="D88" s="588"/>
      <c r="E88" s="588"/>
      <c r="F88" s="588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87" t="str">
        <f>+VLOOKUP(LEFT($A89,LEN(A89)-1)*1,Master!$D$30:$G$229,4,FALSE)</f>
        <v>Porez na dobit pravnih lica</v>
      </c>
      <c r="C89" s="588"/>
      <c r="D89" s="588"/>
      <c r="E89" s="588"/>
      <c r="F89" s="588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87" t="str">
        <f>+VLOOKUP(LEFT($A90,LEN(A90)-1)*1,Master!$D$30:$G$229,4,FALSE)</f>
        <v>Porez na promet nepokretnosti</v>
      </c>
      <c r="C90" s="588"/>
      <c r="D90" s="588"/>
      <c r="E90" s="588"/>
      <c r="F90" s="588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87" t="str">
        <f>+VLOOKUP(LEFT($A91,LEN(A91)-1)*1,Master!$D$30:$G$229,4,FALSE)</f>
        <v>Porez na dodatu vrijednost</v>
      </c>
      <c r="C91" s="588"/>
      <c r="D91" s="588"/>
      <c r="E91" s="588"/>
      <c r="F91" s="588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87" t="str">
        <f>+VLOOKUP(LEFT($A92,LEN(A92)-1)*1,Master!$D$30:$G$229,4,FALSE)</f>
        <v>Akcize</v>
      </c>
      <c r="C92" s="588"/>
      <c r="D92" s="588"/>
      <c r="E92" s="588"/>
      <c r="F92" s="588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87" t="str">
        <f>+VLOOKUP(LEFT($A93,LEN(A93)-1)*1,Master!$D$30:$G$229,4,FALSE)</f>
        <v>Porez na međunarodnu trgovinu i transakcije</v>
      </c>
      <c r="C93" s="588"/>
      <c r="D93" s="588"/>
      <c r="E93" s="588"/>
      <c r="F93" s="588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87" t="str">
        <f>+VLOOKUP(LEFT($A94,LEN(A94)-1)*1,Master!$D$30:$G$229,4,FALSE)</f>
        <v>Ostali državni porezi</v>
      </c>
      <c r="C94" s="588"/>
      <c r="D94" s="588"/>
      <c r="E94" s="588"/>
      <c r="F94" s="588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593" t="str">
        <f>+VLOOKUP(LEFT($A95,LEN(A95)-1)*1,Master!$D$30:$G$229,4,FALSE)</f>
        <v>Doprinosi</v>
      </c>
      <c r="C95" s="594"/>
      <c r="D95" s="594"/>
      <c r="E95" s="594"/>
      <c r="F95" s="594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87" t="str">
        <f>+VLOOKUP(LEFT($A96,LEN(A96)-1)*1,Master!$D$30:$G$229,4,FALSE)</f>
        <v>Doprinosi za penzijsko i invalidsko osiguranje</v>
      </c>
      <c r="C96" s="588"/>
      <c r="D96" s="588"/>
      <c r="E96" s="588"/>
      <c r="F96" s="588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87" t="str">
        <f>+VLOOKUP(LEFT($A97,LEN(A97)-1)*1,Master!$D$30:$G$229,4,FALSE)</f>
        <v>Doprinosi za zdravstveno osiguranje</v>
      </c>
      <c r="C97" s="588"/>
      <c r="D97" s="588"/>
      <c r="E97" s="588"/>
      <c r="F97" s="588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87" t="str">
        <f>+VLOOKUP(LEFT($A98,LEN(A98)-1)*1,Master!$D$30:$G$229,4,FALSE)</f>
        <v>Doprinosi za osiguranje od nezaposlenosti</v>
      </c>
      <c r="C98" s="588"/>
      <c r="D98" s="588"/>
      <c r="E98" s="588"/>
      <c r="F98" s="588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87" t="str">
        <f>+VLOOKUP(LEFT($A99,LEN(A99)-1)*1,Master!$D$30:$G$229,4,FALSE)</f>
        <v>Ostali doprinosi</v>
      </c>
      <c r="C99" s="588"/>
      <c r="D99" s="588"/>
      <c r="E99" s="588"/>
      <c r="F99" s="588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593" t="str">
        <f>+VLOOKUP(LEFT($A100,LEN(A100)-1)*1,Master!$D$30:$G$229,4,FALSE)</f>
        <v>Takse</v>
      </c>
      <c r="C100" s="594"/>
      <c r="D100" s="594"/>
      <c r="E100" s="594"/>
      <c r="F100" s="594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593" t="str">
        <f>+VLOOKUP(LEFT($A101,LEN(A101)-1)*1,Master!$D$30:$G$229,4,FALSE)</f>
        <v>Naknade</v>
      </c>
      <c r="C101" s="594"/>
      <c r="D101" s="594"/>
      <c r="E101" s="594"/>
      <c r="F101" s="594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593" t="str">
        <f>+VLOOKUP(LEFT($A102,LEN(A102)-1)*1,Master!$D$30:$G$229,4,FALSE)</f>
        <v>Ostali prihodi</v>
      </c>
      <c r="C102" s="594"/>
      <c r="D102" s="594"/>
      <c r="E102" s="594"/>
      <c r="F102" s="594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593" t="str">
        <f>+VLOOKUP(LEFT($A103,LEN(A103)-1)*1,Master!$D$30:$G$229,4,FALSE)</f>
        <v>Primici od otplate kredita i sredstva prenesena iz prethodne godine</v>
      </c>
      <c r="C103" s="594"/>
      <c r="D103" s="594"/>
      <c r="E103" s="594"/>
      <c r="F103" s="594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589" t="str">
        <f>+VLOOKUP(LEFT($A104,LEN(A104)-1)*1,Master!$D$30:$G$229,4,FALSE)</f>
        <v>Donacije i transferi</v>
      </c>
      <c r="C104" s="590"/>
      <c r="D104" s="590"/>
      <c r="E104" s="590"/>
      <c r="F104" s="590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71" t="str">
        <f>+VLOOKUP(LEFT($A105,LEN(A105)-1)*1,Master!$D$30:$G$229,4,FALSE)</f>
        <v>Izdaci budžeta</v>
      </c>
      <c r="C105" s="572"/>
      <c r="D105" s="572"/>
      <c r="E105" s="572"/>
      <c r="F105" s="572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591" t="str">
        <f>+VLOOKUP(LEFT($A106,LEN(A106)-1)*1,Master!$D$30:$G$229,4,FALSE)</f>
        <v>Tekući izdaci</v>
      </c>
      <c r="C106" s="592"/>
      <c r="D106" s="592"/>
      <c r="E106" s="592"/>
      <c r="F106" s="592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87" t="str">
        <f>+VLOOKUP(LEFT($A107,LEN(A107)-1)*1,Master!$D$30:$G$229,4,FALSE)</f>
        <v>Bruto zarade i doprinosi na teret poslodavca</v>
      </c>
      <c r="C107" s="588"/>
      <c r="D107" s="588"/>
      <c r="E107" s="588"/>
      <c r="F107" s="588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87" t="str">
        <f>+VLOOKUP(LEFT($A108,LEN(A108)-1)*1,Master!$D$30:$G$229,4,FALSE)</f>
        <v>Ostala lična primanja</v>
      </c>
      <c r="C108" s="588"/>
      <c r="D108" s="588"/>
      <c r="E108" s="588"/>
      <c r="F108" s="588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87" t="str">
        <f>+VLOOKUP(LEFT($A109,LEN(A109)-1)*1,Master!$D$30:$G$229,4,FALSE)</f>
        <v>Rashodi za materijal</v>
      </c>
      <c r="C109" s="588"/>
      <c r="D109" s="588"/>
      <c r="E109" s="588"/>
      <c r="F109" s="588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87" t="str">
        <f>+VLOOKUP(LEFT($A110,LEN(A110)-1)*1,Master!$D$30:$G$229,4,FALSE)</f>
        <v>Rashodi za usluge</v>
      </c>
      <c r="C110" s="588"/>
      <c r="D110" s="588"/>
      <c r="E110" s="588"/>
      <c r="F110" s="588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87" t="str">
        <f>+VLOOKUP(LEFT($A111,LEN(A111)-1)*1,Master!$D$30:$G$229,4,FALSE)</f>
        <v>Rashodi za tekuće održavanje</v>
      </c>
      <c r="C111" s="588"/>
      <c r="D111" s="588"/>
      <c r="E111" s="588"/>
      <c r="F111" s="588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87" t="str">
        <f>+VLOOKUP(LEFT($A112,LEN(A112)-1)*1,Master!$D$30:$G$229,4,FALSE)</f>
        <v>Kamate</v>
      </c>
      <c r="C112" s="588"/>
      <c r="D112" s="588"/>
      <c r="E112" s="588"/>
      <c r="F112" s="588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87" t="str">
        <f>+VLOOKUP(LEFT($A113,LEN(A113)-1)*1,Master!$D$30:$G$229,4,FALSE)</f>
        <v>Renta</v>
      </c>
      <c r="C113" s="588"/>
      <c r="D113" s="588"/>
      <c r="E113" s="588"/>
      <c r="F113" s="588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87" t="str">
        <f>+VLOOKUP(LEFT($A114,LEN(A114)-1)*1,Master!$D$30:$G$229,4,FALSE)</f>
        <v>Subvencije</v>
      </c>
      <c r="C114" s="588"/>
      <c r="D114" s="588"/>
      <c r="E114" s="588"/>
      <c r="F114" s="588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87" t="str">
        <f>+VLOOKUP(LEFT($A115,LEN(A115)-1)*1,Master!$D$30:$G$229,4,FALSE)</f>
        <v>Ostali izdaci</v>
      </c>
      <c r="C115" s="588"/>
      <c r="D115" s="588"/>
      <c r="E115" s="588"/>
      <c r="F115" s="588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583" t="str">
        <f>+VLOOKUP(LEFT($A116,LEN(A116)-1)*1,Master!$D$30:$G$229,4,FALSE)</f>
        <v>Transferi za socijalnu zaštitu</v>
      </c>
      <c r="C116" s="584"/>
      <c r="D116" s="584"/>
      <c r="E116" s="584"/>
      <c r="F116" s="584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87" t="str">
        <f>+VLOOKUP(LEFT($A117,LEN(A117)-1)*1,Master!$D$30:$G$229,4,FALSE)</f>
        <v>Prava iz oblasti socijalne zaštite</v>
      </c>
      <c r="C117" s="588"/>
      <c r="D117" s="588"/>
      <c r="E117" s="588"/>
      <c r="F117" s="588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87" t="str">
        <f>+VLOOKUP(LEFT($A118,LEN(A118)-1)*1,Master!$D$30:$G$229,4,FALSE)</f>
        <v>Sredstva za tehnološke viškove</v>
      </c>
      <c r="C118" s="588"/>
      <c r="D118" s="588"/>
      <c r="E118" s="588"/>
      <c r="F118" s="588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87" t="str">
        <f>+VLOOKUP(LEFT($A119,LEN(A119)-1)*1,Master!$D$30:$G$229,4,FALSE)</f>
        <v>Prava iz oblasti penzijskog i invalidskog osiguranja</v>
      </c>
      <c r="C119" s="588"/>
      <c r="D119" s="588"/>
      <c r="E119" s="588"/>
      <c r="F119" s="588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87" t="str">
        <f>+VLOOKUP(LEFT($A120,LEN(A120)-1)*1,Master!$D$30:$G$229,4,FALSE)</f>
        <v>Ostala prava iz oblasti zdravstvene zaštite</v>
      </c>
      <c r="C120" s="588"/>
      <c r="D120" s="588"/>
      <c r="E120" s="588"/>
      <c r="F120" s="588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87" t="str">
        <f>+VLOOKUP(LEFT($A121,LEN(A121)-1)*1,Master!$D$30:$G$229,4,FALSE)</f>
        <v>Ostala prava iz zdravstvenog osiguranja</v>
      </c>
      <c r="C121" s="588"/>
      <c r="D121" s="588"/>
      <c r="E121" s="588"/>
      <c r="F121" s="588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585" t="str">
        <f>+VLOOKUP(LEFT($A122,LEN(A122)-1)*1,Master!$D$30:$G$229,4,FALSE)</f>
        <v xml:space="preserve">Transferi institucijama, pojedincima, nevladinom i javnom sektoru </v>
      </c>
      <c r="C122" s="586"/>
      <c r="D122" s="586"/>
      <c r="E122" s="586"/>
      <c r="F122" s="586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585" t="str">
        <f>+VLOOKUP(LEFT($A123,LEN(A123)-1)*1,Master!$D$30:$G$229,4,FALSE)</f>
        <v>Kapitalni izdaci</v>
      </c>
      <c r="C123" s="586"/>
      <c r="D123" s="586"/>
      <c r="E123" s="586"/>
      <c r="F123" s="586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577" t="str">
        <f>+VLOOKUP(LEFT($A124,LEN(A124)-1)*1,Master!$D$30:$G$229,4,FALSE)</f>
        <v>Pozajmice i krediti</v>
      </c>
      <c r="C124" s="578"/>
      <c r="D124" s="578"/>
      <c r="E124" s="578"/>
      <c r="F124" s="578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577" t="str">
        <f>+VLOOKUP(LEFT($A125,LEN(A125)-1)*1,Master!$D$30:$G$229,4,FALSE)</f>
        <v>Rezerve</v>
      </c>
      <c r="C125" s="578"/>
      <c r="D125" s="578"/>
      <c r="E125" s="578"/>
      <c r="F125" s="578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577" t="str">
        <f>+VLOOKUP(LEFT($A126,LEN(A126)-1)*1,Master!$D$30:$G$229,4,FALSE)</f>
        <v>Otplata garancija</v>
      </c>
      <c r="C126" s="578"/>
      <c r="D126" s="578"/>
      <c r="E126" s="578"/>
      <c r="F126" s="57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577" t="str">
        <f>+VLOOKUP(LEFT($A127,LEN(A127)-1)*1,Master!$D$30:$G$229,4,FALSE)</f>
        <v>Otplata obaveza iz prethodnog perioda</v>
      </c>
      <c r="C127" s="578"/>
      <c r="D127" s="578"/>
      <c r="E127" s="578"/>
      <c r="F127" s="578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577" t="str">
        <f>+VLOOKUP(LEFT($A128,LEN(A128)-1)*1,Master!$D$30:$G$229,4,FALSE)</f>
        <v>Neto povećanje obaveza</v>
      </c>
      <c r="C128" s="578"/>
      <c r="D128" s="578"/>
      <c r="E128" s="578"/>
      <c r="F128" s="578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579" t="str">
        <f>+VLOOKUP(LEFT($A129,LEN(A129)-1)*1,Master!$D$30:$G$226,4,FALSE)</f>
        <v>Suficit / deficit</v>
      </c>
      <c r="C129" s="580"/>
      <c r="D129" s="580"/>
      <c r="E129" s="580"/>
      <c r="F129" s="580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581" t="str">
        <f>+VLOOKUP(LEFT($A130,LEN(A130)-1)*1,Master!$D$30:$G$226,4,FALSE)</f>
        <v>Primarni suficit/deficit</v>
      </c>
      <c r="C130" s="582"/>
      <c r="D130" s="582"/>
      <c r="E130" s="582"/>
      <c r="F130" s="582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583" t="str">
        <f>+VLOOKUP(LEFT($A131,LEN(A131)-1)*1,Master!$D$30:$G$226,4,FALSE)</f>
        <v>Otplata dugova</v>
      </c>
      <c r="C131" s="584"/>
      <c r="D131" s="584"/>
      <c r="E131" s="584"/>
      <c r="F131" s="584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575" t="str">
        <f>+VLOOKUP(LEFT($A132,LEN(A132)-1)*1,Master!$D$30:$G$226,4,FALSE)</f>
        <v>Otplata hartija od vrijednosti i kredita rezidentima</v>
      </c>
      <c r="C132" s="576"/>
      <c r="D132" s="576"/>
      <c r="E132" s="576"/>
      <c r="F132" s="576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577" t="str">
        <f>+VLOOKUP(LEFT($A133,LEN(A133)-1)*1,Master!$D$30:$G$226,4,FALSE)</f>
        <v>Otplata hartija od vrijednosti i kredita nerezidentima</v>
      </c>
      <c r="C133" s="578"/>
      <c r="D133" s="578"/>
      <c r="E133" s="578"/>
      <c r="F133" s="578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71" t="str">
        <f>+VLOOKUP(LEFT($A134,LEN(A134)-1)*1,Master!$D$30:$G$226,4,FALSE)</f>
        <v>Izdaci za kupovinu hartija od vrijednosti</v>
      </c>
      <c r="C134" s="572"/>
      <c r="D134" s="572"/>
      <c r="E134" s="572"/>
      <c r="F134" s="572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573" t="str">
        <f>+VLOOKUP(LEFT($A135,LEN(A135)-1)*1,Master!$D$30:$G$226,4,FALSE)</f>
        <v>Nedostajuća sredstva</v>
      </c>
      <c r="C135" s="574"/>
      <c r="D135" s="574"/>
      <c r="E135" s="574"/>
      <c r="F135" s="574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71" t="str">
        <f>+VLOOKUP(LEFT($A136,LEN(A136)-1)*1,Master!$D$30:$G$226,4,FALSE)</f>
        <v>Finansiranje</v>
      </c>
      <c r="C136" s="572"/>
      <c r="D136" s="572"/>
      <c r="E136" s="572"/>
      <c r="F136" s="572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575" t="str">
        <f>+VLOOKUP(LEFT($A137,LEN(A137)-1)*1,Master!$D$30:$G$226,4,FALSE)</f>
        <v>Pozajmice i krediti od domaćih izvora</v>
      </c>
      <c r="C137" s="576"/>
      <c r="D137" s="576"/>
      <c r="E137" s="576"/>
      <c r="F137" s="576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577" t="str">
        <f>+VLOOKUP(LEFT($A138,LEN(A138)-1)*1,Master!$D$30:$G$226,4,FALSE)</f>
        <v>Pozajmice i krediti od inostranih izvora</v>
      </c>
      <c r="C138" s="578"/>
      <c r="D138" s="578"/>
      <c r="E138" s="578"/>
      <c r="F138" s="578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577" t="str">
        <f>+VLOOKUP(LEFT($A139,LEN(A139)-1)*1,Master!$D$30:$G$226,4,FALSE)</f>
        <v>Primici od prodaje imovine</v>
      </c>
      <c r="C139" s="578"/>
      <c r="D139" s="578"/>
      <c r="E139" s="578"/>
      <c r="F139" s="578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796875" defaultRowHeight="13"/>
  <cols>
    <col min="1" max="1" width="5.453125" style="70" customWidth="1"/>
    <col min="2" max="4" width="9.1796875" style="258"/>
    <col min="5" max="5" width="28.7265625" style="258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4.81640625" style="258" bestFit="1" customWidth="1"/>
    <col min="23" max="23" width="11.26953125" style="258" bestFit="1" customWidth="1"/>
    <col min="24" max="24" width="10.453125" style="258" bestFit="1" customWidth="1"/>
    <col min="25" max="16384" width="9.1796875" style="258"/>
  </cols>
  <sheetData>
    <row r="1" spans="1:22" s="1" customFormat="1" ht="3" customHeight="1">
      <c r="A1" s="69"/>
    </row>
    <row r="2" spans="1:22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4.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2021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4955116000</v>
      </c>
    </row>
    <row r="8" spans="1:22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2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27" t="str">
        <f>+VLOOKUP($A19,Master!$D$30:$G$226,4,FALSE)</f>
        <v>Doprinosi</v>
      </c>
      <c r="C19" s="528"/>
      <c r="D19" s="528"/>
      <c r="E19" s="528"/>
      <c r="F19" s="528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18" t="str">
        <f>+VLOOKUP($A39,Master!$D$30:$G$226,4,FALSE)</f>
        <v>Ostali izdaci</v>
      </c>
      <c r="C39" s="619"/>
      <c r="D39" s="619"/>
      <c r="E39" s="619"/>
      <c r="F39" s="619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7" t="str">
        <f>+Master!G253</f>
        <v>Plan ostvarenja budžeta</v>
      </c>
      <c r="C81" s="598"/>
      <c r="D81" s="598"/>
      <c r="E81" s="598"/>
      <c r="F81" s="598"/>
      <c r="G81" s="605">
        <v>2021</v>
      </c>
      <c r="H81" s="606"/>
      <c r="I81" s="606"/>
      <c r="J81" s="606"/>
      <c r="K81" s="606"/>
      <c r="L81" s="606"/>
      <c r="M81" s="606"/>
      <c r="N81" s="606"/>
      <c r="O81" s="606"/>
      <c r="P81" s="606"/>
      <c r="Q81" s="606"/>
      <c r="R81" s="607"/>
      <c r="S81" s="107" t="str">
        <f>+S7</f>
        <v>BDP</v>
      </c>
      <c r="T81" s="108">
        <v>4636600000</v>
      </c>
    </row>
    <row r="82" spans="1:21" ht="15.75" customHeight="1">
      <c r="B82" s="599"/>
      <c r="C82" s="600"/>
      <c r="D82" s="600"/>
      <c r="E82" s="600"/>
      <c r="F82" s="601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5" t="str">
        <f>+Master!G247</f>
        <v>Jan - Dec</v>
      </c>
      <c r="T82" s="607">
        <f>+T8</f>
        <v>0</v>
      </c>
    </row>
    <row r="83" spans="1:21" ht="13.5" thickBot="1">
      <c r="B83" s="602"/>
      <c r="C83" s="603"/>
      <c r="D83" s="603"/>
      <c r="E83" s="603"/>
      <c r="F83" s="604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1" t="str">
        <f>+VLOOKUP(LEFT($A84,LEN(A84)-1)*1,Master!$D$30:$G$226,4,FALSE)</f>
        <v>Prihodi budžeta</v>
      </c>
      <c r="C84" s="622"/>
      <c r="D84" s="622"/>
      <c r="E84" s="622"/>
      <c r="F84" s="62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5" t="str">
        <f>+VLOOKUP(LEFT($A85,LEN(A85)-1)*1,Master!$D$30:$G$226,4,FALSE)</f>
        <v>Porezi</v>
      </c>
      <c r="C85" s="596"/>
      <c r="D85" s="596"/>
      <c r="E85" s="596"/>
      <c r="F85" s="596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7" t="str">
        <f>+VLOOKUP(LEFT($A86,LEN(A86)-1)*1,Master!$D$30:$G$229,4,FALSE)</f>
        <v>Porez na dohodak fizičkih lica</v>
      </c>
      <c r="C86" s="588"/>
      <c r="D86" s="588"/>
      <c r="E86" s="588"/>
      <c r="F86" s="588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87" t="str">
        <f>+VLOOKUP(LEFT($A87,LEN(A87)-1)*1,Master!$D$30:$G$229,4,FALSE)</f>
        <v>Porez na dobit pravnih lica</v>
      </c>
      <c r="C87" s="588"/>
      <c r="D87" s="588"/>
      <c r="E87" s="588"/>
      <c r="F87" s="588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87" t="str">
        <f>+VLOOKUP(LEFT($A88,LEN(A88)-1)*1,Master!$D$30:$G$229,4,FALSE)</f>
        <v>Porez na promet nepokretnosti</v>
      </c>
      <c r="C88" s="588"/>
      <c r="D88" s="588"/>
      <c r="E88" s="588"/>
      <c r="F88" s="588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87" t="str">
        <f>+VLOOKUP(LEFT($A89,LEN(A89)-1)*1,Master!$D$30:$G$229,4,FALSE)</f>
        <v>Porez na dodatu vrijednost</v>
      </c>
      <c r="C89" s="588"/>
      <c r="D89" s="588"/>
      <c r="E89" s="588"/>
      <c r="F89" s="588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87" t="str">
        <f>+VLOOKUP(LEFT($A90,LEN(A90)-1)*1,Master!$D$30:$G$229,4,FALSE)</f>
        <v>Akcize</v>
      </c>
      <c r="C90" s="588"/>
      <c r="D90" s="588"/>
      <c r="E90" s="588"/>
      <c r="F90" s="588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87" t="str">
        <f>+VLOOKUP(LEFT($A91,LEN(A91)-1)*1,Master!$D$30:$G$229,4,FALSE)</f>
        <v>Porez na međunarodnu trgovinu i transakcije</v>
      </c>
      <c r="C91" s="588"/>
      <c r="D91" s="588"/>
      <c r="E91" s="588"/>
      <c r="F91" s="588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87" t="str">
        <f>+VLOOKUP(LEFT($A92,LEN(A92)-1)*1,Master!$D$30:$G$229,4,FALSE)</f>
        <v>Ostali državni porezi</v>
      </c>
      <c r="C92" s="588"/>
      <c r="D92" s="588"/>
      <c r="E92" s="588"/>
      <c r="F92" s="588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3" t="str">
        <f>+VLOOKUP(LEFT($A93,LEN(A93)-1)*1,Master!$D$30:$G$229,4,FALSE)</f>
        <v>Doprinosi</v>
      </c>
      <c r="C93" s="624"/>
      <c r="D93" s="624"/>
      <c r="E93" s="624"/>
      <c r="F93" s="624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87" t="str">
        <f>+VLOOKUP(LEFT($A94,LEN(A94)-1)*1,Master!$D$30:$G$229,4,FALSE)</f>
        <v>Doprinosi za penzijsko i invalidsko osiguranje</v>
      </c>
      <c r="C94" s="588"/>
      <c r="D94" s="588"/>
      <c r="E94" s="588"/>
      <c r="F94" s="588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87" t="str">
        <f>+VLOOKUP(LEFT($A95,LEN(A95)-1)*1,Master!$D$30:$G$229,4,FALSE)</f>
        <v>Doprinosi za zdravstveno osiguranje</v>
      </c>
      <c r="C95" s="588"/>
      <c r="D95" s="588"/>
      <c r="E95" s="588"/>
      <c r="F95" s="588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87" t="str">
        <f>+VLOOKUP(LEFT($A96,LEN(A96)-1)*1,Master!$D$30:$G$229,4,FALSE)</f>
        <v>Doprinosi za osiguranje od nezaposlenosti</v>
      </c>
      <c r="C96" s="588"/>
      <c r="D96" s="588"/>
      <c r="E96" s="588"/>
      <c r="F96" s="588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87" t="str">
        <f>+VLOOKUP(LEFT($A97,LEN(A97)-1)*1,Master!$D$30:$G$229,4,FALSE)</f>
        <v>Ostali doprinosi</v>
      </c>
      <c r="C97" s="588"/>
      <c r="D97" s="588"/>
      <c r="E97" s="588"/>
      <c r="F97" s="588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593" t="str">
        <f>+VLOOKUP(LEFT($A98,LEN(A98)-1)*1,Master!$D$30:$G$229,4,FALSE)</f>
        <v>Takse</v>
      </c>
      <c r="C98" s="594"/>
      <c r="D98" s="594"/>
      <c r="E98" s="594"/>
      <c r="F98" s="59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593" t="str">
        <f>+VLOOKUP(LEFT($A99,LEN(A99)-1)*1,Master!$D$30:$G$229,4,FALSE)</f>
        <v>Naknade</v>
      </c>
      <c r="C99" s="594"/>
      <c r="D99" s="594"/>
      <c r="E99" s="594"/>
      <c r="F99" s="59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593" t="str">
        <f>+VLOOKUP(LEFT($A100,LEN(A100)-1)*1,Master!$D$30:$G$229,4,FALSE)</f>
        <v>Ostali prihodi</v>
      </c>
      <c r="C100" s="594"/>
      <c r="D100" s="594"/>
      <c r="E100" s="594"/>
      <c r="F100" s="59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593" t="str">
        <f>+VLOOKUP(LEFT($A101,LEN(A101)-1)*1,Master!$D$30:$G$229,4,FALSE)</f>
        <v>Primici od otplate kredita i sredstva prenesena iz prethodne godine</v>
      </c>
      <c r="C101" s="594"/>
      <c r="D101" s="594"/>
      <c r="E101" s="594"/>
      <c r="F101" s="59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589" t="str">
        <f>+VLOOKUP(LEFT($A102,LEN(A102)-1)*1,Master!$D$30:$G$229,4,FALSE)</f>
        <v>Donacije i transferi</v>
      </c>
      <c r="C102" s="590"/>
      <c r="D102" s="590"/>
      <c r="E102" s="590"/>
      <c r="F102" s="590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71" t="str">
        <f>+VLOOKUP(LEFT($A103,LEN(A103)-1)*1,Master!$D$30:$G$229,4,FALSE)</f>
        <v>Izdaci budžeta</v>
      </c>
      <c r="C103" s="572"/>
      <c r="D103" s="572"/>
      <c r="E103" s="572"/>
      <c r="F103" s="572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1" t="str">
        <f>+VLOOKUP(LEFT($A104,LEN(A104)-1)*1,Master!$D$30:$G$229,4,FALSE)</f>
        <v>Tekući izdaci</v>
      </c>
      <c r="C104" s="592"/>
      <c r="D104" s="592"/>
      <c r="E104" s="592"/>
      <c r="F104" s="59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7" t="str">
        <f>+VLOOKUP(LEFT($A105,LEN(A105)-1)*1,Master!$D$30:$G$229,4,FALSE)</f>
        <v>Bruto zarade i doprinosi na teret poslodavca</v>
      </c>
      <c r="C105" s="588"/>
      <c r="D105" s="588"/>
      <c r="E105" s="588"/>
      <c r="F105" s="588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87" t="str">
        <f>+VLOOKUP(LEFT($A106,LEN(A106)-1)*1,Master!$D$30:$G$229,4,FALSE)</f>
        <v>Ostala lična primanja</v>
      </c>
      <c r="C106" s="588"/>
      <c r="D106" s="588"/>
      <c r="E106" s="588"/>
      <c r="F106" s="588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87" t="str">
        <f>+VLOOKUP(LEFT($A107,LEN(A107)-1)*1,Master!$D$30:$G$229,4,FALSE)</f>
        <v>Rashodi za materijal</v>
      </c>
      <c r="C107" s="588"/>
      <c r="D107" s="588"/>
      <c r="E107" s="588"/>
      <c r="F107" s="588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87" t="str">
        <f>+VLOOKUP(LEFT($A108,LEN(A108)-1)*1,Master!$D$30:$G$229,4,FALSE)</f>
        <v>Rashodi za usluge</v>
      </c>
      <c r="C108" s="588"/>
      <c r="D108" s="588"/>
      <c r="E108" s="588"/>
      <c r="F108" s="588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87" t="str">
        <f>+VLOOKUP(LEFT($A109,LEN(A109)-1)*1,Master!$D$30:$G$229,4,FALSE)</f>
        <v>Rashodi za tekuće održavanje</v>
      </c>
      <c r="C109" s="588"/>
      <c r="D109" s="588"/>
      <c r="E109" s="588"/>
      <c r="F109" s="588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87" t="str">
        <f>+VLOOKUP(LEFT($A110,LEN(A110)-1)*1,Master!$D$30:$G$229,4,FALSE)</f>
        <v>Kamate</v>
      </c>
      <c r="C110" s="588"/>
      <c r="D110" s="588"/>
      <c r="E110" s="588"/>
      <c r="F110" s="588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87" t="str">
        <f>+VLOOKUP(LEFT($A111,LEN(A111)-1)*1,Master!$D$30:$G$229,4,FALSE)</f>
        <v>Renta</v>
      </c>
      <c r="C111" s="588"/>
      <c r="D111" s="588"/>
      <c r="E111" s="588"/>
      <c r="F111" s="588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87" t="str">
        <f>+VLOOKUP(LEFT($A112,LEN(A112)-1)*1,Master!$D$30:$G$229,4,FALSE)</f>
        <v>Subvencije</v>
      </c>
      <c r="C112" s="588"/>
      <c r="D112" s="588"/>
      <c r="E112" s="588"/>
      <c r="F112" s="588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87" t="str">
        <f>+VLOOKUP(LEFT($A113,LEN(A113)-1)*1,Master!$D$30:$G$229,4,FALSE)</f>
        <v>Ostali izdaci</v>
      </c>
      <c r="C113" s="588"/>
      <c r="D113" s="588"/>
      <c r="E113" s="588"/>
      <c r="F113" s="588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83" t="str">
        <f>+VLOOKUP(LEFT($A114,LEN(A114)-1)*1,Master!$D$30:$G$229,4,FALSE)</f>
        <v>Transferi za socijalnu zaštitu</v>
      </c>
      <c r="C114" s="584"/>
      <c r="D114" s="584"/>
      <c r="E114" s="584"/>
      <c r="F114" s="584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87" t="str">
        <f>+VLOOKUP(LEFT($A115,LEN(A115)-1)*1,Master!$D$30:$G$229,4,FALSE)</f>
        <v>Prava iz oblasti socijalne zaštite</v>
      </c>
      <c r="C115" s="588"/>
      <c r="D115" s="588"/>
      <c r="E115" s="588"/>
      <c r="F115" s="588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7" t="str">
        <f>+VLOOKUP(LEFT($A116,LEN(A116)-1)*1,Master!$D$30:$G$229,4,FALSE)</f>
        <v>Sredstva za tehnološke viškove</v>
      </c>
      <c r="C116" s="588"/>
      <c r="D116" s="588"/>
      <c r="E116" s="588"/>
      <c r="F116" s="588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87" t="str">
        <f>+VLOOKUP(LEFT($A117,LEN(A117)-1)*1,Master!$D$30:$G$229,4,FALSE)</f>
        <v>Prava iz oblasti penzijskog i invalidskog osiguranja</v>
      </c>
      <c r="C117" s="588"/>
      <c r="D117" s="588"/>
      <c r="E117" s="588"/>
      <c r="F117" s="588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87" t="str">
        <f>+VLOOKUP(LEFT($A118,LEN(A118)-1)*1,Master!$D$30:$G$229,4,FALSE)</f>
        <v>Ostala prava iz oblasti zdravstvene zaštite</v>
      </c>
      <c r="C118" s="588"/>
      <c r="D118" s="588"/>
      <c r="E118" s="588"/>
      <c r="F118" s="588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87" t="str">
        <f>+VLOOKUP(LEFT($A119,LEN(A119)-1)*1,Master!$D$30:$G$229,4,FALSE)</f>
        <v>Ostala prava iz zdravstvenog osiguranja</v>
      </c>
      <c r="C119" s="588"/>
      <c r="D119" s="588"/>
      <c r="E119" s="588"/>
      <c r="F119" s="588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85" t="str">
        <f>+VLOOKUP(LEFT($A120,LEN(A120)-1)*1,Master!$D$30:$G$229,4,FALSE)</f>
        <v xml:space="preserve">Transferi institucijama, pojedincima, nevladinom i javnom sektoru </v>
      </c>
      <c r="C120" s="586"/>
      <c r="D120" s="586"/>
      <c r="E120" s="586"/>
      <c r="F120" s="586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85" t="str">
        <f>+VLOOKUP(LEFT($A121,LEN(A121)-1)*1,Master!$D$30:$G$229,4,FALSE)</f>
        <v>Kapitalni izdaci</v>
      </c>
      <c r="C121" s="586"/>
      <c r="D121" s="586"/>
      <c r="E121" s="586"/>
      <c r="F121" s="586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77" t="str">
        <f>+VLOOKUP(LEFT($A122,LEN(A122)-1)*1,Master!$D$30:$G$229,4,FALSE)</f>
        <v>Pozajmice i krediti</v>
      </c>
      <c r="C122" s="578"/>
      <c r="D122" s="578"/>
      <c r="E122" s="578"/>
      <c r="F122" s="578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77" t="str">
        <f>+VLOOKUP(LEFT($A123,LEN(A123)-1)*1,Master!$D$30:$G$229,4,FALSE)</f>
        <v>Rezerve</v>
      </c>
      <c r="C123" s="578"/>
      <c r="D123" s="578"/>
      <c r="E123" s="578"/>
      <c r="F123" s="578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77" t="str">
        <f>+VLOOKUP(LEFT($A124,LEN(A124)-1)*1,Master!$D$30:$G$229,4,FALSE)</f>
        <v>Otplata garancija</v>
      </c>
      <c r="C124" s="578"/>
      <c r="D124" s="578"/>
      <c r="E124" s="578"/>
      <c r="F124" s="578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77" t="str">
        <f>+VLOOKUP(LEFT($A125,LEN(A125)-1)*1,Master!$D$30:$G$229,4,FALSE)</f>
        <v>Otplata obaveza iz prethodnog perioda</v>
      </c>
      <c r="C125" s="578"/>
      <c r="D125" s="578"/>
      <c r="E125" s="578"/>
      <c r="F125" s="578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77" t="str">
        <f>+VLOOKUP(LEFT($A126,LEN(A126)-1)*1,Master!$D$30:$G$229,4,FALSE)</f>
        <v>Neto povećanje obaveza</v>
      </c>
      <c r="C126" s="578"/>
      <c r="D126" s="578"/>
      <c r="E126" s="578"/>
      <c r="F126" s="578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79" t="str">
        <f>+VLOOKUP(LEFT($A127,LEN(A127)-1)*1,Master!$D$30:$G$226,4,FALSE)</f>
        <v>Suficit / deficit</v>
      </c>
      <c r="C127" s="580"/>
      <c r="D127" s="580"/>
      <c r="E127" s="580"/>
      <c r="F127" s="580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81" t="str">
        <f>+VLOOKUP(LEFT($A128,LEN(A128)-1)*1,Master!$D$30:$G$226,4,FALSE)</f>
        <v>Primarni suficit/deficit</v>
      </c>
      <c r="C128" s="582"/>
      <c r="D128" s="582"/>
      <c r="E128" s="582"/>
      <c r="F128" s="582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83" t="str">
        <f>+VLOOKUP(LEFT($A129,LEN(A129)-1)*1,Master!$D$30:$G$226,4,FALSE)</f>
        <v>Otplata dugova</v>
      </c>
      <c r="C129" s="584"/>
      <c r="D129" s="584"/>
      <c r="E129" s="584"/>
      <c r="F129" s="584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75" t="str">
        <f>+VLOOKUP(LEFT($A130,LEN(A130)-1)*1,Master!$D$30:$G$226,4,FALSE)</f>
        <v>Otplata hartija od vrijednosti i kredita rezidentima</v>
      </c>
      <c r="C130" s="576"/>
      <c r="D130" s="576"/>
      <c r="E130" s="576"/>
      <c r="F130" s="576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77" t="str">
        <f>+VLOOKUP(LEFT($A131,LEN(A131)-1)*1,Master!$D$30:$G$226,4,FALSE)</f>
        <v>Otplata hartija od vrijednosti i kredita nerezidentima</v>
      </c>
      <c r="C131" s="578"/>
      <c r="D131" s="578"/>
      <c r="E131" s="578"/>
      <c r="F131" s="578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71" t="str">
        <f>+VLOOKUP(LEFT($A132,LEN(A132)-1)*1,Master!$D$30:$G$226,4,FALSE)</f>
        <v>Izdaci za kupovinu hartija od vrijednosti</v>
      </c>
      <c r="C132" s="572"/>
      <c r="D132" s="572"/>
      <c r="E132" s="572"/>
      <c r="F132" s="572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73" t="str">
        <f>+VLOOKUP(LEFT($A133,LEN(A133)-1)*1,Master!$D$30:$G$226,4,FALSE)</f>
        <v>Nedostajuća sredstva</v>
      </c>
      <c r="C133" s="574"/>
      <c r="D133" s="574"/>
      <c r="E133" s="574"/>
      <c r="F133" s="574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71" t="str">
        <f>+VLOOKUP(LEFT($A134,LEN(A134)-1)*1,Master!$D$30:$G$226,4,FALSE)</f>
        <v>Finansiranje</v>
      </c>
      <c r="C134" s="572"/>
      <c r="D134" s="572"/>
      <c r="E134" s="572"/>
      <c r="F134" s="572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75" t="str">
        <f>+VLOOKUP(LEFT($A135,LEN(A135)-1)*1,Master!$D$30:$G$226,4,FALSE)</f>
        <v>Pozajmice i krediti od domaćih izvora</v>
      </c>
      <c r="C135" s="576"/>
      <c r="D135" s="576"/>
      <c r="E135" s="576"/>
      <c r="F135" s="576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77" t="str">
        <f>+VLOOKUP(LEFT($A136,LEN(A136)-1)*1,Master!$D$30:$G$226,4,FALSE)</f>
        <v>Pozajmice i krediti od inostranih izvora</v>
      </c>
      <c r="C136" s="578"/>
      <c r="D136" s="578"/>
      <c r="E136" s="578"/>
      <c r="F136" s="578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77" t="str">
        <f>+VLOOKUP(LEFT($A137,LEN(A137)-1)*1,Master!$D$30:$G$226,4,FALSE)</f>
        <v>Primici od prodaje imovine</v>
      </c>
      <c r="C137" s="578"/>
      <c r="D137" s="578"/>
      <c r="E137" s="578"/>
      <c r="F137" s="578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796875" defaultRowHeight="13"/>
  <cols>
    <col min="1" max="1" width="5.453125" style="70" customWidth="1"/>
    <col min="2" max="4" width="9.1796875" style="258"/>
    <col min="5" max="5" width="23.453125" style="258" bestFit="1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1" style="258" customWidth="1"/>
    <col min="23" max="23" width="13.81640625" style="258" bestFit="1" customWidth="1"/>
    <col min="24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20" t="str">
        <f>+Master!G252</f>
        <v>Ostvarenje budžeta</v>
      </c>
      <c r="C7" s="552"/>
      <c r="D7" s="552"/>
      <c r="E7" s="552"/>
      <c r="F7" s="552"/>
      <c r="G7" s="560">
        <v>2020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tr">
        <f>+Master!G249</f>
        <v>BDP</v>
      </c>
      <c r="T7" s="236">
        <v>4185600000</v>
      </c>
    </row>
    <row r="8" spans="1:20" ht="16.5" customHeight="1">
      <c r="A8" s="144"/>
      <c r="B8" s="553"/>
      <c r="C8" s="554"/>
      <c r="D8" s="554"/>
      <c r="E8" s="554"/>
      <c r="F8" s="555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0" t="str">
        <f>+Master!G247</f>
        <v>Jan - Dec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19" t="str">
        <f>+VLOOKUP($A10,Master!$D$30:$G$226,4,FALSE)</f>
        <v>Prihodi budžeta</v>
      </c>
      <c r="C10" s="520"/>
      <c r="D10" s="520"/>
      <c r="E10" s="520"/>
      <c r="F10" s="520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21" t="str">
        <f>+VLOOKUP($A11,Master!$D$30:$G$226,4,FALSE)</f>
        <v>Porezi</v>
      </c>
      <c r="C11" s="522"/>
      <c r="D11" s="522"/>
      <c r="E11" s="522"/>
      <c r="F11" s="522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23" t="str">
        <f>+VLOOKUP($A12,Master!$D$30:$G$226,4,FALSE)</f>
        <v>Porez na dohodak fizičkih lica</v>
      </c>
      <c r="C12" s="524"/>
      <c r="D12" s="524"/>
      <c r="E12" s="524"/>
      <c r="F12" s="524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23" t="str">
        <f>+VLOOKUP($A13,Master!$D$30:$G$226,4,FALSE)</f>
        <v>Porez na dobit pravnih lica</v>
      </c>
      <c r="C13" s="524"/>
      <c r="D13" s="524"/>
      <c r="E13" s="524"/>
      <c r="F13" s="524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23" t="str">
        <f>+VLOOKUP($A14,Master!$D$30:$G$226,4,FALSE)</f>
        <v>Porez na promet nepokretnosti</v>
      </c>
      <c r="C14" s="524"/>
      <c r="D14" s="524"/>
      <c r="E14" s="524"/>
      <c r="F14" s="524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23" t="str">
        <f>+VLOOKUP($A15,Master!$D$30:$G$226,4,FALSE)</f>
        <v>Porez na dodatu vrijednost</v>
      </c>
      <c r="C15" s="524"/>
      <c r="D15" s="524"/>
      <c r="E15" s="524"/>
      <c r="F15" s="524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23" t="str">
        <f>+VLOOKUP($A16,Master!$D$30:$G$226,4,FALSE)</f>
        <v>Akcize</v>
      </c>
      <c r="C16" s="524"/>
      <c r="D16" s="524"/>
      <c r="E16" s="524"/>
      <c r="F16" s="524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23" t="str">
        <f>+VLOOKUP($A17,Master!$D$30:$G$226,4,FALSE)</f>
        <v>Porez na međunarodnu trgovinu i transakcije</v>
      </c>
      <c r="C17" s="524"/>
      <c r="D17" s="524"/>
      <c r="E17" s="524"/>
      <c r="F17" s="524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23" t="str">
        <f>+VLOOKUP($A18,Master!$D$30:$G$226,4,FALSE)</f>
        <v>Ostali državni porezi</v>
      </c>
      <c r="C18" s="524"/>
      <c r="D18" s="524"/>
      <c r="E18" s="524"/>
      <c r="F18" s="524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27" t="str">
        <f>+VLOOKUP($A19,Master!$D$30:$G$226,4,FALSE)</f>
        <v>Doprinosi</v>
      </c>
      <c r="C19" s="528"/>
      <c r="D19" s="528"/>
      <c r="E19" s="528"/>
      <c r="F19" s="528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23" t="str">
        <f>+VLOOKUP($A20,Master!$D$30:$G$226,4,FALSE)</f>
        <v>Doprinosi za penzijsko i invalidsko osiguranje</v>
      </c>
      <c r="C20" s="524"/>
      <c r="D20" s="524"/>
      <c r="E20" s="524"/>
      <c r="F20" s="524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23" t="str">
        <f>+VLOOKUP($A21,Master!$D$30:$G$226,4,FALSE)</f>
        <v>Doprinosi za zdravstveno osiguranje</v>
      </c>
      <c r="C21" s="524"/>
      <c r="D21" s="524"/>
      <c r="E21" s="524"/>
      <c r="F21" s="524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23" t="str">
        <f>+VLOOKUP($A22,Master!$D$30:$G$226,4,FALSE)</f>
        <v>Doprinosi za osiguranje od nezaposlenosti</v>
      </c>
      <c r="C22" s="524"/>
      <c r="D22" s="524"/>
      <c r="E22" s="524"/>
      <c r="F22" s="524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23" t="str">
        <f>+VLOOKUP($A23,Master!$D$30:$G$226,4,FALSE)</f>
        <v>Ostali doprinosi</v>
      </c>
      <c r="C23" s="524"/>
      <c r="D23" s="524"/>
      <c r="E23" s="524"/>
      <c r="F23" s="524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25" t="str">
        <f>+VLOOKUP($A24,Master!$D$30:$G$226,4,FALSE)</f>
        <v>Takse</v>
      </c>
      <c r="C24" s="526"/>
      <c r="D24" s="526"/>
      <c r="E24" s="526"/>
      <c r="F24" s="526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25" t="str">
        <f>+VLOOKUP($A25,Master!$D$30:$G$226,4,FALSE)</f>
        <v>Naknade</v>
      </c>
      <c r="C25" s="526"/>
      <c r="D25" s="526"/>
      <c r="E25" s="526"/>
      <c r="F25" s="526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25" t="str">
        <f>+VLOOKUP($A26,Master!$D$30:$G$226,4,FALSE)</f>
        <v>Ostali prihodi</v>
      </c>
      <c r="C26" s="526"/>
      <c r="D26" s="526"/>
      <c r="E26" s="526"/>
      <c r="F26" s="526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25" t="str">
        <f>+VLOOKUP($A27,Master!$D$30:$G$226,4,FALSE)</f>
        <v>Primici od otplate kredita i sredstva prenesena iz prethodne godine</v>
      </c>
      <c r="C27" s="526"/>
      <c r="D27" s="526"/>
      <c r="E27" s="526"/>
      <c r="F27" s="526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29" t="str">
        <f>+VLOOKUP($A28,Master!$D$30:$G$226,4,FALSE)</f>
        <v>Donacije i transferi</v>
      </c>
      <c r="C28" s="530"/>
      <c r="D28" s="530"/>
      <c r="E28" s="530"/>
      <c r="F28" s="53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31" t="str">
        <f>+VLOOKUP($A29,Master!$D$30:$G$226,4,FALSE)</f>
        <v>Izdaci budžeta</v>
      </c>
      <c r="C29" s="532"/>
      <c r="D29" s="532"/>
      <c r="E29" s="532"/>
      <c r="F29" s="532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35" t="str">
        <f>+VLOOKUP($A30,Master!$D$30:$G$226,4,FALSE)</f>
        <v>Tekući izdaci</v>
      </c>
      <c r="C30" s="536"/>
      <c r="D30" s="536"/>
      <c r="E30" s="536"/>
      <c r="F30" s="536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23" t="str">
        <f>+VLOOKUP($A31,Master!$D$30:$G$226,4,FALSE)</f>
        <v>Bruto zarade i doprinosi na teret poslodavca</v>
      </c>
      <c r="C31" s="524"/>
      <c r="D31" s="524"/>
      <c r="E31" s="524"/>
      <c r="F31" s="524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23" t="str">
        <f>+VLOOKUP($A32,Master!$D$30:$G$226,4,FALSE)</f>
        <v>Ostala lična primanja</v>
      </c>
      <c r="C32" s="524"/>
      <c r="D32" s="524"/>
      <c r="E32" s="524"/>
      <c r="F32" s="524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23" t="str">
        <f>+VLOOKUP($A33,Master!$D$30:$G$226,4,FALSE)</f>
        <v>Rashodi za materijal</v>
      </c>
      <c r="C33" s="524"/>
      <c r="D33" s="524"/>
      <c r="E33" s="524"/>
      <c r="F33" s="524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18" t="str">
        <f>+VLOOKUP($A34,Master!$D$30:$G$226,4,FALSE)</f>
        <v>Rashodi za usluge</v>
      </c>
      <c r="C34" s="619"/>
      <c r="D34" s="619"/>
      <c r="E34" s="619"/>
      <c r="F34" s="61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23" t="str">
        <f>+VLOOKUP($A35,Master!$D$30:$G$226,4,FALSE)</f>
        <v>Rashodi za tekuće održavanje</v>
      </c>
      <c r="C35" s="524"/>
      <c r="D35" s="524"/>
      <c r="E35" s="524"/>
      <c r="F35" s="524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23" t="str">
        <f>+VLOOKUP($A36,Master!$D$30:$G$226,4,FALSE)</f>
        <v>Kamate</v>
      </c>
      <c r="C36" s="524"/>
      <c r="D36" s="524"/>
      <c r="E36" s="524"/>
      <c r="F36" s="524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23" t="str">
        <f>+VLOOKUP($A37,Master!$D$30:$G$226,4,FALSE)</f>
        <v>Renta</v>
      </c>
      <c r="C37" s="524"/>
      <c r="D37" s="524"/>
      <c r="E37" s="524"/>
      <c r="F37" s="524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23" t="str">
        <f>+VLOOKUP($A38,Master!$D$30:$G$226,4,FALSE)</f>
        <v>Subvencije</v>
      </c>
      <c r="C38" s="524"/>
      <c r="D38" s="524"/>
      <c r="E38" s="524"/>
      <c r="F38" s="524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18" t="str">
        <f>+VLOOKUP($A39,Master!$D$30:$G$226,4,FALSE)</f>
        <v>Ostali izdaci</v>
      </c>
      <c r="C39" s="619"/>
      <c r="D39" s="619"/>
      <c r="E39" s="619"/>
      <c r="F39" s="61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39" t="str">
        <f>+VLOOKUP($A40,Master!$D$30:$G$226,4,FALSE)</f>
        <v>Transferi za socijalnu zaštitu</v>
      </c>
      <c r="C40" s="540"/>
      <c r="D40" s="540"/>
      <c r="E40" s="540"/>
      <c r="F40" s="540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23" t="str">
        <f>+VLOOKUP($A41,Master!$D$30:$G$226,4,FALSE)</f>
        <v>Prava iz oblasti socijalne zaštite</v>
      </c>
      <c r="C41" s="524"/>
      <c r="D41" s="524"/>
      <c r="E41" s="524"/>
      <c r="F41" s="524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23" t="str">
        <f>+VLOOKUP($A42,Master!$D$30:$G$226,4,FALSE)</f>
        <v>Sredstva za tehnološke viškove</v>
      </c>
      <c r="C42" s="524"/>
      <c r="D42" s="524"/>
      <c r="E42" s="524"/>
      <c r="F42" s="524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23" t="str">
        <f>+VLOOKUP($A43,Master!$D$30:$G$226,4,FALSE)</f>
        <v>Prava iz oblasti penzijskog i invalidskog osiguranja</v>
      </c>
      <c r="C43" s="524"/>
      <c r="D43" s="524"/>
      <c r="E43" s="524"/>
      <c r="F43" s="524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23" t="str">
        <f>+VLOOKUP($A44,Master!$D$30:$G$226,4,FALSE)</f>
        <v>Ostala prava iz oblasti zdravstvene zaštite</v>
      </c>
      <c r="C44" s="524"/>
      <c r="D44" s="524"/>
      <c r="E44" s="524"/>
      <c r="F44" s="524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37" t="str">
        <f>+VLOOKUP($A46,Master!$D$30:$G$226,4,FALSE)</f>
        <v xml:space="preserve">Transferi institucijama, pojedincima, nevladinom i javnom sektoru </v>
      </c>
      <c r="C46" s="538"/>
      <c r="D46" s="538"/>
      <c r="E46" s="538"/>
      <c r="F46" s="53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37" t="str">
        <f>+VLOOKUP($A47,Master!$D$30:$G$226,4,FALSE)</f>
        <v>Kapitalni izdaci</v>
      </c>
      <c r="C47" s="538"/>
      <c r="D47" s="538"/>
      <c r="E47" s="538"/>
      <c r="F47" s="53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08" t="str">
        <f>+VLOOKUP($A49,Master!$D$30:$G$226,4,FALSE)</f>
        <v>Rezerve</v>
      </c>
      <c r="C49" s="609"/>
      <c r="D49" s="609"/>
      <c r="E49" s="609"/>
      <c r="F49" s="60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3" t="str">
        <f>+VLOOKUP($A50,Master!$D$30:$G$226,4,FALSE)</f>
        <v>Otplata garancija</v>
      </c>
      <c r="C50" s="544"/>
      <c r="D50" s="544"/>
      <c r="E50" s="544"/>
      <c r="F50" s="544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10" t="str">
        <f>+VLOOKUP($A51,Master!$D$30:$G$226,4,TRUE)</f>
        <v>Otplata obaveza iz prethodnog perioda</v>
      </c>
      <c r="C51" s="611"/>
      <c r="D51" s="611"/>
      <c r="E51" s="611"/>
      <c r="F51" s="61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12" t="str">
        <f>+VLOOKUP($A52,Master!$D$30:$G$228,4,FALSE)</f>
        <v>Neto povećanje obaveza</v>
      </c>
      <c r="C52" s="613"/>
      <c r="D52" s="613"/>
      <c r="E52" s="613"/>
      <c r="F52" s="61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5" t="str">
        <f>+VLOOKUP($A53,Master!$D$30:$G$226,4,FALSE)</f>
        <v>Suficit / deficit</v>
      </c>
      <c r="C53" s="546"/>
      <c r="D53" s="546"/>
      <c r="E53" s="546"/>
      <c r="F53" s="546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7" t="str">
        <f>+VLOOKUP($A54,Master!$D$30:$G$226,4,FALSE)</f>
        <v>Primarni suficit/deficit</v>
      </c>
      <c r="C54" s="548"/>
      <c r="D54" s="548"/>
      <c r="E54" s="548"/>
      <c r="F54" s="548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69" t="str">
        <f>+VLOOKUP($A55,Master!$D$30:$G$226,4,FALSE)</f>
        <v>Otplata dugova</v>
      </c>
      <c r="C55" s="570"/>
      <c r="D55" s="570"/>
      <c r="E55" s="570"/>
      <c r="F55" s="570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41" t="str">
        <f>+VLOOKUP($A57,Master!$D$30:$G$226,4,FALSE)</f>
        <v>Otplata hartija od vrijednosti i kredita nerezidentima</v>
      </c>
      <c r="C57" s="542"/>
      <c r="D57" s="542"/>
      <c r="E57" s="542"/>
      <c r="F57" s="542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33" t="str">
        <f>+VLOOKUP($A58,Master!$D$30:$G$226,4,FALSE)</f>
        <v>Izdaci za kupovinu hartija od vrijednosti</v>
      </c>
      <c r="C58" s="534"/>
      <c r="D58" s="534"/>
      <c r="E58" s="534"/>
      <c r="F58" s="534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67" t="str">
        <f>+VLOOKUP($A59,Master!$D$30:$G$226,4,FALSE)</f>
        <v>Nedostajuća sredstva</v>
      </c>
      <c r="C59" s="568"/>
      <c r="D59" s="568"/>
      <c r="E59" s="568"/>
      <c r="F59" s="568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31" t="str">
        <f>+VLOOKUP($A60,Master!$D$30:$G$226,4,FALSE)</f>
        <v>Finansiranje</v>
      </c>
      <c r="C60" s="532"/>
      <c r="D60" s="532"/>
      <c r="E60" s="532"/>
      <c r="F60" s="532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65" t="str">
        <f>+VLOOKUP($A61,Master!$D$30:$G$226,4,FALSE)</f>
        <v>Pozajmice i krediti od domaćih izvora</v>
      </c>
      <c r="C61" s="566"/>
      <c r="D61" s="566"/>
      <c r="E61" s="566"/>
      <c r="F61" s="566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41" t="str">
        <f>+VLOOKUP($A62,Master!$D$30:$G$226,4,FALSE)</f>
        <v>Pozajmice i krediti od inostranih izvora</v>
      </c>
      <c r="C62" s="542"/>
      <c r="D62" s="542"/>
      <c r="E62" s="542"/>
      <c r="F62" s="542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41" t="str">
        <f>+VLOOKUP($A63,Master!$D$30:$G$226,4,FALSE)</f>
        <v>Primici od prodaje imovine</v>
      </c>
      <c r="C63" s="542"/>
      <c r="D63" s="542"/>
      <c r="E63" s="542"/>
      <c r="F63" s="542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7" t="str">
        <f>+Master!G253</f>
        <v>Plan ostvarenja budžeta</v>
      </c>
      <c r="C100" s="598"/>
      <c r="D100" s="598"/>
      <c r="E100" s="598"/>
      <c r="F100" s="598"/>
      <c r="G100" s="605">
        <v>2020</v>
      </c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7"/>
      <c r="S100" s="107" t="str">
        <f>+S7</f>
        <v>BDP</v>
      </c>
      <c r="T100" s="108">
        <v>4607300000</v>
      </c>
    </row>
    <row r="101" spans="1:21" ht="15.75" customHeight="1">
      <c r="B101" s="599"/>
      <c r="C101" s="600"/>
      <c r="D101" s="600"/>
      <c r="E101" s="600"/>
      <c r="F101" s="601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5" t="str">
        <f>+Master!G247</f>
        <v>Jan - Dec</v>
      </c>
      <c r="T101" s="607">
        <f>+T8</f>
        <v>0</v>
      </c>
    </row>
    <row r="102" spans="1:21" ht="13.5" thickBot="1">
      <c r="B102" s="602"/>
      <c r="C102" s="603"/>
      <c r="D102" s="603"/>
      <c r="E102" s="603"/>
      <c r="F102" s="60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1" t="str">
        <f>+VLOOKUP(LEFT($A103,LEN(A103)-1)*1,Master!$D$30:$G$226,4,FALSE)</f>
        <v>Prihodi budžeta</v>
      </c>
      <c r="C103" s="622"/>
      <c r="D103" s="622"/>
      <c r="E103" s="622"/>
      <c r="F103" s="62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5" t="str">
        <f>+VLOOKUP(LEFT($A104,LEN(A104)-1)*1,Master!$D$30:$G$226,4,FALSE)</f>
        <v>Porezi</v>
      </c>
      <c r="C104" s="596"/>
      <c r="D104" s="596"/>
      <c r="E104" s="596"/>
      <c r="F104" s="596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7" t="str">
        <f>+VLOOKUP(LEFT($A105,LEN(A105)-1)*1,Master!$D$30:$G$229,4,FALSE)</f>
        <v>Porez na dohodak fizičkih lica</v>
      </c>
      <c r="C105" s="588"/>
      <c r="D105" s="588"/>
      <c r="E105" s="588"/>
      <c r="F105" s="588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87" t="str">
        <f>+VLOOKUP(LEFT($A106,LEN(A106)-1)*1,Master!$D$30:$G$229,4,FALSE)</f>
        <v>Porez na dobit pravnih lica</v>
      </c>
      <c r="C106" s="588"/>
      <c r="D106" s="588"/>
      <c r="E106" s="588"/>
      <c r="F106" s="588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87" t="str">
        <f>+VLOOKUP(LEFT($A107,LEN(A107)-1)*1,Master!$D$30:$G$229,4,FALSE)</f>
        <v>Porez na promet nepokretnosti</v>
      </c>
      <c r="C107" s="588"/>
      <c r="D107" s="588"/>
      <c r="E107" s="588"/>
      <c r="F107" s="588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87" t="str">
        <f>+VLOOKUP(LEFT($A108,LEN(A108)-1)*1,Master!$D$30:$G$229,4,FALSE)</f>
        <v>Porez na dodatu vrijednost</v>
      </c>
      <c r="C108" s="588"/>
      <c r="D108" s="588"/>
      <c r="E108" s="588"/>
      <c r="F108" s="588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87" t="str">
        <f>+VLOOKUP(LEFT($A109,LEN(A109)-1)*1,Master!$D$30:$G$229,4,FALSE)</f>
        <v>Akcize</v>
      </c>
      <c r="C109" s="588"/>
      <c r="D109" s="588"/>
      <c r="E109" s="588"/>
      <c r="F109" s="588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87" t="str">
        <f>+VLOOKUP(LEFT($A110,LEN(A110)-1)*1,Master!$D$30:$G$229,4,FALSE)</f>
        <v>Porez na međunarodnu trgovinu i transakcije</v>
      </c>
      <c r="C110" s="588"/>
      <c r="D110" s="588"/>
      <c r="E110" s="588"/>
      <c r="F110" s="588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87" t="str">
        <f>+VLOOKUP(LEFT($A111,LEN(A111)-1)*1,Master!$D$30:$G$229,4,FALSE)</f>
        <v>Ostali državni porezi</v>
      </c>
      <c r="C111" s="588"/>
      <c r="D111" s="588"/>
      <c r="E111" s="588"/>
      <c r="F111" s="588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3" t="str">
        <f>+VLOOKUP(LEFT($A112,LEN(A112)-1)*1,Master!$D$30:$G$229,4,FALSE)</f>
        <v>Doprinosi</v>
      </c>
      <c r="C112" s="624"/>
      <c r="D112" s="624"/>
      <c r="E112" s="624"/>
      <c r="F112" s="624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87" t="str">
        <f>+VLOOKUP(LEFT($A113,LEN(A113)-1)*1,Master!$D$30:$G$229,4,FALSE)</f>
        <v>Doprinosi za penzijsko i invalidsko osiguranje</v>
      </c>
      <c r="C113" s="588"/>
      <c r="D113" s="588"/>
      <c r="E113" s="588"/>
      <c r="F113" s="588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87" t="str">
        <f>+VLOOKUP(LEFT($A114,LEN(A114)-1)*1,Master!$D$30:$G$229,4,FALSE)</f>
        <v>Doprinosi za zdravstveno osiguranje</v>
      </c>
      <c r="C114" s="588"/>
      <c r="D114" s="588"/>
      <c r="E114" s="588"/>
      <c r="F114" s="588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87" t="str">
        <f>+VLOOKUP(LEFT($A115,LEN(A115)-1)*1,Master!$D$30:$G$229,4,FALSE)</f>
        <v>Doprinosi za osiguranje od nezaposlenosti</v>
      </c>
      <c r="C115" s="588"/>
      <c r="D115" s="588"/>
      <c r="E115" s="588"/>
      <c r="F115" s="588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87" t="str">
        <f>+VLOOKUP(LEFT($A116,LEN(A116)-1)*1,Master!$D$30:$G$229,4,FALSE)</f>
        <v>Ostali doprinosi</v>
      </c>
      <c r="C116" s="588"/>
      <c r="D116" s="588"/>
      <c r="E116" s="588"/>
      <c r="F116" s="588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593" t="str">
        <f>+VLOOKUP(LEFT($A117,LEN(A117)-1)*1,Master!$D$30:$G$229,4,FALSE)</f>
        <v>Takse</v>
      </c>
      <c r="C117" s="594"/>
      <c r="D117" s="594"/>
      <c r="E117" s="594"/>
      <c r="F117" s="59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593" t="str">
        <f>+VLOOKUP(LEFT($A118,LEN(A118)-1)*1,Master!$D$30:$G$229,4,FALSE)</f>
        <v>Naknade</v>
      </c>
      <c r="C118" s="594"/>
      <c r="D118" s="594"/>
      <c r="E118" s="594"/>
      <c r="F118" s="59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593" t="str">
        <f>+VLOOKUP(LEFT($A119,LEN(A119)-1)*1,Master!$D$30:$G$229,4,FALSE)</f>
        <v>Ostali prihodi</v>
      </c>
      <c r="C119" s="594"/>
      <c r="D119" s="594"/>
      <c r="E119" s="594"/>
      <c r="F119" s="59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593" t="str">
        <f>+VLOOKUP(LEFT($A120,LEN(A120)-1)*1,Master!$D$30:$G$229,4,FALSE)</f>
        <v>Primici od otplate kredita i sredstva prenesena iz prethodne godine</v>
      </c>
      <c r="C120" s="594"/>
      <c r="D120" s="594"/>
      <c r="E120" s="594"/>
      <c r="F120" s="59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589" t="str">
        <f>+VLOOKUP(LEFT($A121,LEN(A121)-1)*1,Master!$D$30:$G$229,4,FALSE)</f>
        <v>Donacije i transferi</v>
      </c>
      <c r="C121" s="590"/>
      <c r="D121" s="590"/>
      <c r="E121" s="590"/>
      <c r="F121" s="590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71" t="str">
        <f>+VLOOKUP(LEFT($A122,LEN(A122)-1)*1,Master!$D$30:$G$229,4,FALSE)</f>
        <v>Izdaci budžeta</v>
      </c>
      <c r="C122" s="572"/>
      <c r="D122" s="572"/>
      <c r="E122" s="572"/>
      <c r="F122" s="572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591" t="str">
        <f>+VLOOKUP(LEFT($A123,LEN(A123)-1)*1,Master!$D$30:$G$229,4,FALSE)</f>
        <v>Tekući izdaci</v>
      </c>
      <c r="C123" s="592"/>
      <c r="D123" s="592"/>
      <c r="E123" s="592"/>
      <c r="F123" s="59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87" t="str">
        <f>+VLOOKUP(LEFT($A124,LEN(A124)-1)*1,Master!$D$30:$G$229,4,FALSE)</f>
        <v>Bruto zarade i doprinosi na teret poslodavca</v>
      </c>
      <c r="C124" s="588"/>
      <c r="D124" s="588"/>
      <c r="E124" s="588"/>
      <c r="F124" s="588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87" t="str">
        <f>+VLOOKUP(LEFT($A125,LEN(A125)-1)*1,Master!$D$30:$G$229,4,FALSE)</f>
        <v>Ostala lična primanja</v>
      </c>
      <c r="C125" s="588"/>
      <c r="D125" s="588"/>
      <c r="E125" s="588"/>
      <c r="F125" s="588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87" t="str">
        <f>+VLOOKUP(LEFT($A126,LEN(A126)-1)*1,Master!$D$30:$G$229,4,FALSE)</f>
        <v>Rashodi za materijal</v>
      </c>
      <c r="C126" s="588"/>
      <c r="D126" s="588"/>
      <c r="E126" s="588"/>
      <c r="F126" s="588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87" t="str">
        <f>+VLOOKUP(LEFT($A127,LEN(A127)-1)*1,Master!$D$30:$G$229,4,FALSE)</f>
        <v>Rashodi za usluge</v>
      </c>
      <c r="C127" s="588"/>
      <c r="D127" s="588"/>
      <c r="E127" s="588"/>
      <c r="F127" s="588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87" t="str">
        <f>+VLOOKUP(LEFT($A128,LEN(A128)-1)*1,Master!$D$30:$G$229,4,FALSE)</f>
        <v>Rashodi za tekuće održavanje</v>
      </c>
      <c r="C128" s="588"/>
      <c r="D128" s="588"/>
      <c r="E128" s="588"/>
      <c r="F128" s="588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87" t="str">
        <f>+VLOOKUP(LEFT($A129,LEN(A129)-1)*1,Master!$D$30:$G$229,4,FALSE)</f>
        <v>Kamate</v>
      </c>
      <c r="C129" s="588"/>
      <c r="D129" s="588"/>
      <c r="E129" s="588"/>
      <c r="F129" s="588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87" t="str">
        <f>+VLOOKUP(LEFT($A130,LEN(A130)-1)*1,Master!$D$30:$G$229,4,FALSE)</f>
        <v>Renta</v>
      </c>
      <c r="C130" s="588"/>
      <c r="D130" s="588"/>
      <c r="E130" s="588"/>
      <c r="F130" s="588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87" t="str">
        <f>+VLOOKUP(LEFT($A131,LEN(A131)-1)*1,Master!$D$30:$G$229,4,FALSE)</f>
        <v>Subvencije</v>
      </c>
      <c r="C131" s="588"/>
      <c r="D131" s="588"/>
      <c r="E131" s="588"/>
      <c r="F131" s="588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87" t="str">
        <f>+VLOOKUP(LEFT($A132,LEN(A132)-1)*1,Master!$D$30:$G$229,4,FALSE)</f>
        <v>Ostali izdaci</v>
      </c>
      <c r="C132" s="588"/>
      <c r="D132" s="588"/>
      <c r="E132" s="588"/>
      <c r="F132" s="588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83" t="str">
        <f>+VLOOKUP(LEFT($A133,LEN(A133)-1)*1,Master!$D$30:$G$229,4,FALSE)</f>
        <v>Transferi za socijalnu zaštitu</v>
      </c>
      <c r="C133" s="584"/>
      <c r="D133" s="584"/>
      <c r="E133" s="584"/>
      <c r="F133" s="584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87" t="str">
        <f>+VLOOKUP(LEFT($A134,LEN(A134)-1)*1,Master!$D$30:$G$229,4,FALSE)</f>
        <v>Prava iz oblasti socijalne zaštite</v>
      </c>
      <c r="C134" s="588"/>
      <c r="D134" s="588"/>
      <c r="E134" s="588"/>
      <c r="F134" s="588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87" t="str">
        <f>+VLOOKUP(LEFT($A135,LEN(A135)-1)*1,Master!$D$30:$G$229,4,FALSE)</f>
        <v>Sredstva za tehnološke viškove</v>
      </c>
      <c r="C135" s="588"/>
      <c r="D135" s="588"/>
      <c r="E135" s="588"/>
      <c r="F135" s="588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87" t="str">
        <f>+VLOOKUP(LEFT($A136,LEN(A136)-1)*1,Master!$D$30:$G$229,4,FALSE)</f>
        <v>Prava iz oblasti penzijskog i invalidskog osiguranja</v>
      </c>
      <c r="C136" s="588"/>
      <c r="D136" s="588"/>
      <c r="E136" s="588"/>
      <c r="F136" s="588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87" t="str">
        <f>+VLOOKUP(LEFT($A137,LEN(A137)-1)*1,Master!$D$30:$G$229,4,FALSE)</f>
        <v>Ostala prava iz oblasti zdravstvene zaštite</v>
      </c>
      <c r="C137" s="588"/>
      <c r="D137" s="588"/>
      <c r="E137" s="588"/>
      <c r="F137" s="588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87" t="str">
        <f>+VLOOKUP(LEFT($A138,LEN(A138)-1)*1,Master!$D$30:$G$229,4,FALSE)</f>
        <v>Ostala prava iz zdravstvenog osiguranja</v>
      </c>
      <c r="C138" s="588"/>
      <c r="D138" s="588"/>
      <c r="E138" s="588"/>
      <c r="F138" s="588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85" t="str">
        <f>+VLOOKUP(LEFT($A139,LEN(A139)-1)*1,Master!$D$30:$G$229,4,FALSE)</f>
        <v xml:space="preserve">Transferi institucijama, pojedincima, nevladinom i javnom sektoru </v>
      </c>
      <c r="C139" s="586"/>
      <c r="D139" s="586"/>
      <c r="E139" s="586"/>
      <c r="F139" s="586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85" t="str">
        <f>+VLOOKUP(LEFT($A140,LEN(A140)-1)*1,Master!$D$30:$G$229,4,FALSE)</f>
        <v>Kapitalni izdaci</v>
      </c>
      <c r="C140" s="586"/>
      <c r="D140" s="586"/>
      <c r="E140" s="586"/>
      <c r="F140" s="586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77" t="str">
        <f>+VLOOKUP(LEFT($A141,LEN(A141)-1)*1,Master!$D$30:$G$229,4,FALSE)</f>
        <v>Pozajmice i krediti</v>
      </c>
      <c r="C141" s="578"/>
      <c r="D141" s="578"/>
      <c r="E141" s="578"/>
      <c r="F141" s="578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77" t="str">
        <f>+VLOOKUP(LEFT($A142,LEN(A142)-1)*1,Master!$D$30:$G$229,4,FALSE)</f>
        <v>Rezerve</v>
      </c>
      <c r="C142" s="578"/>
      <c r="D142" s="578"/>
      <c r="E142" s="578"/>
      <c r="F142" s="578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77" t="str">
        <f>+VLOOKUP(LEFT($A143,LEN(A143)-1)*1,Master!$D$30:$G$229,4,FALSE)</f>
        <v>Otplata garancija</v>
      </c>
      <c r="C143" s="578"/>
      <c r="D143" s="578"/>
      <c r="E143" s="578"/>
      <c r="F143" s="578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77" t="str">
        <f>+VLOOKUP(LEFT($A144,LEN(A144)-1)*1,Master!$D$30:$G$229,4,FALSE)</f>
        <v>Otplata obaveza iz prethodnog perioda</v>
      </c>
      <c r="C144" s="578"/>
      <c r="D144" s="578"/>
      <c r="E144" s="578"/>
      <c r="F144" s="578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7" t="str">
        <f>+VLOOKUP(LEFT($A145,LEN(A145)-1)*1,Master!$D$30:$G$229,4,FALSE)</f>
        <v>Neto povećanje obaveza</v>
      </c>
      <c r="C145" s="578"/>
      <c r="D145" s="578"/>
      <c r="E145" s="578"/>
      <c r="F145" s="578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79" t="str">
        <f>+VLOOKUP(LEFT($A146,LEN(A146)-1)*1,Master!$D$30:$G$226,4,FALSE)</f>
        <v>Suficit / deficit</v>
      </c>
      <c r="C146" s="580"/>
      <c r="D146" s="580"/>
      <c r="E146" s="580"/>
      <c r="F146" s="580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1" t="str">
        <f>+VLOOKUP(LEFT($A147,LEN(A147)-1)*1,Master!$D$30:$G$226,4,FALSE)</f>
        <v>Primarni suficit/deficit</v>
      </c>
      <c r="C147" s="582"/>
      <c r="D147" s="582"/>
      <c r="E147" s="582"/>
      <c r="F147" s="582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83" t="str">
        <f>+VLOOKUP(LEFT($A148,LEN(A148)-1)*1,Master!$D$30:$G$226,4,FALSE)</f>
        <v>Otplata dugova</v>
      </c>
      <c r="C148" s="584"/>
      <c r="D148" s="584"/>
      <c r="E148" s="584"/>
      <c r="F148" s="584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75" t="str">
        <f>+VLOOKUP(LEFT($A149,LEN(A149)-1)*1,Master!$D$30:$G$226,4,FALSE)</f>
        <v>Otplata hartija od vrijednosti i kredita rezidentima</v>
      </c>
      <c r="C149" s="576"/>
      <c r="D149" s="576"/>
      <c r="E149" s="576"/>
      <c r="F149" s="576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77" t="str">
        <f>+VLOOKUP(LEFT($A150,LEN(A150)-1)*1,Master!$D$30:$G$226,4,FALSE)</f>
        <v>Otplata hartija od vrijednosti i kredita nerezidentima</v>
      </c>
      <c r="C150" s="578"/>
      <c r="D150" s="578"/>
      <c r="E150" s="578"/>
      <c r="F150" s="578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71" t="str">
        <f>+VLOOKUP(LEFT($A151,LEN(A151)-1)*1,Master!$D$30:$G$226,4,FALSE)</f>
        <v>Izdaci za kupovinu hartija od vrijednosti</v>
      </c>
      <c r="C151" s="572"/>
      <c r="D151" s="572"/>
      <c r="E151" s="572"/>
      <c r="F151" s="572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73" t="str">
        <f>+VLOOKUP(LEFT($A152,LEN(A152)-1)*1,Master!$D$30:$G$226,4,FALSE)</f>
        <v>Nedostajuća sredstva</v>
      </c>
      <c r="C152" s="574"/>
      <c r="D152" s="574"/>
      <c r="E152" s="574"/>
      <c r="F152" s="574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71" t="str">
        <f>+VLOOKUP(LEFT($A153,LEN(A153)-1)*1,Master!$D$30:$G$226,4,FALSE)</f>
        <v>Finansiranje</v>
      </c>
      <c r="C153" s="572"/>
      <c r="D153" s="572"/>
      <c r="E153" s="572"/>
      <c r="F153" s="572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75" t="str">
        <f>+VLOOKUP(LEFT($A154,LEN(A154)-1)*1,Master!$D$30:$G$226,4,FALSE)</f>
        <v>Pozajmice i krediti od domaćih izvora</v>
      </c>
      <c r="C154" s="576"/>
      <c r="D154" s="576"/>
      <c r="E154" s="576"/>
      <c r="F154" s="576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77" t="str">
        <f>+VLOOKUP(LEFT($A155,LEN(A155)-1)*1,Master!$D$30:$G$226,4,FALSE)</f>
        <v>Pozajmice i krediti od inostranih izvora</v>
      </c>
      <c r="C155" s="578"/>
      <c r="D155" s="578"/>
      <c r="E155" s="578"/>
      <c r="F155" s="578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77" t="str">
        <f>+VLOOKUP(LEFT($A156,LEN(A156)-1)*1,Master!$D$30:$G$226,4,FALSE)</f>
        <v>Primici od prodaje imovine</v>
      </c>
      <c r="C156" s="578"/>
      <c r="D156" s="578"/>
      <c r="E156" s="578"/>
      <c r="F156" s="578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796875" defaultRowHeight="13"/>
  <cols>
    <col min="1" max="1" width="5.453125" style="70" customWidth="1"/>
    <col min="2" max="4" width="9.1796875" style="258"/>
    <col min="5" max="5" width="23.453125" style="258" bestFit="1" customWidth="1"/>
    <col min="6" max="6" width="0.4531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20.26953125" style="258" customWidth="1"/>
    <col min="22" max="22" width="11" style="258" customWidth="1"/>
    <col min="23" max="23" width="13.81640625" style="258" bestFit="1" customWidth="1"/>
    <col min="24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20" t="s">
        <v>553</v>
      </c>
      <c r="C7" s="552"/>
      <c r="D7" s="552"/>
      <c r="E7" s="552"/>
      <c r="F7" s="552"/>
      <c r="G7" s="560">
        <v>2019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">
        <v>419</v>
      </c>
      <c r="T7" s="236">
        <v>4951000000</v>
      </c>
    </row>
    <row r="8" spans="1:20" ht="16.5" customHeight="1">
      <c r="A8" s="144"/>
      <c r="B8" s="553"/>
      <c r="C8" s="554"/>
      <c r="D8" s="554"/>
      <c r="E8" s="554"/>
      <c r="F8" s="555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0" t="s">
        <v>806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1" t="s">
        <v>680</v>
      </c>
      <c r="C10" s="532"/>
      <c r="D10" s="532"/>
      <c r="E10" s="532"/>
      <c r="F10" s="532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21" t="s">
        <v>21</v>
      </c>
      <c r="C11" s="522"/>
      <c r="D11" s="522"/>
      <c r="E11" s="522"/>
      <c r="F11" s="522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23" t="s">
        <v>23</v>
      </c>
      <c r="C12" s="524"/>
      <c r="D12" s="524"/>
      <c r="E12" s="524"/>
      <c r="F12" s="524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23" t="s">
        <v>25</v>
      </c>
      <c r="C13" s="524"/>
      <c r="D13" s="524"/>
      <c r="E13" s="524"/>
      <c r="F13" s="524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23" t="s">
        <v>27</v>
      </c>
      <c r="C14" s="524"/>
      <c r="D14" s="524"/>
      <c r="E14" s="524"/>
      <c r="F14" s="524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23" t="s">
        <v>29</v>
      </c>
      <c r="C15" s="524"/>
      <c r="D15" s="524"/>
      <c r="E15" s="524"/>
      <c r="F15" s="524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23" t="s">
        <v>31</v>
      </c>
      <c r="C16" s="524"/>
      <c r="D16" s="524"/>
      <c r="E16" s="524"/>
      <c r="F16" s="524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23" t="s">
        <v>33</v>
      </c>
      <c r="C17" s="524"/>
      <c r="D17" s="524"/>
      <c r="E17" s="524"/>
      <c r="F17" s="524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23" t="s">
        <v>721</v>
      </c>
      <c r="C18" s="524"/>
      <c r="D18" s="524"/>
      <c r="E18" s="524"/>
      <c r="F18" s="524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27" t="s">
        <v>37</v>
      </c>
      <c r="C19" s="528"/>
      <c r="D19" s="528"/>
      <c r="E19" s="528"/>
      <c r="F19" s="528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23" t="s">
        <v>39</v>
      </c>
      <c r="C20" s="524"/>
      <c r="D20" s="524"/>
      <c r="E20" s="524"/>
      <c r="F20" s="524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23" t="s">
        <v>41</v>
      </c>
      <c r="C21" s="524"/>
      <c r="D21" s="524"/>
      <c r="E21" s="524"/>
      <c r="F21" s="524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23" t="s">
        <v>43</v>
      </c>
      <c r="C22" s="524"/>
      <c r="D22" s="524"/>
      <c r="E22" s="524"/>
      <c r="F22" s="524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23" t="s">
        <v>45</v>
      </c>
      <c r="C23" s="524"/>
      <c r="D23" s="524"/>
      <c r="E23" s="524"/>
      <c r="F23" s="524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25" t="s">
        <v>47</v>
      </c>
      <c r="C24" s="526"/>
      <c r="D24" s="526"/>
      <c r="E24" s="526"/>
      <c r="F24" s="526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25" t="s">
        <v>61</v>
      </c>
      <c r="C25" s="526"/>
      <c r="D25" s="526"/>
      <c r="E25" s="526"/>
      <c r="F25" s="526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25" t="s">
        <v>81</v>
      </c>
      <c r="C26" s="526"/>
      <c r="D26" s="526"/>
      <c r="E26" s="526"/>
      <c r="F26" s="526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25" t="s">
        <v>99</v>
      </c>
      <c r="C27" s="526"/>
      <c r="D27" s="526"/>
      <c r="E27" s="526"/>
      <c r="F27" s="526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29" t="s">
        <v>105</v>
      </c>
      <c r="C28" s="530"/>
      <c r="D28" s="530"/>
      <c r="E28" s="530"/>
      <c r="F28" s="53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31" t="s">
        <v>801</v>
      </c>
      <c r="C29" s="532"/>
      <c r="D29" s="532"/>
      <c r="E29" s="532"/>
      <c r="F29" s="532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33" t="s">
        <v>120</v>
      </c>
      <c r="C30" s="534"/>
      <c r="D30" s="534"/>
      <c r="E30" s="534"/>
      <c r="F30" s="534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23" t="s">
        <v>122</v>
      </c>
      <c r="C31" s="524"/>
      <c r="D31" s="524"/>
      <c r="E31" s="524"/>
      <c r="F31" s="524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23" t="s">
        <v>133</v>
      </c>
      <c r="C32" s="524"/>
      <c r="D32" s="524"/>
      <c r="E32" s="524"/>
      <c r="F32" s="524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23" t="s">
        <v>148</v>
      </c>
      <c r="C33" s="524"/>
      <c r="D33" s="524"/>
      <c r="E33" s="524"/>
      <c r="F33" s="524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23" t="s">
        <v>162</v>
      </c>
      <c r="C34" s="524"/>
      <c r="D34" s="524"/>
      <c r="E34" s="524"/>
      <c r="F34" s="524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18" t="s">
        <v>182</v>
      </c>
      <c r="C35" s="619"/>
      <c r="D35" s="619"/>
      <c r="E35" s="619"/>
      <c r="F35" s="61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23" t="s">
        <v>190</v>
      </c>
      <c r="C36" s="524"/>
      <c r="D36" s="524"/>
      <c r="E36" s="524"/>
      <c r="F36" s="524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23" t="s">
        <v>196</v>
      </c>
      <c r="C37" s="524"/>
      <c r="D37" s="524"/>
      <c r="E37" s="524"/>
      <c r="F37" s="524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23" t="s">
        <v>204</v>
      </c>
      <c r="C38" s="524"/>
      <c r="D38" s="524"/>
      <c r="E38" s="524"/>
      <c r="F38" s="524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23" t="s">
        <v>212</v>
      </c>
      <c r="C39" s="524"/>
      <c r="D39" s="524"/>
      <c r="E39" s="524"/>
      <c r="F39" s="524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39" t="s">
        <v>230</v>
      </c>
      <c r="C40" s="540"/>
      <c r="D40" s="540"/>
      <c r="E40" s="540"/>
      <c r="F40" s="540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23" t="s">
        <v>232</v>
      </c>
      <c r="C41" s="524"/>
      <c r="D41" s="524"/>
      <c r="E41" s="524"/>
      <c r="F41" s="524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23" t="s">
        <v>248</v>
      </c>
      <c r="C42" s="524"/>
      <c r="D42" s="524"/>
      <c r="E42" s="524"/>
      <c r="F42" s="524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23" t="s">
        <v>259</v>
      </c>
      <c r="C43" s="524"/>
      <c r="D43" s="524"/>
      <c r="E43" s="524"/>
      <c r="F43" s="524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23" t="s">
        <v>274</v>
      </c>
      <c r="C44" s="524"/>
      <c r="D44" s="524"/>
      <c r="E44" s="524"/>
      <c r="F44" s="524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23" t="s">
        <v>278</v>
      </c>
      <c r="C45" s="524"/>
      <c r="D45" s="524"/>
      <c r="E45" s="524"/>
      <c r="F45" s="524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37" t="s">
        <v>286</v>
      </c>
      <c r="C46" s="538"/>
      <c r="D46" s="538"/>
      <c r="E46" s="538"/>
      <c r="F46" s="53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37" t="s">
        <v>320</v>
      </c>
      <c r="C47" s="538"/>
      <c r="D47" s="538"/>
      <c r="E47" s="538"/>
      <c r="F47" s="53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16" t="s">
        <v>113</v>
      </c>
      <c r="C48" s="617"/>
      <c r="D48" s="617"/>
      <c r="E48" s="617"/>
      <c r="F48" s="61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08" t="s">
        <v>366</v>
      </c>
      <c r="C49" s="609"/>
      <c r="D49" s="609"/>
      <c r="E49" s="609"/>
      <c r="F49" s="60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3" t="s">
        <v>359</v>
      </c>
      <c r="C50" s="544"/>
      <c r="D50" s="544"/>
      <c r="E50" s="544"/>
      <c r="F50" s="544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10" t="s">
        <v>794</v>
      </c>
      <c r="C51" s="611"/>
      <c r="D51" s="611"/>
      <c r="E51" s="611"/>
      <c r="F51" s="61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12" t="s">
        <v>684</v>
      </c>
      <c r="C52" s="613"/>
      <c r="D52" s="613"/>
      <c r="E52" s="613"/>
      <c r="F52" s="61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5" t="s">
        <v>545</v>
      </c>
      <c r="C53" s="546"/>
      <c r="D53" s="546"/>
      <c r="E53" s="546"/>
      <c r="F53" s="546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7" t="s">
        <v>792</v>
      </c>
      <c r="C54" s="548"/>
      <c r="D54" s="548"/>
      <c r="E54" s="548"/>
      <c r="F54" s="548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69" t="s">
        <v>352</v>
      </c>
      <c r="C55" s="570"/>
      <c r="D55" s="570"/>
      <c r="E55" s="570"/>
      <c r="F55" s="570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65" t="s">
        <v>355</v>
      </c>
      <c r="C56" s="566"/>
      <c r="D56" s="566"/>
      <c r="E56" s="566"/>
      <c r="F56" s="566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41" t="s">
        <v>357</v>
      </c>
      <c r="C57" s="542"/>
      <c r="D57" s="542"/>
      <c r="E57" s="542"/>
      <c r="F57" s="542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5" t="s">
        <v>336</v>
      </c>
      <c r="C58" s="626"/>
      <c r="D58" s="626"/>
      <c r="E58" s="626"/>
      <c r="F58" s="626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67" t="s">
        <v>543</v>
      </c>
      <c r="C59" s="568"/>
      <c r="D59" s="568"/>
      <c r="E59" s="568"/>
      <c r="F59" s="568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31" t="s">
        <v>544</v>
      </c>
      <c r="C60" s="532"/>
      <c r="D60" s="532"/>
      <c r="E60" s="532"/>
      <c r="F60" s="532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65" t="s">
        <v>114</v>
      </c>
      <c r="C61" s="566"/>
      <c r="D61" s="566"/>
      <c r="E61" s="566"/>
      <c r="F61" s="566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41" t="s">
        <v>116</v>
      </c>
      <c r="C62" s="542"/>
      <c r="D62" s="542"/>
      <c r="E62" s="542"/>
      <c r="F62" s="542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41" t="s">
        <v>93</v>
      </c>
      <c r="C63" s="542"/>
      <c r="D63" s="542"/>
      <c r="E63" s="542"/>
      <c r="F63" s="542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7" t="s">
        <v>551</v>
      </c>
      <c r="C100" s="598"/>
      <c r="D100" s="598"/>
      <c r="E100" s="598"/>
      <c r="F100" s="598"/>
      <c r="G100" s="605">
        <v>2019</v>
      </c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7"/>
      <c r="S100" s="107" t="str">
        <f>+S7</f>
        <v>BDP</v>
      </c>
      <c r="T100" s="108">
        <f>+T7</f>
        <v>4951000000</v>
      </c>
    </row>
    <row r="101" spans="1:21" ht="15.75" customHeight="1">
      <c r="B101" s="599"/>
      <c r="C101" s="600"/>
      <c r="D101" s="600"/>
      <c r="E101" s="600"/>
      <c r="F101" s="601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05" t="s">
        <v>806</v>
      </c>
      <c r="T101" s="607">
        <f>+T8</f>
        <v>0</v>
      </c>
    </row>
    <row r="102" spans="1:21" ht="13.5" thickBot="1">
      <c r="B102" s="602"/>
      <c r="C102" s="603"/>
      <c r="D102" s="603"/>
      <c r="E102" s="603"/>
      <c r="F102" s="604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1" t="s">
        <v>680</v>
      </c>
      <c r="C103" s="622"/>
      <c r="D103" s="622"/>
      <c r="E103" s="622"/>
      <c r="F103" s="622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5" t="s">
        <v>21</v>
      </c>
      <c r="C104" s="596"/>
      <c r="D104" s="596"/>
      <c r="E104" s="596"/>
      <c r="F104" s="596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7" t="s">
        <v>23</v>
      </c>
      <c r="C105" s="588"/>
      <c r="D105" s="588"/>
      <c r="E105" s="588"/>
      <c r="F105" s="588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87" t="s">
        <v>25</v>
      </c>
      <c r="C106" s="588"/>
      <c r="D106" s="588"/>
      <c r="E106" s="588"/>
      <c r="F106" s="588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87" t="s">
        <v>27</v>
      </c>
      <c r="C107" s="588"/>
      <c r="D107" s="588"/>
      <c r="E107" s="588"/>
      <c r="F107" s="588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87" t="s">
        <v>29</v>
      </c>
      <c r="C108" s="588"/>
      <c r="D108" s="588"/>
      <c r="E108" s="588"/>
      <c r="F108" s="588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87" t="s">
        <v>31</v>
      </c>
      <c r="C109" s="588"/>
      <c r="D109" s="588"/>
      <c r="E109" s="588"/>
      <c r="F109" s="588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87" t="s">
        <v>33</v>
      </c>
      <c r="C110" s="588"/>
      <c r="D110" s="588"/>
      <c r="E110" s="588"/>
      <c r="F110" s="588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87" t="s">
        <v>721</v>
      </c>
      <c r="C111" s="588"/>
      <c r="D111" s="588"/>
      <c r="E111" s="588"/>
      <c r="F111" s="588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3" t="s">
        <v>37</v>
      </c>
      <c r="C112" s="624"/>
      <c r="D112" s="624"/>
      <c r="E112" s="624"/>
      <c r="F112" s="624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87" t="s">
        <v>39</v>
      </c>
      <c r="C113" s="588"/>
      <c r="D113" s="588"/>
      <c r="E113" s="588"/>
      <c r="F113" s="588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87" t="s">
        <v>41</v>
      </c>
      <c r="C114" s="588"/>
      <c r="D114" s="588"/>
      <c r="E114" s="588"/>
      <c r="F114" s="588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87" t="s">
        <v>43</v>
      </c>
      <c r="C115" s="588"/>
      <c r="D115" s="588"/>
      <c r="E115" s="588"/>
      <c r="F115" s="588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87" t="s">
        <v>45</v>
      </c>
      <c r="C116" s="588"/>
      <c r="D116" s="588"/>
      <c r="E116" s="588"/>
      <c r="F116" s="588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593" t="s">
        <v>47</v>
      </c>
      <c r="C117" s="594"/>
      <c r="D117" s="594"/>
      <c r="E117" s="594"/>
      <c r="F117" s="59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593" t="s">
        <v>61</v>
      </c>
      <c r="C118" s="594"/>
      <c r="D118" s="594"/>
      <c r="E118" s="594"/>
      <c r="F118" s="59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593" t="s">
        <v>81</v>
      </c>
      <c r="C119" s="594"/>
      <c r="D119" s="594"/>
      <c r="E119" s="594"/>
      <c r="F119" s="59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593" t="s">
        <v>99</v>
      </c>
      <c r="C120" s="594"/>
      <c r="D120" s="594"/>
      <c r="E120" s="594"/>
      <c r="F120" s="59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589" t="s">
        <v>105</v>
      </c>
      <c r="C121" s="590"/>
      <c r="D121" s="590"/>
      <c r="E121" s="590"/>
      <c r="F121" s="590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71" t="s">
        <v>808</v>
      </c>
      <c r="C122" s="572"/>
      <c r="D122" s="572"/>
      <c r="E122" s="572"/>
      <c r="F122" s="572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27" t="s">
        <v>773</v>
      </c>
      <c r="C123" s="628"/>
      <c r="D123" s="628"/>
      <c r="E123" s="628"/>
      <c r="F123" s="628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591" t="e">
        <v>#REF!</v>
      </c>
      <c r="C124" s="592"/>
      <c r="D124" s="592"/>
      <c r="E124" s="592"/>
      <c r="F124" s="592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7" t="s">
        <v>122</v>
      </c>
      <c r="C125" s="588"/>
      <c r="D125" s="588"/>
      <c r="E125" s="588"/>
      <c r="F125" s="588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87" t="s">
        <v>133</v>
      </c>
      <c r="C126" s="588"/>
      <c r="D126" s="588"/>
      <c r="E126" s="588"/>
      <c r="F126" s="588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87" t="s">
        <v>148</v>
      </c>
      <c r="C127" s="588"/>
      <c r="D127" s="588"/>
      <c r="E127" s="588"/>
      <c r="F127" s="588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87" t="s">
        <v>162</v>
      </c>
      <c r="C128" s="588"/>
      <c r="D128" s="588"/>
      <c r="E128" s="588"/>
      <c r="F128" s="588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87" t="s">
        <v>182</v>
      </c>
      <c r="C129" s="588"/>
      <c r="D129" s="588"/>
      <c r="E129" s="588"/>
      <c r="F129" s="588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87" t="s">
        <v>190</v>
      </c>
      <c r="C130" s="588"/>
      <c r="D130" s="588"/>
      <c r="E130" s="588"/>
      <c r="F130" s="588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87" t="s">
        <v>196</v>
      </c>
      <c r="C131" s="588"/>
      <c r="D131" s="588"/>
      <c r="E131" s="588"/>
      <c r="F131" s="588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87" t="s">
        <v>204</v>
      </c>
      <c r="C132" s="588"/>
      <c r="D132" s="588"/>
      <c r="E132" s="588"/>
      <c r="F132" s="588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87" t="s">
        <v>212</v>
      </c>
      <c r="C133" s="588"/>
      <c r="D133" s="588"/>
      <c r="E133" s="588"/>
      <c r="F133" s="588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87" t="e">
        <v>#REF!</v>
      </c>
      <c r="C134" s="588"/>
      <c r="D134" s="588"/>
      <c r="E134" s="588"/>
      <c r="F134" s="588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83" t="s">
        <v>230</v>
      </c>
      <c r="C135" s="584"/>
      <c r="D135" s="584"/>
      <c r="E135" s="584"/>
      <c r="F135" s="584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87" t="s">
        <v>232</v>
      </c>
      <c r="C136" s="588"/>
      <c r="D136" s="588"/>
      <c r="E136" s="588"/>
      <c r="F136" s="588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87" t="s">
        <v>248</v>
      </c>
      <c r="C137" s="588"/>
      <c r="D137" s="588"/>
      <c r="E137" s="588"/>
      <c r="F137" s="588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87" t="s">
        <v>259</v>
      </c>
      <c r="C138" s="588"/>
      <c r="D138" s="588"/>
      <c r="E138" s="588"/>
      <c r="F138" s="588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87" t="s">
        <v>274</v>
      </c>
      <c r="C139" s="588"/>
      <c r="D139" s="588"/>
      <c r="E139" s="588"/>
      <c r="F139" s="588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87" t="s">
        <v>278</v>
      </c>
      <c r="C140" s="588"/>
      <c r="D140" s="588"/>
      <c r="E140" s="588"/>
      <c r="F140" s="588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85" t="s">
        <v>286</v>
      </c>
      <c r="C141" s="586"/>
      <c r="D141" s="586"/>
      <c r="E141" s="586"/>
      <c r="F141" s="586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85" t="s">
        <v>809</v>
      </c>
      <c r="C142" s="586"/>
      <c r="D142" s="586"/>
      <c r="E142" s="586"/>
      <c r="F142" s="586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77" t="s">
        <v>113</v>
      </c>
      <c r="C143" s="578"/>
      <c r="D143" s="578"/>
      <c r="E143" s="578"/>
      <c r="F143" s="578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77" t="s">
        <v>366</v>
      </c>
      <c r="C144" s="578"/>
      <c r="D144" s="578"/>
      <c r="E144" s="578"/>
      <c r="F144" s="578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77" t="s">
        <v>359</v>
      </c>
      <c r="C145" s="578"/>
      <c r="D145" s="578"/>
      <c r="E145" s="578"/>
      <c r="F145" s="578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77" t="s">
        <v>365</v>
      </c>
      <c r="C146" s="578"/>
      <c r="D146" s="578"/>
      <c r="E146" s="578"/>
      <c r="F146" s="578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9" t="s">
        <v>685</v>
      </c>
      <c r="C147" s="630"/>
      <c r="D147" s="630"/>
      <c r="E147" s="630"/>
      <c r="F147" s="63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79" t="s">
        <v>545</v>
      </c>
      <c r="C148" s="580"/>
      <c r="D148" s="580"/>
      <c r="E148" s="580"/>
      <c r="F148" s="580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81" t="s">
        <v>810</v>
      </c>
      <c r="C149" s="582"/>
      <c r="D149" s="582"/>
      <c r="E149" s="582"/>
      <c r="F149" s="582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83" t="s">
        <v>352</v>
      </c>
      <c r="C150" s="584"/>
      <c r="D150" s="584"/>
      <c r="E150" s="584"/>
      <c r="F150" s="584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75" t="s">
        <v>355</v>
      </c>
      <c r="C151" s="576"/>
      <c r="D151" s="576"/>
      <c r="E151" s="576"/>
      <c r="F151" s="576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77" t="s">
        <v>357</v>
      </c>
      <c r="C152" s="578"/>
      <c r="D152" s="578"/>
      <c r="E152" s="578"/>
      <c r="F152" s="578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5" t="s">
        <v>336</v>
      </c>
      <c r="C153" s="626"/>
      <c r="D153" s="626"/>
      <c r="E153" s="626"/>
      <c r="F153" s="626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73" t="s">
        <v>543</v>
      </c>
      <c r="C154" s="574"/>
      <c r="D154" s="574"/>
      <c r="E154" s="574"/>
      <c r="F154" s="574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71" t="s">
        <v>544</v>
      </c>
      <c r="C155" s="572"/>
      <c r="D155" s="572"/>
      <c r="E155" s="572"/>
      <c r="F155" s="572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75" t="s">
        <v>114</v>
      </c>
      <c r="C156" s="576"/>
      <c r="D156" s="576"/>
      <c r="E156" s="576"/>
      <c r="F156" s="576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77" t="s">
        <v>116</v>
      </c>
      <c r="C157" s="578"/>
      <c r="D157" s="578"/>
      <c r="E157" s="578"/>
      <c r="F157" s="578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77" t="s">
        <v>93</v>
      </c>
      <c r="C158" s="578"/>
      <c r="D158" s="578"/>
      <c r="E158" s="578"/>
      <c r="F158" s="578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796875" defaultRowHeight="13"/>
  <cols>
    <col min="1" max="1" width="5.453125" style="70" customWidth="1"/>
    <col min="2" max="4" width="9.1796875" style="258"/>
    <col min="5" max="5" width="4.7265625" style="258" customWidth="1"/>
    <col min="6" max="6" width="1.81640625" style="258" customWidth="1"/>
    <col min="7" max="9" width="10.7265625" style="258" customWidth="1"/>
    <col min="10" max="10" width="14.453125" style="258" customWidth="1"/>
    <col min="11" max="18" width="10.7265625" style="258" customWidth="1"/>
    <col min="19" max="19" width="13.26953125" style="258" customWidth="1"/>
    <col min="20" max="20" width="10.7265625" style="258" customWidth="1"/>
    <col min="21" max="21" width="11.453125" style="258" customWidth="1"/>
    <col min="22" max="22" width="11" style="258" bestFit="1" customWidth="1"/>
    <col min="23" max="16384" width="9.1796875" style="258"/>
  </cols>
  <sheetData>
    <row r="1" spans="1:20" s="1" customFormat="1" ht="3" customHeight="1">
      <c r="A1" s="69"/>
    </row>
    <row r="2" spans="1:20" s="1" customFormat="1" ht="14.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4.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4.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20" t="s">
        <v>553</v>
      </c>
      <c r="C7" s="552"/>
      <c r="D7" s="552"/>
      <c r="E7" s="552"/>
      <c r="F7" s="552"/>
      <c r="G7" s="560">
        <v>2018</v>
      </c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4"/>
      <c r="S7" s="235" t="s">
        <v>419</v>
      </c>
      <c r="T7" s="236">
        <v>4663130000</v>
      </c>
    </row>
    <row r="8" spans="1:20" ht="16.5" customHeight="1">
      <c r="A8" s="144"/>
      <c r="B8" s="553"/>
      <c r="C8" s="554"/>
      <c r="D8" s="554"/>
      <c r="E8" s="554"/>
      <c r="F8" s="555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0" t="s">
        <v>806</v>
      </c>
      <c r="T8" s="564"/>
    </row>
    <row r="9" spans="1:20" ht="13.5" thickBot="1">
      <c r="A9" s="144"/>
      <c r="B9" s="556"/>
      <c r="C9" s="557"/>
      <c r="D9" s="557"/>
      <c r="E9" s="557"/>
      <c r="F9" s="558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19" t="s">
        <v>680</v>
      </c>
      <c r="C10" s="520"/>
      <c r="D10" s="520"/>
      <c r="E10" s="520"/>
      <c r="F10" s="520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21" t="s">
        <v>21</v>
      </c>
      <c r="C11" s="522"/>
      <c r="D11" s="522"/>
      <c r="E11" s="522"/>
      <c r="F11" s="522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23" t="s">
        <v>23</v>
      </c>
      <c r="C12" s="524"/>
      <c r="D12" s="524"/>
      <c r="E12" s="524"/>
      <c r="F12" s="524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23" t="s">
        <v>25</v>
      </c>
      <c r="C13" s="524"/>
      <c r="D13" s="524"/>
      <c r="E13" s="524"/>
      <c r="F13" s="524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23" t="s">
        <v>27</v>
      </c>
      <c r="C14" s="524"/>
      <c r="D14" s="524"/>
      <c r="E14" s="524"/>
      <c r="F14" s="524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23" t="s">
        <v>29</v>
      </c>
      <c r="C15" s="524"/>
      <c r="D15" s="524"/>
      <c r="E15" s="524"/>
      <c r="F15" s="524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23" t="s">
        <v>31</v>
      </c>
      <c r="C16" s="524"/>
      <c r="D16" s="524"/>
      <c r="E16" s="524"/>
      <c r="F16" s="524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23" t="s">
        <v>33</v>
      </c>
      <c r="C17" s="524"/>
      <c r="D17" s="524"/>
      <c r="E17" s="524"/>
      <c r="F17" s="524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23" t="s">
        <v>721</v>
      </c>
      <c r="C18" s="524"/>
      <c r="D18" s="524"/>
      <c r="E18" s="524"/>
      <c r="F18" s="524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27" t="s">
        <v>37</v>
      </c>
      <c r="C19" s="528"/>
      <c r="D19" s="528"/>
      <c r="E19" s="528"/>
      <c r="F19" s="528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23" t="s">
        <v>39</v>
      </c>
      <c r="C20" s="524"/>
      <c r="D20" s="524"/>
      <c r="E20" s="524"/>
      <c r="F20" s="524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23" t="s">
        <v>41</v>
      </c>
      <c r="C21" s="524"/>
      <c r="D21" s="524"/>
      <c r="E21" s="524"/>
      <c r="F21" s="524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23" t="s">
        <v>43</v>
      </c>
      <c r="C22" s="524"/>
      <c r="D22" s="524"/>
      <c r="E22" s="524"/>
      <c r="F22" s="524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23" t="s">
        <v>45</v>
      </c>
      <c r="C23" s="524"/>
      <c r="D23" s="524"/>
      <c r="E23" s="524"/>
      <c r="F23" s="524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25" t="s">
        <v>47</v>
      </c>
      <c r="C24" s="526"/>
      <c r="D24" s="526"/>
      <c r="E24" s="526"/>
      <c r="F24" s="526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25" t="s">
        <v>61</v>
      </c>
      <c r="C25" s="526"/>
      <c r="D25" s="526"/>
      <c r="E25" s="526"/>
      <c r="F25" s="526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25" t="s">
        <v>81</v>
      </c>
      <c r="C26" s="526"/>
      <c r="D26" s="526"/>
      <c r="E26" s="526"/>
      <c r="F26" s="526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25" t="s">
        <v>99</v>
      </c>
      <c r="C27" s="526"/>
      <c r="D27" s="526"/>
      <c r="E27" s="526"/>
      <c r="F27" s="526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29" t="s">
        <v>105</v>
      </c>
      <c r="C28" s="530"/>
      <c r="D28" s="530"/>
      <c r="E28" s="530"/>
      <c r="F28" s="53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31" t="s">
        <v>801</v>
      </c>
      <c r="C29" s="532"/>
      <c r="D29" s="532"/>
      <c r="E29" s="532"/>
      <c r="F29" s="532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33" t="s">
        <v>773</v>
      </c>
      <c r="C30" s="534"/>
      <c r="D30" s="534"/>
      <c r="E30" s="534"/>
      <c r="F30" s="534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35" t="s">
        <v>120</v>
      </c>
      <c r="C31" s="536"/>
      <c r="D31" s="536"/>
      <c r="E31" s="536"/>
      <c r="F31" s="536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23" t="s">
        <v>122</v>
      </c>
      <c r="C32" s="524"/>
      <c r="D32" s="524"/>
      <c r="E32" s="524"/>
      <c r="F32" s="524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23" t="s">
        <v>133</v>
      </c>
      <c r="C33" s="524"/>
      <c r="D33" s="524"/>
      <c r="E33" s="524"/>
      <c r="F33" s="524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23" t="s">
        <v>148</v>
      </c>
      <c r="C34" s="524"/>
      <c r="D34" s="524"/>
      <c r="E34" s="524"/>
      <c r="F34" s="524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23" t="s">
        <v>162</v>
      </c>
      <c r="C35" s="524"/>
      <c r="D35" s="524"/>
      <c r="E35" s="524"/>
      <c r="F35" s="524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23" t="s">
        <v>182</v>
      </c>
      <c r="C36" s="524"/>
      <c r="D36" s="524"/>
      <c r="E36" s="524"/>
      <c r="F36" s="524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23" t="s">
        <v>190</v>
      </c>
      <c r="C37" s="524"/>
      <c r="D37" s="524"/>
      <c r="E37" s="524"/>
      <c r="F37" s="524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23" t="s">
        <v>196</v>
      </c>
      <c r="C38" s="524"/>
      <c r="D38" s="524"/>
      <c r="E38" s="524"/>
      <c r="F38" s="524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23" t="s">
        <v>204</v>
      </c>
      <c r="C39" s="524"/>
      <c r="D39" s="524"/>
      <c r="E39" s="524"/>
      <c r="F39" s="524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23" t="s">
        <v>212</v>
      </c>
      <c r="C40" s="524"/>
      <c r="D40" s="524"/>
      <c r="E40" s="524"/>
      <c r="F40" s="524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23" t="s">
        <v>802</v>
      </c>
      <c r="C41" s="524"/>
      <c r="D41" s="524"/>
      <c r="E41" s="524"/>
      <c r="F41" s="524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39" t="s">
        <v>230</v>
      </c>
      <c r="C42" s="540"/>
      <c r="D42" s="540"/>
      <c r="E42" s="540"/>
      <c r="F42" s="540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23" t="s">
        <v>232</v>
      </c>
      <c r="C43" s="524"/>
      <c r="D43" s="524"/>
      <c r="E43" s="524"/>
      <c r="F43" s="524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23" t="s">
        <v>248</v>
      </c>
      <c r="C44" s="524"/>
      <c r="D44" s="524"/>
      <c r="E44" s="524"/>
      <c r="F44" s="524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23" t="s">
        <v>259</v>
      </c>
      <c r="C45" s="524"/>
      <c r="D45" s="524"/>
      <c r="E45" s="524"/>
      <c r="F45" s="524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23" t="s">
        <v>274</v>
      </c>
      <c r="C46" s="524"/>
      <c r="D46" s="524"/>
      <c r="E46" s="524"/>
      <c r="F46" s="524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1" t="s">
        <v>278</v>
      </c>
      <c r="C47" s="632"/>
      <c r="D47" s="632"/>
      <c r="E47" s="632"/>
      <c r="F47" s="632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37" t="s">
        <v>286</v>
      </c>
      <c r="C48" s="538"/>
      <c r="D48" s="538"/>
      <c r="E48" s="538"/>
      <c r="F48" s="53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37" t="s">
        <v>320</v>
      </c>
      <c r="C49" s="538"/>
      <c r="D49" s="538"/>
      <c r="E49" s="538"/>
      <c r="F49" s="53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16" t="s">
        <v>113</v>
      </c>
      <c r="C50" s="617"/>
      <c r="D50" s="617"/>
      <c r="E50" s="617"/>
      <c r="F50" s="61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41" t="s">
        <v>366</v>
      </c>
      <c r="C51" s="542"/>
      <c r="D51" s="542"/>
      <c r="E51" s="542"/>
      <c r="F51" s="542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3" t="s">
        <v>359</v>
      </c>
      <c r="C52" s="544"/>
      <c r="D52" s="544"/>
      <c r="E52" s="544"/>
      <c r="F52" s="544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10" t="s">
        <v>794</v>
      </c>
      <c r="C53" s="611"/>
      <c r="D53" s="611"/>
      <c r="E53" s="611"/>
      <c r="F53" s="61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12" t="s">
        <v>684</v>
      </c>
      <c r="C54" s="613"/>
      <c r="D54" s="613"/>
      <c r="E54" s="613"/>
      <c r="F54" s="61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5" t="s">
        <v>545</v>
      </c>
      <c r="C55" s="546"/>
      <c r="D55" s="546"/>
      <c r="E55" s="546"/>
      <c r="F55" s="546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7" t="s">
        <v>793</v>
      </c>
      <c r="C57" s="548"/>
      <c r="D57" s="548"/>
      <c r="E57" s="548"/>
      <c r="F57" s="548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69" t="s">
        <v>352</v>
      </c>
      <c r="C58" s="570"/>
      <c r="D58" s="570"/>
      <c r="E58" s="570"/>
      <c r="F58" s="570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65" t="s">
        <v>355</v>
      </c>
      <c r="C59" s="566"/>
      <c r="D59" s="566"/>
      <c r="E59" s="566"/>
      <c r="F59" s="566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41" t="s">
        <v>357</v>
      </c>
      <c r="C60" s="542"/>
      <c r="D60" s="542"/>
      <c r="E60" s="542"/>
      <c r="F60" s="542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3" t="s">
        <v>336</v>
      </c>
      <c r="C61" s="634"/>
      <c r="D61" s="634"/>
      <c r="E61" s="634"/>
      <c r="F61" s="63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67" t="s">
        <v>543</v>
      </c>
      <c r="C62" s="568"/>
      <c r="D62" s="568"/>
      <c r="E62" s="568"/>
      <c r="F62" s="56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31" t="s">
        <v>544</v>
      </c>
      <c r="C63" s="532"/>
      <c r="D63" s="532"/>
      <c r="E63" s="532"/>
      <c r="F63" s="532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65" t="s">
        <v>114</v>
      </c>
      <c r="C64" s="566"/>
      <c r="D64" s="566"/>
      <c r="E64" s="566"/>
      <c r="F64" s="566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41" t="s">
        <v>116</v>
      </c>
      <c r="C65" s="542"/>
      <c r="D65" s="542"/>
      <c r="E65" s="542"/>
      <c r="F65" s="542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41" t="s">
        <v>93</v>
      </c>
      <c r="C66" s="542"/>
      <c r="D66" s="542"/>
      <c r="E66" s="542"/>
      <c r="F66" s="542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7" t="s">
        <v>551</v>
      </c>
      <c r="C103" s="598"/>
      <c r="D103" s="598"/>
      <c r="E103" s="598"/>
      <c r="F103" s="598"/>
      <c r="G103" s="605">
        <v>2018</v>
      </c>
      <c r="H103" s="606"/>
      <c r="I103" s="606"/>
      <c r="J103" s="606"/>
      <c r="K103" s="606"/>
      <c r="L103" s="606"/>
      <c r="M103" s="606"/>
      <c r="N103" s="606"/>
      <c r="O103" s="606"/>
      <c r="P103" s="606"/>
      <c r="Q103" s="606"/>
      <c r="R103" s="607"/>
      <c r="S103" s="107" t="str">
        <f>+S7</f>
        <v>BDP</v>
      </c>
      <c r="T103" s="108">
        <f>+T7</f>
        <v>4663130000</v>
      </c>
    </row>
    <row r="104" spans="1:21" ht="15.75" customHeight="1">
      <c r="B104" s="599"/>
      <c r="C104" s="600"/>
      <c r="D104" s="600"/>
      <c r="E104" s="600"/>
      <c r="F104" s="601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5" t="s">
        <v>806</v>
      </c>
      <c r="T104" s="607">
        <f>+T8</f>
        <v>0</v>
      </c>
    </row>
    <row r="105" spans="1:21" ht="13.5" thickBot="1">
      <c r="B105" s="602"/>
      <c r="C105" s="603"/>
      <c r="D105" s="603"/>
      <c r="E105" s="603"/>
      <c r="F105" s="604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1" t="s">
        <v>680</v>
      </c>
      <c r="C106" s="622"/>
      <c r="D106" s="622"/>
      <c r="E106" s="622"/>
      <c r="F106" s="62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5" t="s">
        <v>21</v>
      </c>
      <c r="C107" s="596"/>
      <c r="D107" s="596"/>
      <c r="E107" s="596"/>
      <c r="F107" s="596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7" t="s">
        <v>23</v>
      </c>
      <c r="C108" s="588"/>
      <c r="D108" s="588"/>
      <c r="E108" s="588"/>
      <c r="F108" s="588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87" t="s">
        <v>25</v>
      </c>
      <c r="C109" s="588"/>
      <c r="D109" s="588"/>
      <c r="E109" s="588"/>
      <c r="F109" s="588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87" t="s">
        <v>27</v>
      </c>
      <c r="C110" s="588"/>
      <c r="D110" s="588"/>
      <c r="E110" s="588"/>
      <c r="F110" s="588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87" t="s">
        <v>29</v>
      </c>
      <c r="C111" s="588"/>
      <c r="D111" s="588"/>
      <c r="E111" s="588"/>
      <c r="F111" s="588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87" t="s">
        <v>31</v>
      </c>
      <c r="C112" s="588"/>
      <c r="D112" s="588"/>
      <c r="E112" s="588"/>
      <c r="F112" s="588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87" t="s">
        <v>33</v>
      </c>
      <c r="C113" s="588"/>
      <c r="D113" s="588"/>
      <c r="E113" s="588"/>
      <c r="F113" s="588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87" t="s">
        <v>721</v>
      </c>
      <c r="C114" s="588"/>
      <c r="D114" s="588"/>
      <c r="E114" s="588"/>
      <c r="F114" s="588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3" t="s">
        <v>37</v>
      </c>
      <c r="C115" s="624"/>
      <c r="D115" s="624"/>
      <c r="E115" s="624"/>
      <c r="F115" s="624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87" t="s">
        <v>39</v>
      </c>
      <c r="C116" s="588"/>
      <c r="D116" s="588"/>
      <c r="E116" s="588"/>
      <c r="F116" s="588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87" t="s">
        <v>41</v>
      </c>
      <c r="C117" s="588"/>
      <c r="D117" s="588"/>
      <c r="E117" s="588"/>
      <c r="F117" s="588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87" t="s">
        <v>43</v>
      </c>
      <c r="C118" s="588"/>
      <c r="D118" s="588"/>
      <c r="E118" s="588"/>
      <c r="F118" s="588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87" t="s">
        <v>45</v>
      </c>
      <c r="C119" s="588"/>
      <c r="D119" s="588"/>
      <c r="E119" s="588"/>
      <c r="F119" s="588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593" t="s">
        <v>47</v>
      </c>
      <c r="C120" s="594"/>
      <c r="D120" s="594"/>
      <c r="E120" s="594"/>
      <c r="F120" s="59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593" t="s">
        <v>61</v>
      </c>
      <c r="C121" s="594"/>
      <c r="D121" s="594"/>
      <c r="E121" s="594"/>
      <c r="F121" s="59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593" t="s">
        <v>81</v>
      </c>
      <c r="C122" s="594"/>
      <c r="D122" s="594"/>
      <c r="E122" s="594"/>
      <c r="F122" s="59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593" t="s">
        <v>99</v>
      </c>
      <c r="C123" s="594"/>
      <c r="D123" s="594"/>
      <c r="E123" s="594"/>
      <c r="F123" s="59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589" t="s">
        <v>105</v>
      </c>
      <c r="C124" s="590"/>
      <c r="D124" s="590"/>
      <c r="E124" s="590"/>
      <c r="F124" s="590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71" t="s">
        <v>808</v>
      </c>
      <c r="C125" s="572"/>
      <c r="D125" s="572"/>
      <c r="E125" s="572"/>
      <c r="F125" s="572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27" t="s">
        <v>773</v>
      </c>
      <c r="C126" s="628"/>
      <c r="D126" s="628"/>
      <c r="E126" s="628"/>
      <c r="F126" s="628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591" t="s">
        <v>120</v>
      </c>
      <c r="C127" s="592"/>
      <c r="D127" s="592"/>
      <c r="E127" s="592"/>
      <c r="F127" s="59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87" t="s">
        <v>122</v>
      </c>
      <c r="C128" s="588"/>
      <c r="D128" s="588"/>
      <c r="E128" s="588"/>
      <c r="F128" s="588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87" t="s">
        <v>133</v>
      </c>
      <c r="C129" s="588"/>
      <c r="D129" s="588"/>
      <c r="E129" s="588"/>
      <c r="F129" s="588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87" t="s">
        <v>148</v>
      </c>
      <c r="C130" s="588"/>
      <c r="D130" s="588"/>
      <c r="E130" s="588"/>
      <c r="F130" s="588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87" t="s">
        <v>162</v>
      </c>
      <c r="C131" s="588"/>
      <c r="D131" s="588"/>
      <c r="E131" s="588"/>
      <c r="F131" s="588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87" t="s">
        <v>182</v>
      </c>
      <c r="C132" s="588"/>
      <c r="D132" s="588"/>
      <c r="E132" s="588"/>
      <c r="F132" s="588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87" t="s">
        <v>190</v>
      </c>
      <c r="C133" s="588"/>
      <c r="D133" s="588"/>
      <c r="E133" s="588"/>
      <c r="F133" s="588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87" t="s">
        <v>196</v>
      </c>
      <c r="C134" s="588"/>
      <c r="D134" s="588"/>
      <c r="E134" s="588"/>
      <c r="F134" s="588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87" t="s">
        <v>204</v>
      </c>
      <c r="C135" s="588"/>
      <c r="D135" s="588"/>
      <c r="E135" s="588"/>
      <c r="F135" s="588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87" t="s">
        <v>212</v>
      </c>
      <c r="C136" s="588"/>
      <c r="D136" s="588"/>
      <c r="E136" s="588"/>
      <c r="F136" s="588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87" t="s">
        <v>802</v>
      </c>
      <c r="C137" s="588"/>
      <c r="D137" s="588"/>
      <c r="E137" s="588"/>
      <c r="F137" s="588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83" t="s">
        <v>230</v>
      </c>
      <c r="C138" s="584"/>
      <c r="D138" s="584"/>
      <c r="E138" s="584"/>
      <c r="F138" s="584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87" t="s">
        <v>232</v>
      </c>
      <c r="C139" s="588"/>
      <c r="D139" s="588"/>
      <c r="E139" s="588"/>
      <c r="F139" s="588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87" t="s">
        <v>248</v>
      </c>
      <c r="C140" s="588"/>
      <c r="D140" s="588"/>
      <c r="E140" s="588"/>
      <c r="F140" s="588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87" t="s">
        <v>259</v>
      </c>
      <c r="C141" s="588"/>
      <c r="D141" s="588"/>
      <c r="E141" s="588"/>
      <c r="F141" s="588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87" t="s">
        <v>274</v>
      </c>
      <c r="C142" s="588"/>
      <c r="D142" s="588"/>
      <c r="E142" s="588"/>
      <c r="F142" s="588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87" t="s">
        <v>278</v>
      </c>
      <c r="C143" s="588"/>
      <c r="D143" s="588"/>
      <c r="E143" s="588"/>
      <c r="F143" s="588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85" t="s">
        <v>286</v>
      </c>
      <c r="C144" s="586"/>
      <c r="D144" s="586"/>
      <c r="E144" s="586"/>
      <c r="F144" s="586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85" t="s">
        <v>809</v>
      </c>
      <c r="C145" s="586"/>
      <c r="D145" s="586"/>
      <c r="E145" s="586"/>
      <c r="F145" s="586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77" t="s">
        <v>113</v>
      </c>
      <c r="C146" s="578"/>
      <c r="D146" s="578"/>
      <c r="E146" s="578"/>
      <c r="F146" s="578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77" t="s">
        <v>366</v>
      </c>
      <c r="C147" s="578"/>
      <c r="D147" s="578"/>
      <c r="E147" s="578"/>
      <c r="F147" s="578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77" t="s">
        <v>359</v>
      </c>
      <c r="C148" s="578"/>
      <c r="D148" s="578"/>
      <c r="E148" s="578"/>
      <c r="F148" s="578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79" t="s">
        <v>545</v>
      </c>
      <c r="C150" s="580"/>
      <c r="D150" s="580"/>
      <c r="E150" s="580"/>
      <c r="F150" s="580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81" t="s">
        <v>810</v>
      </c>
      <c r="C151" s="582"/>
      <c r="D151" s="582"/>
      <c r="E151" s="582"/>
      <c r="F151" s="582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83" t="s">
        <v>352</v>
      </c>
      <c r="C152" s="584"/>
      <c r="D152" s="584"/>
      <c r="E152" s="584"/>
      <c r="F152" s="584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75" t="s">
        <v>355</v>
      </c>
      <c r="C153" s="576"/>
      <c r="D153" s="576"/>
      <c r="E153" s="576"/>
      <c r="F153" s="576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77" t="s">
        <v>357</v>
      </c>
      <c r="C154" s="578"/>
      <c r="D154" s="578"/>
      <c r="E154" s="578"/>
      <c r="F154" s="578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77" t="s">
        <v>365</v>
      </c>
      <c r="C155" s="578"/>
      <c r="D155" s="578"/>
      <c r="E155" s="578"/>
      <c r="F155" s="578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73" t="s">
        <v>543</v>
      </c>
      <c r="C157" s="574"/>
      <c r="D157" s="574"/>
      <c r="E157" s="574"/>
      <c r="F157" s="574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71" t="s">
        <v>544</v>
      </c>
      <c r="C158" s="572"/>
      <c r="D158" s="572"/>
      <c r="E158" s="572"/>
      <c r="F158" s="572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75" t="s">
        <v>114</v>
      </c>
      <c r="C159" s="576"/>
      <c r="D159" s="576"/>
      <c r="E159" s="576"/>
      <c r="F159" s="576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77" t="s">
        <v>116</v>
      </c>
      <c r="C160" s="578"/>
      <c r="D160" s="578"/>
      <c r="E160" s="578"/>
      <c r="F160" s="578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77" t="s">
        <v>93</v>
      </c>
      <c r="C161" s="578"/>
      <c r="D161" s="578"/>
      <c r="E161" s="578"/>
      <c r="F161" s="578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31750</xdr:rowOff>
                  </from>
                  <to>
                    <xdr:col>2</xdr:col>
                    <xdr:colOff>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146050</xdr:colOff>
                    <xdr:row>0</xdr:row>
                    <xdr:rowOff>31750</xdr:rowOff>
                  </from>
                  <to>
                    <xdr:col>2</xdr:col>
                    <xdr:colOff>476250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Korisnik</cp:lastModifiedBy>
  <cp:lastPrinted>2023-05-30T13:38:16Z</cp:lastPrinted>
  <dcterms:created xsi:type="dcterms:W3CDTF">2014-09-15T13:41:17Z</dcterms:created>
  <dcterms:modified xsi:type="dcterms:W3CDTF">2023-06-30T10:44:02Z</dcterms:modified>
</cp:coreProperties>
</file>